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pivotTables/pivotTable1.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hidePivotFieldList="1"/>
  <bookViews>
    <workbookView xWindow="-120" yWindow="-120" windowWidth="19440" windowHeight="11160" tabRatio="567" firstSheet="5" activeTab="5"/>
  </bookViews>
  <sheets>
    <sheet name="Extract" sheetId="37" r:id="rId1"/>
    <sheet name="Result 1 P&amp;L" sheetId="34" r:id="rId2"/>
    <sheet name="Result 2 B&amp;S" sheetId="35" r:id="rId3"/>
    <sheet name="Result 3 CF" sheetId="36" r:id="rId4"/>
    <sheet name="Cash Flow" sheetId="22" r:id="rId5"/>
    <sheet name="BSPL" sheetId="6" r:id="rId6"/>
    <sheet name="Depreciation" sheetId="28" r:id="rId7"/>
    <sheet name="CLOSING STOCK21-22" sheetId="31" r:id="rId8"/>
    <sheet name="Working Capital" sheetId="39" r:id="rId9"/>
    <sheet name="Ratio Analysis" sheetId="30" r:id="rId10"/>
    <sheet name="Financial Ratios" sheetId="38" r:id="rId11"/>
    <sheet name="3CD ratios" sheetId="23" r:id="rId12"/>
    <sheet name="COI" sheetId="25" r:id="rId13"/>
    <sheet name="Pivot" sheetId="4" r:id="rId14"/>
    <sheet name="Share Holding" sheetId="33" r:id="rId15"/>
    <sheet name="FG Valuation" sheetId="17" r:id="rId16"/>
    <sheet name="DEBTORS AGEING 21-22" sheetId="32" r:id="rId17"/>
    <sheet name="DT" sheetId="24" r:id="rId18"/>
    <sheet name="IT Dep" sheetId="26" r:id="rId19"/>
    <sheet name="Ratios (2)" sheetId="27" state="hidden" r:id="rId20"/>
    <sheet name="Cost Sheet" sheetId="21" r:id="rId21"/>
    <sheet name="Loans to staff" sheetId="19" r:id="rId22"/>
    <sheet name="Advance to Supplier" sheetId="20" r:id="rId23"/>
    <sheet name="IPS Sanction Letter &amp; Books" sheetId="18" r:id="rId24"/>
    <sheet name="Advance for Capital Good" sheetId="16" r:id="rId25"/>
    <sheet name="FDR" sheetId="15" r:id="rId26"/>
    <sheet name="Bonus Sal" sheetId="13" r:id="rId27"/>
    <sheet name="Leave encashment" sheetId="14" r:id="rId28"/>
    <sheet name="Bank TL &amp; Int." sheetId="11" r:id="rId29"/>
    <sheet name="Unsecured Loan Int" sheetId="12" r:id="rId30"/>
    <sheet name="Director Remuneration" sheetId="7" r:id="rId31"/>
    <sheet name="Directors Rem" sheetId="8" r:id="rId32"/>
    <sheet name="Sheet1" sheetId="9" r:id="rId33"/>
    <sheet name="TB final" sheetId="2" r:id="rId34"/>
    <sheet name="2122" sheetId="1"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s>
  <definedNames>
    <definedName name="\a" localSheetId="11">#REF!</definedName>
    <definedName name="\a" localSheetId="4">#REF!</definedName>
    <definedName name="\a" localSheetId="12">#REF!</definedName>
    <definedName name="\a" localSheetId="20">#REF!</definedName>
    <definedName name="\a" localSheetId="17">#REF!</definedName>
    <definedName name="\a" localSheetId="18">#REF!</definedName>
    <definedName name="\a" localSheetId="19">#REF!</definedName>
    <definedName name="\a">#REF!</definedName>
    <definedName name="\B" localSheetId="11">#REF!</definedName>
    <definedName name="\B" localSheetId="4">#REF!</definedName>
    <definedName name="\B" localSheetId="12">#REF!</definedName>
    <definedName name="\B" localSheetId="17">#REF!</definedName>
    <definedName name="\B" localSheetId="18">#REF!</definedName>
    <definedName name="\B" localSheetId="19">#REF!</definedName>
    <definedName name="\B">#REF!</definedName>
    <definedName name="\C">#REF!</definedName>
    <definedName name="\D">#REF!</definedName>
    <definedName name="\E">#REF!</definedName>
    <definedName name="\F">#REF!</definedName>
    <definedName name="\G">#REF!</definedName>
    <definedName name="\I">#REF!</definedName>
    <definedName name="\J">#REF!</definedName>
    <definedName name="\M">#REF!</definedName>
    <definedName name="\P">#REF!</definedName>
    <definedName name="\Q">#REF!</definedName>
    <definedName name="\S">#REF!</definedName>
    <definedName name="\T">#REF!</definedName>
    <definedName name="\U">#REF!</definedName>
    <definedName name="\Z">#REF!</definedName>
    <definedName name="___________________crc1">[1]combined!$B$176:$H$232</definedName>
    <definedName name="___________________crc2">[1]combined!$B$236:$H$301</definedName>
    <definedName name="___________________crc3">[1]combined!$B$329:$H$387</definedName>
    <definedName name="___________________GRP1">'[2]BS 590'!$B$313:$G$386</definedName>
    <definedName name="___________________GRP3">'[3]BS&amp;PLA'!#REF!</definedName>
    <definedName name="___________________GRP4">'[3]BS&amp;PLA'!#REF!</definedName>
    <definedName name="___________________sch1">'[2]BS 590'!$B$125:$H$165</definedName>
    <definedName name="___________________sch2">'[2]BS 590'!$B$166:$H$193</definedName>
    <definedName name="___________________sch3">'[2]BS 590'!$B$194:$H$231</definedName>
    <definedName name="___________________sch4">'[2]BS 590'!$B$233:$H$280</definedName>
    <definedName name="___________________sch5">'[2]BS 590'!$B$281:$H$312</definedName>
    <definedName name="___________________STK1" localSheetId="22">#REF!</definedName>
    <definedName name="___________________STK1" localSheetId="28">#REF!</definedName>
    <definedName name="___________________STK1" localSheetId="21">#REF!</definedName>
    <definedName name="___________________STK1" localSheetId="29">#REF!</definedName>
    <definedName name="___________________STK1">#REF!</definedName>
    <definedName name="___________________STK2" localSheetId="22">#REF!</definedName>
    <definedName name="___________________STK2" localSheetId="28">#REF!</definedName>
    <definedName name="___________________STK2" localSheetId="21">#REF!</definedName>
    <definedName name="___________________STK2" localSheetId="29">#REF!</definedName>
    <definedName name="___________________STK2">#REF!</definedName>
    <definedName name="___________________STK3" localSheetId="22">#REF!</definedName>
    <definedName name="___________________STK3" localSheetId="28">#REF!</definedName>
    <definedName name="___________________STK3" localSheetId="21">#REF!</definedName>
    <definedName name="___________________STK3" localSheetId="29">#REF!</definedName>
    <definedName name="___________________STK3">#REF!</definedName>
    <definedName name="__________________crc1">[1]combined!$B$176:$H$232</definedName>
    <definedName name="__________________crc2">[1]combined!$B$236:$H$301</definedName>
    <definedName name="__________________crc3">[1]combined!$B$329:$H$387</definedName>
    <definedName name="__________________GRP1">'[2]BS 590'!$B$313:$G$386</definedName>
    <definedName name="__________________GRP2">'[3]BS&amp;PLA'!#REF!</definedName>
    <definedName name="__________________GRP3" localSheetId="22">'[4]BS&amp;PLA'!#REF!</definedName>
    <definedName name="__________________GRP3" localSheetId="28">'[4]BS&amp;PLA'!#REF!</definedName>
    <definedName name="__________________GRP3" localSheetId="21">'[4]BS&amp;PLA'!#REF!</definedName>
    <definedName name="__________________GRP3" localSheetId="29">'[4]BS&amp;PLA'!#REF!</definedName>
    <definedName name="__________________GRP3">'[4]BS&amp;PLA'!#REF!</definedName>
    <definedName name="__________________GRP4" localSheetId="28">'[4]BS&amp;PLA'!#REF!</definedName>
    <definedName name="__________________GRP4" localSheetId="29">'[4]BS&amp;PLA'!#REF!</definedName>
    <definedName name="__________________GRP4">'[4]BS&amp;PLA'!#REF!</definedName>
    <definedName name="__________________sch1">'[2]BS 590'!$B$125:$H$165</definedName>
    <definedName name="__________________sch2">'[2]BS 590'!$B$166:$H$193</definedName>
    <definedName name="__________________sch3">'[2]BS 590'!$B$194:$H$231</definedName>
    <definedName name="__________________sch4">'[2]BS 590'!$B$233:$H$280</definedName>
    <definedName name="__________________sch5">'[2]BS 590'!$B$281:$H$312</definedName>
    <definedName name="__________________STK1" localSheetId="22">#REF!</definedName>
    <definedName name="__________________STK1" localSheetId="28">#REF!</definedName>
    <definedName name="__________________STK1" localSheetId="21">#REF!</definedName>
    <definedName name="__________________STK1" localSheetId="29">#REF!</definedName>
    <definedName name="__________________STK1">#REF!</definedName>
    <definedName name="__________________STK2" localSheetId="22">#REF!</definedName>
    <definedName name="__________________STK2" localSheetId="28">#REF!</definedName>
    <definedName name="__________________STK2" localSheetId="21">#REF!</definedName>
    <definedName name="__________________STK2" localSheetId="29">#REF!</definedName>
    <definedName name="__________________STK2">#REF!</definedName>
    <definedName name="__________________STK3" localSheetId="22">#REF!</definedName>
    <definedName name="__________________STK3" localSheetId="28">#REF!</definedName>
    <definedName name="__________________STK3" localSheetId="21">#REF!</definedName>
    <definedName name="__________________STK3" localSheetId="29">#REF!</definedName>
    <definedName name="__________________STK3">#REF!</definedName>
    <definedName name="_________________cha1" localSheetId="22">#REF!</definedName>
    <definedName name="_________________cha1" localSheetId="28">#REF!</definedName>
    <definedName name="_________________cha1" localSheetId="21">#REF!</definedName>
    <definedName name="_________________cha1" localSheetId="29">#REF!</definedName>
    <definedName name="_________________cha1">#REF!</definedName>
    <definedName name="_________________cha2" localSheetId="22">#REF!</definedName>
    <definedName name="_________________cha2" localSheetId="28">#REF!</definedName>
    <definedName name="_________________cha2" localSheetId="21">#REF!</definedName>
    <definedName name="_________________cha2" localSheetId="29">#REF!</definedName>
    <definedName name="_________________cha2">#REF!</definedName>
    <definedName name="_________________cha3" localSheetId="22">#REF!</definedName>
    <definedName name="_________________cha3" localSheetId="28">#REF!</definedName>
    <definedName name="_________________cha3" localSheetId="21">#REF!</definedName>
    <definedName name="_________________cha3" localSheetId="29">#REF!</definedName>
    <definedName name="_________________cha3">#REF!</definedName>
    <definedName name="_________________cha4" localSheetId="22">#REF!</definedName>
    <definedName name="_________________cha4" localSheetId="28">#REF!</definedName>
    <definedName name="_________________cha4" localSheetId="21">#REF!</definedName>
    <definedName name="_________________cha4" localSheetId="29">#REF!</definedName>
    <definedName name="_________________cha4">#REF!</definedName>
    <definedName name="_________________cha5" localSheetId="22">#REF!</definedName>
    <definedName name="_________________cha5" localSheetId="28">#REF!</definedName>
    <definedName name="_________________cha5" localSheetId="21">#REF!</definedName>
    <definedName name="_________________cha5" localSheetId="29">#REF!</definedName>
    <definedName name="_________________cha5">#REF!</definedName>
    <definedName name="_________________cha6" localSheetId="22">#REF!</definedName>
    <definedName name="_________________cha6" localSheetId="28">#REF!</definedName>
    <definedName name="_________________cha6" localSheetId="21">#REF!</definedName>
    <definedName name="_________________cha6" localSheetId="29">#REF!</definedName>
    <definedName name="_________________cha6">#REF!</definedName>
    <definedName name="_________________crc1">[1]combined!$B$176:$H$232</definedName>
    <definedName name="_________________crc2">[1]combined!$B$236:$H$301</definedName>
    <definedName name="_________________crc3">[1]combined!$B$329:$H$387</definedName>
    <definedName name="_________________GRP1">'[2]BS 590'!$B$313:$G$386</definedName>
    <definedName name="_________________GRP2">'[2]BS 590'!$B$388:$G$427</definedName>
    <definedName name="_________________GRP3" localSheetId="22">'[4]BS&amp;PLA'!#REF!</definedName>
    <definedName name="_________________GRP3" localSheetId="28">'[4]BS&amp;PLA'!#REF!</definedName>
    <definedName name="_________________GRP3" localSheetId="21">'[4]BS&amp;PLA'!#REF!</definedName>
    <definedName name="_________________GRP3" localSheetId="29">'[4]BS&amp;PLA'!#REF!</definedName>
    <definedName name="_________________GRP3">'[4]BS&amp;PLA'!#REF!</definedName>
    <definedName name="_________________GRP4" localSheetId="28">'[4]BS&amp;PLA'!#REF!</definedName>
    <definedName name="_________________GRP4" localSheetId="29">'[4]BS&amp;PLA'!#REF!</definedName>
    <definedName name="_________________GRP4">'[4]BS&amp;PLA'!#REF!</definedName>
    <definedName name="_________________sch1">'[2]BS 590'!$B$125:$H$165</definedName>
    <definedName name="_________________sch2">'[2]BS 590'!$B$166:$H$193</definedName>
    <definedName name="_________________sch3">'[2]BS 590'!$B$194:$H$231</definedName>
    <definedName name="_________________sch4">'[2]BS 590'!$B$233:$H$280</definedName>
    <definedName name="_________________sch5">'[2]BS 590'!$B$281:$H$312</definedName>
    <definedName name="_________________STK1" localSheetId="22">#REF!</definedName>
    <definedName name="_________________STK1" localSheetId="28">#REF!</definedName>
    <definedName name="_________________STK1" localSheetId="21">#REF!</definedName>
    <definedName name="_________________STK1" localSheetId="29">#REF!</definedName>
    <definedName name="_________________STK1">#REF!</definedName>
    <definedName name="_________________STK2" localSheetId="22">#REF!</definedName>
    <definedName name="_________________STK2" localSheetId="28">#REF!</definedName>
    <definedName name="_________________STK2" localSheetId="21">#REF!</definedName>
    <definedName name="_________________STK2" localSheetId="29">#REF!</definedName>
    <definedName name="_________________STK2">#REF!</definedName>
    <definedName name="_________________STK3" localSheetId="22">#REF!</definedName>
    <definedName name="_________________STK3" localSheetId="28">#REF!</definedName>
    <definedName name="_________________STK3" localSheetId="21">#REF!</definedName>
    <definedName name="_________________STK3" localSheetId="29">#REF!</definedName>
    <definedName name="_________________STK3">#REF!</definedName>
    <definedName name="________________cha1" localSheetId="22">#REF!</definedName>
    <definedName name="________________cha1" localSheetId="28">#REF!</definedName>
    <definedName name="________________cha1" localSheetId="21">#REF!</definedName>
    <definedName name="________________cha1" localSheetId="29">#REF!</definedName>
    <definedName name="________________cha1">#REF!</definedName>
    <definedName name="________________cha2" localSheetId="22">#REF!</definedName>
    <definedName name="________________cha2" localSheetId="28">#REF!</definedName>
    <definedName name="________________cha2" localSheetId="21">#REF!</definedName>
    <definedName name="________________cha2" localSheetId="29">#REF!</definedName>
    <definedName name="________________cha2">#REF!</definedName>
    <definedName name="________________cha3" localSheetId="22">#REF!</definedName>
    <definedName name="________________cha3" localSheetId="28">#REF!</definedName>
    <definedName name="________________cha3" localSheetId="21">#REF!</definedName>
    <definedName name="________________cha3" localSheetId="29">#REF!</definedName>
    <definedName name="________________cha3">#REF!</definedName>
    <definedName name="________________cha4" localSheetId="22">#REF!</definedName>
    <definedName name="________________cha4" localSheetId="28">#REF!</definedName>
    <definedName name="________________cha4" localSheetId="21">#REF!</definedName>
    <definedName name="________________cha4" localSheetId="29">#REF!</definedName>
    <definedName name="________________cha4">#REF!</definedName>
    <definedName name="________________cha5" localSheetId="22">#REF!</definedName>
    <definedName name="________________cha5" localSheetId="28">#REF!</definedName>
    <definedName name="________________cha5" localSheetId="21">#REF!</definedName>
    <definedName name="________________cha5" localSheetId="29">#REF!</definedName>
    <definedName name="________________cha5">#REF!</definedName>
    <definedName name="________________cha6" localSheetId="22">#REF!</definedName>
    <definedName name="________________cha6" localSheetId="28">#REF!</definedName>
    <definedName name="________________cha6" localSheetId="21">#REF!</definedName>
    <definedName name="________________cha6" localSheetId="29">#REF!</definedName>
    <definedName name="________________cha6">#REF!</definedName>
    <definedName name="________________crc1">[1]combined!$B$176:$H$232</definedName>
    <definedName name="________________crc2">[1]combined!$B$236:$H$301</definedName>
    <definedName name="________________crc3">[1]combined!$B$329:$H$387</definedName>
    <definedName name="________________GRP1">'[2]BS 590'!$B$313:$G$386</definedName>
    <definedName name="________________GRP2">'[2]BS 590'!$B$388:$G$427</definedName>
    <definedName name="________________GRP3" localSheetId="22">'[4]BS&amp;PLA'!#REF!</definedName>
    <definedName name="________________GRP3" localSheetId="28">'[4]BS&amp;PLA'!#REF!</definedName>
    <definedName name="________________GRP3" localSheetId="21">'[4]BS&amp;PLA'!#REF!</definedName>
    <definedName name="________________GRP3" localSheetId="29">'[4]BS&amp;PLA'!#REF!</definedName>
    <definedName name="________________GRP3">'[4]BS&amp;PLA'!#REF!</definedName>
    <definedName name="________________GRP4" localSheetId="28">'[4]BS&amp;PLA'!#REF!</definedName>
    <definedName name="________________GRP4" localSheetId="29">'[4]BS&amp;PLA'!#REF!</definedName>
    <definedName name="________________GRP4">'[4]BS&amp;PLA'!#REF!</definedName>
    <definedName name="________________sch1">'[2]BS 590'!$B$125:$H$165</definedName>
    <definedName name="________________sch2">'[2]BS 590'!$B$166:$H$193</definedName>
    <definedName name="________________sch3">'[2]BS 590'!$B$194:$H$231</definedName>
    <definedName name="________________sch4">'[2]BS 590'!$B$233:$H$280</definedName>
    <definedName name="________________sch5">'[2]BS 590'!$B$281:$H$312</definedName>
    <definedName name="________________STK1" localSheetId="22">#REF!</definedName>
    <definedName name="________________STK1" localSheetId="28">#REF!</definedName>
    <definedName name="________________STK1" localSheetId="21">#REF!</definedName>
    <definedName name="________________STK1" localSheetId="29">#REF!</definedName>
    <definedName name="________________STK1">#REF!</definedName>
    <definedName name="________________STK2" localSheetId="22">#REF!</definedName>
    <definedName name="________________STK2" localSheetId="28">#REF!</definedName>
    <definedName name="________________STK2" localSheetId="21">#REF!</definedName>
    <definedName name="________________STK2" localSheetId="29">#REF!</definedName>
    <definedName name="________________STK2">#REF!</definedName>
    <definedName name="________________STK3" localSheetId="22">#REF!</definedName>
    <definedName name="________________STK3" localSheetId="28">#REF!</definedName>
    <definedName name="________________STK3" localSheetId="21">#REF!</definedName>
    <definedName name="________________STK3" localSheetId="29">#REF!</definedName>
    <definedName name="________________STK3">#REF!</definedName>
    <definedName name="_______________cha1" localSheetId="22">#REF!</definedName>
    <definedName name="_______________cha1" localSheetId="28">#REF!</definedName>
    <definedName name="_______________cha1" localSheetId="21">#REF!</definedName>
    <definedName name="_______________cha1" localSheetId="29">#REF!</definedName>
    <definedName name="_______________cha1">#REF!</definedName>
    <definedName name="_______________cha2" localSheetId="22">#REF!</definedName>
    <definedName name="_______________cha2" localSheetId="28">#REF!</definedName>
    <definedName name="_______________cha2" localSheetId="21">#REF!</definedName>
    <definedName name="_______________cha2" localSheetId="29">#REF!</definedName>
    <definedName name="_______________cha2">#REF!</definedName>
    <definedName name="_______________cha3" localSheetId="22">#REF!</definedName>
    <definedName name="_______________cha3" localSheetId="28">#REF!</definedName>
    <definedName name="_______________cha3" localSheetId="21">#REF!</definedName>
    <definedName name="_______________cha3" localSheetId="29">#REF!</definedName>
    <definedName name="_______________cha3">#REF!</definedName>
    <definedName name="_______________cha4" localSheetId="22">#REF!</definedName>
    <definedName name="_______________cha4" localSheetId="28">#REF!</definedName>
    <definedName name="_______________cha4" localSheetId="21">#REF!</definedName>
    <definedName name="_______________cha4" localSheetId="29">#REF!</definedName>
    <definedName name="_______________cha4">#REF!</definedName>
    <definedName name="_______________cha5" localSheetId="22">#REF!</definedName>
    <definedName name="_______________cha5" localSheetId="28">#REF!</definedName>
    <definedName name="_______________cha5" localSheetId="21">#REF!</definedName>
    <definedName name="_______________cha5" localSheetId="29">#REF!</definedName>
    <definedName name="_______________cha5">#REF!</definedName>
    <definedName name="_______________cha6" localSheetId="22">#REF!</definedName>
    <definedName name="_______________cha6" localSheetId="28">#REF!</definedName>
    <definedName name="_______________cha6" localSheetId="21">#REF!</definedName>
    <definedName name="_______________cha6" localSheetId="29">#REF!</definedName>
    <definedName name="_______________cha6">#REF!</definedName>
    <definedName name="_______________crc1">[1]combined!$B$176:$H$232</definedName>
    <definedName name="_______________crc2">[1]combined!$B$236:$H$301</definedName>
    <definedName name="_______________crc3">[1]combined!$B$329:$H$387</definedName>
    <definedName name="_______________GRP1">'[2]BS 590'!$B$313:$G$386</definedName>
    <definedName name="_______________GRP2">'[2]BS 590'!$B$388:$G$427</definedName>
    <definedName name="_______________GRP3" localSheetId="22">'[4]BS&amp;PLA'!#REF!</definedName>
    <definedName name="_______________GRP3" localSheetId="28">'[4]BS&amp;PLA'!#REF!</definedName>
    <definedName name="_______________GRP3" localSheetId="21">'[4]BS&amp;PLA'!#REF!</definedName>
    <definedName name="_______________GRP3" localSheetId="29">'[4]BS&amp;PLA'!#REF!</definedName>
    <definedName name="_______________GRP3">'[4]BS&amp;PLA'!#REF!</definedName>
    <definedName name="_______________GRP4" localSheetId="28">'[4]BS&amp;PLA'!#REF!</definedName>
    <definedName name="_______________GRP4" localSheetId="29">'[4]BS&amp;PLA'!#REF!</definedName>
    <definedName name="_______________GRP4">'[4]BS&amp;PLA'!#REF!</definedName>
    <definedName name="_______________sch1">'[2]BS 590'!$B$125:$H$165</definedName>
    <definedName name="_______________sch2">'[2]BS 590'!$B$166:$H$193</definedName>
    <definedName name="_______________sch3">'[2]BS 590'!$B$194:$H$231</definedName>
    <definedName name="_______________sch4">'[2]BS 590'!$B$233:$H$280</definedName>
    <definedName name="_______________sch5">'[2]BS 590'!$B$281:$H$312</definedName>
    <definedName name="_______________STK1" localSheetId="22">#REF!</definedName>
    <definedName name="_______________STK1" localSheetId="28">#REF!</definedName>
    <definedName name="_______________STK1" localSheetId="21">#REF!</definedName>
    <definedName name="_______________STK1" localSheetId="29">#REF!</definedName>
    <definedName name="_______________STK1">#REF!</definedName>
    <definedName name="_______________STK2" localSheetId="22">#REF!</definedName>
    <definedName name="_______________STK2" localSheetId="28">#REF!</definedName>
    <definedName name="_______________STK2" localSheetId="21">#REF!</definedName>
    <definedName name="_______________STK2" localSheetId="29">#REF!</definedName>
    <definedName name="_______________STK2">#REF!</definedName>
    <definedName name="_______________STK3" localSheetId="22">#REF!</definedName>
    <definedName name="_______________STK3" localSheetId="28">#REF!</definedName>
    <definedName name="_______________STK3" localSheetId="21">#REF!</definedName>
    <definedName name="_______________STK3" localSheetId="29">#REF!</definedName>
    <definedName name="_______________STK3">#REF!</definedName>
    <definedName name="______________cha1" localSheetId="22">#REF!</definedName>
    <definedName name="______________cha1" localSheetId="28">#REF!</definedName>
    <definedName name="______________cha1" localSheetId="21">#REF!</definedName>
    <definedName name="______________cha1" localSheetId="29">#REF!</definedName>
    <definedName name="______________cha1">#REF!</definedName>
    <definedName name="______________cha2" localSheetId="22">#REF!</definedName>
    <definedName name="______________cha2" localSheetId="28">#REF!</definedName>
    <definedName name="______________cha2" localSheetId="21">#REF!</definedName>
    <definedName name="______________cha2" localSheetId="29">#REF!</definedName>
    <definedName name="______________cha2">#REF!</definedName>
    <definedName name="______________cha3" localSheetId="22">#REF!</definedName>
    <definedName name="______________cha3" localSheetId="28">#REF!</definedName>
    <definedName name="______________cha3" localSheetId="21">#REF!</definedName>
    <definedName name="______________cha3" localSheetId="29">#REF!</definedName>
    <definedName name="______________cha3">#REF!</definedName>
    <definedName name="______________cha4" localSheetId="22">#REF!</definedName>
    <definedName name="______________cha4" localSheetId="28">#REF!</definedName>
    <definedName name="______________cha4" localSheetId="21">#REF!</definedName>
    <definedName name="______________cha4" localSheetId="29">#REF!</definedName>
    <definedName name="______________cha4">#REF!</definedName>
    <definedName name="______________cha5" localSheetId="22">#REF!</definedName>
    <definedName name="______________cha5" localSheetId="28">#REF!</definedName>
    <definedName name="______________cha5" localSheetId="21">#REF!</definedName>
    <definedName name="______________cha5" localSheetId="29">#REF!</definedName>
    <definedName name="______________cha5">#REF!</definedName>
    <definedName name="______________cha6" localSheetId="22">#REF!</definedName>
    <definedName name="______________cha6" localSheetId="28">#REF!</definedName>
    <definedName name="______________cha6" localSheetId="21">#REF!</definedName>
    <definedName name="______________cha6" localSheetId="29">#REF!</definedName>
    <definedName name="______________cha6">#REF!</definedName>
    <definedName name="______________crc1">[1]combined!$B$176:$H$232</definedName>
    <definedName name="______________crc2">[1]combined!$B$236:$H$301</definedName>
    <definedName name="______________crc3">[1]combined!$B$329:$H$387</definedName>
    <definedName name="______________GRP1">'[2]BS 590'!$B$313:$G$386</definedName>
    <definedName name="______________GRP2">'[2]BS 590'!$B$388:$G$427</definedName>
    <definedName name="______________GRP3" localSheetId="22">'[4]BS&amp;PLA'!#REF!</definedName>
    <definedName name="______________GRP3" localSheetId="28">'[4]BS&amp;PLA'!#REF!</definedName>
    <definedName name="______________GRP3" localSheetId="21">'[4]BS&amp;PLA'!#REF!</definedName>
    <definedName name="______________GRP3" localSheetId="29">'[4]BS&amp;PLA'!#REF!</definedName>
    <definedName name="______________GRP3">'[4]BS&amp;PLA'!#REF!</definedName>
    <definedName name="______________GRP4" localSheetId="28">'[4]BS&amp;PLA'!#REF!</definedName>
    <definedName name="______________GRP4" localSheetId="29">'[4]BS&amp;PLA'!#REF!</definedName>
    <definedName name="______________GRP4">'[4]BS&amp;PLA'!#REF!</definedName>
    <definedName name="______________sch1">'[2]BS 590'!$B$125:$H$165</definedName>
    <definedName name="______________sch2">'[2]BS 590'!$B$166:$H$193</definedName>
    <definedName name="______________sch3">'[2]BS 590'!$B$194:$H$231</definedName>
    <definedName name="______________sch4">'[2]BS 590'!$B$233:$H$280</definedName>
    <definedName name="______________sch5">'[2]BS 590'!$B$281:$H$312</definedName>
    <definedName name="______________STK1" localSheetId="22">#REF!</definedName>
    <definedName name="______________STK1" localSheetId="28">#REF!</definedName>
    <definedName name="______________STK1" localSheetId="21">#REF!</definedName>
    <definedName name="______________STK1" localSheetId="29">#REF!</definedName>
    <definedName name="______________STK1">#REF!</definedName>
    <definedName name="______________STK2" localSheetId="22">#REF!</definedName>
    <definedName name="______________STK2" localSheetId="28">#REF!</definedName>
    <definedName name="______________STK2" localSheetId="21">#REF!</definedName>
    <definedName name="______________STK2" localSheetId="29">#REF!</definedName>
    <definedName name="______________STK2">#REF!</definedName>
    <definedName name="______________STK3" localSheetId="22">#REF!</definedName>
    <definedName name="______________STK3" localSheetId="28">#REF!</definedName>
    <definedName name="______________STK3" localSheetId="21">#REF!</definedName>
    <definedName name="______________STK3" localSheetId="29">#REF!</definedName>
    <definedName name="______________STK3">#REF!</definedName>
    <definedName name="_____________cha1" localSheetId="22">#REF!</definedName>
    <definedName name="_____________cha1" localSheetId="28">#REF!</definedName>
    <definedName name="_____________cha1" localSheetId="21">#REF!</definedName>
    <definedName name="_____________cha1" localSheetId="29">#REF!</definedName>
    <definedName name="_____________cha1">#REF!</definedName>
    <definedName name="_____________cha2" localSheetId="22">#REF!</definedName>
    <definedName name="_____________cha2" localSheetId="28">#REF!</definedName>
    <definedName name="_____________cha2" localSheetId="21">#REF!</definedName>
    <definedName name="_____________cha2" localSheetId="29">#REF!</definedName>
    <definedName name="_____________cha2">#REF!</definedName>
    <definedName name="_____________cha3" localSheetId="22">#REF!</definedName>
    <definedName name="_____________cha3" localSheetId="28">#REF!</definedName>
    <definedName name="_____________cha3" localSheetId="21">#REF!</definedName>
    <definedName name="_____________cha3" localSheetId="29">#REF!</definedName>
    <definedName name="_____________cha3">#REF!</definedName>
    <definedName name="_____________cha4" localSheetId="22">#REF!</definedName>
    <definedName name="_____________cha4" localSheetId="28">#REF!</definedName>
    <definedName name="_____________cha4" localSheetId="21">#REF!</definedName>
    <definedName name="_____________cha4" localSheetId="29">#REF!</definedName>
    <definedName name="_____________cha4">#REF!</definedName>
    <definedName name="_____________cha5" localSheetId="22">#REF!</definedName>
    <definedName name="_____________cha5" localSheetId="28">#REF!</definedName>
    <definedName name="_____________cha5" localSheetId="21">#REF!</definedName>
    <definedName name="_____________cha5" localSheetId="29">#REF!</definedName>
    <definedName name="_____________cha5">#REF!</definedName>
    <definedName name="_____________cha6" localSheetId="22">#REF!</definedName>
    <definedName name="_____________cha6" localSheetId="28">#REF!</definedName>
    <definedName name="_____________cha6" localSheetId="21">#REF!</definedName>
    <definedName name="_____________cha6" localSheetId="29">#REF!</definedName>
    <definedName name="_____________cha6">#REF!</definedName>
    <definedName name="_____________crc1">[1]combined!$B$176:$H$232</definedName>
    <definedName name="_____________crc2">[1]combined!$B$236:$H$301</definedName>
    <definedName name="_____________crc3">[1]combined!$B$329:$H$387</definedName>
    <definedName name="_____________GRP1">'[2]BS 590'!$B$313:$G$386</definedName>
    <definedName name="_____________GRP2">'[2]BS 590'!$B$388:$G$427</definedName>
    <definedName name="_____________GRP3" localSheetId="22">'[4]BS&amp;PLA'!#REF!</definedName>
    <definedName name="_____________GRP3" localSheetId="28">'[4]BS&amp;PLA'!#REF!</definedName>
    <definedName name="_____________GRP3" localSheetId="21">'[4]BS&amp;PLA'!#REF!</definedName>
    <definedName name="_____________GRP3" localSheetId="29">'[4]BS&amp;PLA'!#REF!</definedName>
    <definedName name="_____________GRP3">'[4]BS&amp;PLA'!#REF!</definedName>
    <definedName name="_____________GRP4" localSheetId="28">'[4]BS&amp;PLA'!#REF!</definedName>
    <definedName name="_____________GRP4" localSheetId="29">'[4]BS&amp;PLA'!#REF!</definedName>
    <definedName name="_____________GRP4">'[4]BS&amp;PLA'!#REF!</definedName>
    <definedName name="_____________sch1">'[2]BS 590'!$B$125:$H$165</definedName>
    <definedName name="_____________sch2">'[2]BS 590'!$B$166:$H$193</definedName>
    <definedName name="_____________sch3">'[2]BS 590'!$B$194:$H$231</definedName>
    <definedName name="_____________sch4">'[2]BS 590'!$B$233:$H$280</definedName>
    <definedName name="_____________sch5">'[2]BS 590'!$B$281:$H$312</definedName>
    <definedName name="_____________STK1" localSheetId="22">#REF!</definedName>
    <definedName name="_____________STK1" localSheetId="28">#REF!</definedName>
    <definedName name="_____________STK1" localSheetId="21">#REF!</definedName>
    <definedName name="_____________STK1" localSheetId="29">#REF!</definedName>
    <definedName name="_____________STK1">#REF!</definedName>
    <definedName name="_____________STK2" localSheetId="22">#REF!</definedName>
    <definedName name="_____________STK2" localSheetId="28">#REF!</definedName>
    <definedName name="_____________STK2" localSheetId="21">#REF!</definedName>
    <definedName name="_____________STK2" localSheetId="29">#REF!</definedName>
    <definedName name="_____________STK2">#REF!</definedName>
    <definedName name="_____________STK3" localSheetId="22">#REF!</definedName>
    <definedName name="_____________STK3" localSheetId="28">#REF!</definedName>
    <definedName name="_____________STK3" localSheetId="21">#REF!</definedName>
    <definedName name="_____________STK3" localSheetId="29">#REF!</definedName>
    <definedName name="_____________STK3">#REF!</definedName>
    <definedName name="____________cha1" localSheetId="22">#REF!</definedName>
    <definedName name="____________cha1" localSheetId="28">#REF!</definedName>
    <definedName name="____________cha1" localSheetId="21">#REF!</definedName>
    <definedName name="____________cha1" localSheetId="29">#REF!</definedName>
    <definedName name="____________cha1">#REF!</definedName>
    <definedName name="____________cha2" localSheetId="22">#REF!</definedName>
    <definedName name="____________cha2" localSheetId="28">#REF!</definedName>
    <definedName name="____________cha2" localSheetId="21">#REF!</definedName>
    <definedName name="____________cha2" localSheetId="29">#REF!</definedName>
    <definedName name="____________cha2">#REF!</definedName>
    <definedName name="____________cha3" localSheetId="22">#REF!</definedName>
    <definedName name="____________cha3" localSheetId="28">#REF!</definedName>
    <definedName name="____________cha3" localSheetId="21">#REF!</definedName>
    <definedName name="____________cha3" localSheetId="29">#REF!</definedName>
    <definedName name="____________cha3">#REF!</definedName>
    <definedName name="____________cha4" localSheetId="22">#REF!</definedName>
    <definedName name="____________cha4" localSheetId="28">#REF!</definedName>
    <definedName name="____________cha4" localSheetId="21">#REF!</definedName>
    <definedName name="____________cha4" localSheetId="29">#REF!</definedName>
    <definedName name="____________cha4">#REF!</definedName>
    <definedName name="____________cha5" localSheetId="22">#REF!</definedName>
    <definedName name="____________cha5" localSheetId="28">#REF!</definedName>
    <definedName name="____________cha5" localSheetId="21">#REF!</definedName>
    <definedName name="____________cha5" localSheetId="29">#REF!</definedName>
    <definedName name="____________cha5">#REF!</definedName>
    <definedName name="____________cha6" localSheetId="22">#REF!</definedName>
    <definedName name="____________cha6" localSheetId="28">#REF!</definedName>
    <definedName name="____________cha6" localSheetId="21">#REF!</definedName>
    <definedName name="____________cha6" localSheetId="29">#REF!</definedName>
    <definedName name="____________cha6">#REF!</definedName>
    <definedName name="____________crc1">[1]combined!$B$176:$H$232</definedName>
    <definedName name="____________crc2">[1]combined!$B$236:$H$301</definedName>
    <definedName name="____________crc3">[1]combined!$B$329:$H$387</definedName>
    <definedName name="____________GRP1">'[2]BS 590'!$B$313:$G$386</definedName>
    <definedName name="____________GRP2">'[2]BS 590'!$B$388:$G$427</definedName>
    <definedName name="____________GRP3" localSheetId="22">'[4]BS&amp;PLA'!#REF!</definedName>
    <definedName name="____________GRP3" localSheetId="28">'[4]BS&amp;PLA'!#REF!</definedName>
    <definedName name="____________GRP3" localSheetId="21">'[4]BS&amp;PLA'!#REF!</definedName>
    <definedName name="____________GRP3" localSheetId="29">'[4]BS&amp;PLA'!#REF!</definedName>
    <definedName name="____________GRP3">'[4]BS&amp;PLA'!#REF!</definedName>
    <definedName name="____________GRP4" localSheetId="28">'[4]BS&amp;PLA'!#REF!</definedName>
    <definedName name="____________GRP4" localSheetId="29">'[4]BS&amp;PLA'!#REF!</definedName>
    <definedName name="____________GRP4">'[4]BS&amp;PLA'!#REF!</definedName>
    <definedName name="____________sch1">'[2]BS 590'!$B$125:$H$165</definedName>
    <definedName name="____________sch2">'[2]BS 590'!$B$166:$H$193</definedName>
    <definedName name="____________sch3">'[2]BS 590'!$B$194:$H$231</definedName>
    <definedName name="____________sch4">'[2]BS 590'!$B$233:$H$280</definedName>
    <definedName name="____________sch5">'[2]BS 590'!$B$281:$H$312</definedName>
    <definedName name="____________STK1" localSheetId="22">#REF!</definedName>
    <definedName name="____________STK1" localSheetId="28">#REF!</definedName>
    <definedName name="____________STK1" localSheetId="21">#REF!</definedName>
    <definedName name="____________STK1" localSheetId="29">#REF!</definedName>
    <definedName name="____________STK1">#REF!</definedName>
    <definedName name="____________STK2" localSheetId="22">#REF!</definedName>
    <definedName name="____________STK2" localSheetId="28">#REF!</definedName>
    <definedName name="____________STK2" localSheetId="21">#REF!</definedName>
    <definedName name="____________STK2" localSheetId="29">#REF!</definedName>
    <definedName name="____________STK2">#REF!</definedName>
    <definedName name="____________STK3" localSheetId="22">#REF!</definedName>
    <definedName name="____________STK3" localSheetId="28">#REF!</definedName>
    <definedName name="____________STK3" localSheetId="21">#REF!</definedName>
    <definedName name="____________STK3" localSheetId="29">#REF!</definedName>
    <definedName name="____________STK3">#REF!</definedName>
    <definedName name="___________cha1" localSheetId="22">#REF!</definedName>
    <definedName name="___________cha1" localSheetId="28">#REF!</definedName>
    <definedName name="___________cha1" localSheetId="21">#REF!</definedName>
    <definedName name="___________cha1" localSheetId="29">#REF!</definedName>
    <definedName name="___________cha1">#REF!</definedName>
    <definedName name="___________cha2" localSheetId="22">#REF!</definedName>
    <definedName name="___________cha2" localSheetId="28">#REF!</definedName>
    <definedName name="___________cha2" localSheetId="21">#REF!</definedName>
    <definedName name="___________cha2" localSheetId="29">#REF!</definedName>
    <definedName name="___________cha2">#REF!</definedName>
    <definedName name="___________cha3" localSheetId="22">#REF!</definedName>
    <definedName name="___________cha3" localSheetId="28">#REF!</definedName>
    <definedName name="___________cha3" localSheetId="21">#REF!</definedName>
    <definedName name="___________cha3" localSheetId="29">#REF!</definedName>
    <definedName name="___________cha3">#REF!</definedName>
    <definedName name="___________cha4" localSheetId="22">#REF!</definedName>
    <definedName name="___________cha4" localSheetId="28">#REF!</definedName>
    <definedName name="___________cha4" localSheetId="21">#REF!</definedName>
    <definedName name="___________cha4" localSheetId="29">#REF!</definedName>
    <definedName name="___________cha4">#REF!</definedName>
    <definedName name="___________cha5" localSheetId="22">#REF!</definedName>
    <definedName name="___________cha5" localSheetId="28">#REF!</definedName>
    <definedName name="___________cha5" localSheetId="21">#REF!</definedName>
    <definedName name="___________cha5" localSheetId="29">#REF!</definedName>
    <definedName name="___________cha5">#REF!</definedName>
    <definedName name="___________cha6" localSheetId="22">#REF!</definedName>
    <definedName name="___________cha6" localSheetId="28">#REF!</definedName>
    <definedName name="___________cha6" localSheetId="21">#REF!</definedName>
    <definedName name="___________cha6" localSheetId="29">#REF!</definedName>
    <definedName name="___________cha6">#REF!</definedName>
    <definedName name="___________crc1">[1]combined!$B$176:$H$232</definedName>
    <definedName name="___________crc2">[1]combined!$B$236:$H$301</definedName>
    <definedName name="___________crc3">[1]combined!$B$329:$H$387</definedName>
    <definedName name="___________GRP1">'[2]BS 590'!$B$313:$G$386</definedName>
    <definedName name="___________GRP2">'[2]BS 590'!$B$388:$G$427</definedName>
    <definedName name="___________GRP3" localSheetId="22">'[4]BS&amp;PLA'!#REF!</definedName>
    <definedName name="___________GRP3" localSheetId="28">'[4]BS&amp;PLA'!#REF!</definedName>
    <definedName name="___________GRP3" localSheetId="21">'[4]BS&amp;PLA'!#REF!</definedName>
    <definedName name="___________GRP3" localSheetId="29">'[4]BS&amp;PLA'!#REF!</definedName>
    <definedName name="___________GRP3">'[4]BS&amp;PLA'!#REF!</definedName>
    <definedName name="___________GRP4" localSheetId="28">'[4]BS&amp;PLA'!#REF!</definedName>
    <definedName name="___________GRP4" localSheetId="29">'[4]BS&amp;PLA'!#REF!</definedName>
    <definedName name="___________GRP4">'[4]BS&amp;PLA'!#REF!</definedName>
    <definedName name="___________sch1">'[2]BS 590'!$B$125:$H$165</definedName>
    <definedName name="___________sch2">'[2]BS 590'!$B$166:$H$193</definedName>
    <definedName name="___________sch3">'[2]BS 590'!$B$194:$H$231</definedName>
    <definedName name="___________sch4">'[2]BS 590'!$B$233:$H$280</definedName>
    <definedName name="___________sch5">'[2]BS 590'!$B$281:$H$312</definedName>
    <definedName name="___________STK1" localSheetId="22">#REF!</definedName>
    <definedName name="___________STK1" localSheetId="28">#REF!</definedName>
    <definedName name="___________STK1" localSheetId="21">#REF!</definedName>
    <definedName name="___________STK1" localSheetId="29">#REF!</definedName>
    <definedName name="___________STK1">#REF!</definedName>
    <definedName name="___________STK2" localSheetId="22">#REF!</definedName>
    <definedName name="___________STK2" localSheetId="28">#REF!</definedName>
    <definedName name="___________STK2" localSheetId="21">#REF!</definedName>
    <definedName name="___________STK2" localSheetId="29">#REF!</definedName>
    <definedName name="___________STK2">#REF!</definedName>
    <definedName name="___________STK3" localSheetId="22">#REF!</definedName>
    <definedName name="___________STK3" localSheetId="28">#REF!</definedName>
    <definedName name="___________STK3" localSheetId="21">#REF!</definedName>
    <definedName name="___________STK3" localSheetId="29">#REF!</definedName>
    <definedName name="___________STK3">#REF!</definedName>
    <definedName name="__________cha1" localSheetId="22">#REF!</definedName>
    <definedName name="__________cha1" localSheetId="28">#REF!</definedName>
    <definedName name="__________cha1" localSheetId="21">#REF!</definedName>
    <definedName name="__________cha1" localSheetId="29">#REF!</definedName>
    <definedName name="__________cha1">#REF!</definedName>
    <definedName name="__________cha2" localSheetId="22">#REF!</definedName>
    <definedName name="__________cha2" localSheetId="28">#REF!</definedName>
    <definedName name="__________cha2" localSheetId="21">#REF!</definedName>
    <definedName name="__________cha2" localSheetId="29">#REF!</definedName>
    <definedName name="__________cha2">#REF!</definedName>
    <definedName name="__________cha3" localSheetId="22">#REF!</definedName>
    <definedName name="__________cha3" localSheetId="28">#REF!</definedName>
    <definedName name="__________cha3" localSheetId="21">#REF!</definedName>
    <definedName name="__________cha3" localSheetId="29">#REF!</definedName>
    <definedName name="__________cha3">#REF!</definedName>
    <definedName name="__________cha4" localSheetId="22">#REF!</definedName>
    <definedName name="__________cha4" localSheetId="28">#REF!</definedName>
    <definedName name="__________cha4" localSheetId="21">#REF!</definedName>
    <definedName name="__________cha4" localSheetId="29">#REF!</definedName>
    <definedName name="__________cha4">#REF!</definedName>
    <definedName name="__________cha5" localSheetId="22">#REF!</definedName>
    <definedName name="__________cha5" localSheetId="28">#REF!</definedName>
    <definedName name="__________cha5" localSheetId="21">#REF!</definedName>
    <definedName name="__________cha5" localSheetId="29">#REF!</definedName>
    <definedName name="__________cha5">#REF!</definedName>
    <definedName name="__________cha6" localSheetId="22">#REF!</definedName>
    <definedName name="__________cha6" localSheetId="28">#REF!</definedName>
    <definedName name="__________cha6" localSheetId="21">#REF!</definedName>
    <definedName name="__________cha6" localSheetId="29">#REF!</definedName>
    <definedName name="__________cha6">#REF!</definedName>
    <definedName name="__________crc1">[1]combined!$B$176:$H$232</definedName>
    <definedName name="__________crc2">[1]combined!$B$236:$H$301</definedName>
    <definedName name="__________crc3">[1]combined!$B$329:$H$387</definedName>
    <definedName name="__________GRP1">'[2]BS 590'!$B$313:$G$386</definedName>
    <definedName name="__________GRP2">'[2]BS 590'!$B$388:$G$427</definedName>
    <definedName name="__________GRP3" localSheetId="22">'[4]BS&amp;PLA'!#REF!</definedName>
    <definedName name="__________GRP3" localSheetId="28">'[4]BS&amp;PLA'!#REF!</definedName>
    <definedName name="__________GRP3" localSheetId="21">'[4]BS&amp;PLA'!#REF!</definedName>
    <definedName name="__________GRP3" localSheetId="29">'[4]BS&amp;PLA'!#REF!</definedName>
    <definedName name="__________GRP3">'[4]BS&amp;PLA'!#REF!</definedName>
    <definedName name="__________GRP4" localSheetId="28">'[4]BS&amp;PLA'!#REF!</definedName>
    <definedName name="__________GRP4" localSheetId="29">'[4]BS&amp;PLA'!#REF!</definedName>
    <definedName name="__________GRP4">'[4]BS&amp;PLA'!#REF!</definedName>
    <definedName name="__________sch1">'[2]BS 590'!$B$125:$H$165</definedName>
    <definedName name="__________sch2">'[2]BS 590'!$B$166:$H$193</definedName>
    <definedName name="__________sch3">'[2]BS 590'!$B$194:$H$231</definedName>
    <definedName name="__________sch4">'[2]BS 590'!$B$233:$H$280</definedName>
    <definedName name="__________sch5">'[2]BS 590'!$B$281:$H$312</definedName>
    <definedName name="__________STK1" localSheetId="22">#REF!</definedName>
    <definedName name="__________STK1" localSheetId="28">#REF!</definedName>
    <definedName name="__________STK1" localSheetId="21">#REF!</definedName>
    <definedName name="__________STK1" localSheetId="29">#REF!</definedName>
    <definedName name="__________STK1">#REF!</definedName>
    <definedName name="__________STK2" localSheetId="22">#REF!</definedName>
    <definedName name="__________STK2" localSheetId="28">#REF!</definedName>
    <definedName name="__________STK2" localSheetId="21">#REF!</definedName>
    <definedName name="__________STK2" localSheetId="29">#REF!</definedName>
    <definedName name="__________STK2">#REF!</definedName>
    <definedName name="__________STK3" localSheetId="22">#REF!</definedName>
    <definedName name="__________STK3" localSheetId="28">#REF!</definedName>
    <definedName name="__________STK3" localSheetId="21">#REF!</definedName>
    <definedName name="__________STK3" localSheetId="29">#REF!</definedName>
    <definedName name="__________STK3">#REF!</definedName>
    <definedName name="_________cha1" localSheetId="22">#REF!</definedName>
    <definedName name="_________cha1" localSheetId="28">#REF!</definedName>
    <definedName name="_________cha1" localSheetId="21">#REF!</definedName>
    <definedName name="_________cha1" localSheetId="29">#REF!</definedName>
    <definedName name="_________cha1">#REF!</definedName>
    <definedName name="_________cha2" localSheetId="22">#REF!</definedName>
    <definedName name="_________cha2" localSheetId="28">#REF!</definedName>
    <definedName name="_________cha2" localSheetId="21">#REF!</definedName>
    <definedName name="_________cha2" localSheetId="29">#REF!</definedName>
    <definedName name="_________cha2">#REF!</definedName>
    <definedName name="_________cha3" localSheetId="22">#REF!</definedName>
    <definedName name="_________cha3" localSheetId="28">#REF!</definedName>
    <definedName name="_________cha3" localSheetId="21">#REF!</definedName>
    <definedName name="_________cha3" localSheetId="29">#REF!</definedName>
    <definedName name="_________cha3">#REF!</definedName>
    <definedName name="_________cha4" localSheetId="22">#REF!</definedName>
    <definedName name="_________cha4" localSheetId="28">#REF!</definedName>
    <definedName name="_________cha4" localSheetId="21">#REF!</definedName>
    <definedName name="_________cha4" localSheetId="29">#REF!</definedName>
    <definedName name="_________cha4">#REF!</definedName>
    <definedName name="_________cha5" localSheetId="22">#REF!</definedName>
    <definedName name="_________cha5" localSheetId="28">#REF!</definedName>
    <definedName name="_________cha5" localSheetId="21">#REF!</definedName>
    <definedName name="_________cha5" localSheetId="29">#REF!</definedName>
    <definedName name="_________cha5">#REF!</definedName>
    <definedName name="_________cha6" localSheetId="22">#REF!</definedName>
    <definedName name="_________cha6" localSheetId="28">#REF!</definedName>
    <definedName name="_________cha6" localSheetId="21">#REF!</definedName>
    <definedName name="_________cha6" localSheetId="29">#REF!</definedName>
    <definedName name="_________cha6">#REF!</definedName>
    <definedName name="_________crc1">[1]combined!$B$176:$H$232</definedName>
    <definedName name="_________crc2">[1]combined!$B$236:$H$301</definedName>
    <definedName name="_________crc3">[1]combined!$B$329:$H$387</definedName>
    <definedName name="_________GRP1">'[2]BS 590'!$B$313:$G$386</definedName>
    <definedName name="_________GRP2">'[2]BS 590'!$B$388:$G$427</definedName>
    <definedName name="_________GRP3" localSheetId="22">'[4]BS&amp;PLA'!#REF!</definedName>
    <definedName name="_________GRP3" localSheetId="28">'[4]BS&amp;PLA'!#REF!</definedName>
    <definedName name="_________GRP3" localSheetId="21">'[4]BS&amp;PLA'!#REF!</definedName>
    <definedName name="_________GRP3" localSheetId="29">'[4]BS&amp;PLA'!#REF!</definedName>
    <definedName name="_________GRP3">'[4]BS&amp;PLA'!#REF!</definedName>
    <definedName name="_________GRP4" localSheetId="28">'[4]BS&amp;PLA'!#REF!</definedName>
    <definedName name="_________GRP4" localSheetId="29">'[4]BS&amp;PLA'!#REF!</definedName>
    <definedName name="_________GRP4">'[4]BS&amp;PLA'!#REF!</definedName>
    <definedName name="_________sch1">'[2]BS 590'!$B$125:$H$165</definedName>
    <definedName name="_________sch2">'[2]BS 590'!$B$166:$H$193</definedName>
    <definedName name="_________sch3">'[2]BS 590'!$B$194:$H$231</definedName>
    <definedName name="_________sch4">'[2]BS 590'!$B$233:$H$280</definedName>
    <definedName name="_________sch5">'[2]BS 590'!$B$281:$H$312</definedName>
    <definedName name="_________STK1" localSheetId="22">#REF!</definedName>
    <definedName name="_________STK1" localSheetId="28">#REF!</definedName>
    <definedName name="_________STK1" localSheetId="21">#REF!</definedName>
    <definedName name="_________STK1" localSheetId="29">#REF!</definedName>
    <definedName name="_________STK1">#REF!</definedName>
    <definedName name="_________STK2" localSheetId="22">#REF!</definedName>
    <definedName name="_________STK2" localSheetId="28">#REF!</definedName>
    <definedName name="_________STK2" localSheetId="21">#REF!</definedName>
    <definedName name="_________STK2" localSheetId="29">#REF!</definedName>
    <definedName name="_________STK2">#REF!</definedName>
    <definedName name="_________STK3" localSheetId="22">#REF!</definedName>
    <definedName name="_________STK3" localSheetId="28">#REF!</definedName>
    <definedName name="_________STK3" localSheetId="21">#REF!</definedName>
    <definedName name="_________STK3" localSheetId="29">#REF!</definedName>
    <definedName name="_________STK3">#REF!</definedName>
    <definedName name="________cha1" localSheetId="22">#REF!</definedName>
    <definedName name="________cha1" localSheetId="28">#REF!</definedName>
    <definedName name="________cha1" localSheetId="21">#REF!</definedName>
    <definedName name="________cha1" localSheetId="29">#REF!</definedName>
    <definedName name="________cha1">#REF!</definedName>
    <definedName name="________cha2" localSheetId="22">#REF!</definedName>
    <definedName name="________cha2" localSheetId="28">#REF!</definedName>
    <definedName name="________cha2" localSheetId="21">#REF!</definedName>
    <definedName name="________cha2" localSheetId="29">#REF!</definedName>
    <definedName name="________cha2">#REF!</definedName>
    <definedName name="________cha3" localSheetId="22">#REF!</definedName>
    <definedName name="________cha3" localSheetId="28">#REF!</definedName>
    <definedName name="________cha3" localSheetId="21">#REF!</definedName>
    <definedName name="________cha3" localSheetId="29">#REF!</definedName>
    <definedName name="________cha3">#REF!</definedName>
    <definedName name="________cha4" localSheetId="22">#REF!</definedName>
    <definedName name="________cha4" localSheetId="28">#REF!</definedName>
    <definedName name="________cha4" localSheetId="21">#REF!</definedName>
    <definedName name="________cha4" localSheetId="29">#REF!</definedName>
    <definedName name="________cha4">#REF!</definedName>
    <definedName name="________cha5" localSheetId="22">#REF!</definedName>
    <definedName name="________cha5" localSheetId="28">#REF!</definedName>
    <definedName name="________cha5" localSheetId="21">#REF!</definedName>
    <definedName name="________cha5" localSheetId="29">#REF!</definedName>
    <definedName name="________cha5">#REF!</definedName>
    <definedName name="________cha6" localSheetId="22">#REF!</definedName>
    <definedName name="________cha6" localSheetId="28">#REF!</definedName>
    <definedName name="________cha6" localSheetId="21">#REF!</definedName>
    <definedName name="________cha6" localSheetId="29">#REF!</definedName>
    <definedName name="________cha6">#REF!</definedName>
    <definedName name="________crc1">[1]combined!$B$176:$H$232</definedName>
    <definedName name="________crc2">[1]combined!$B$236:$H$301</definedName>
    <definedName name="________crc3">[1]combined!$B$329:$H$387</definedName>
    <definedName name="________GRP1">'[2]BS 590'!$B$313:$G$386</definedName>
    <definedName name="________GRP2" localSheetId="22">'[3]BS&amp;PLA'!#REF!</definedName>
    <definedName name="________GRP2" localSheetId="28">'[3]BS&amp;PLA'!#REF!</definedName>
    <definedName name="________GRP2" localSheetId="21">'[3]BS&amp;PLA'!#REF!</definedName>
    <definedName name="________GRP2" localSheetId="29">'[3]BS&amp;PLA'!#REF!</definedName>
    <definedName name="________GRP2">'[3]BS&amp;PLA'!#REF!</definedName>
    <definedName name="________GRP3" localSheetId="28">'[3]BS&amp;PLA'!#REF!</definedName>
    <definedName name="________GRP3" localSheetId="29">'[3]BS&amp;PLA'!#REF!</definedName>
    <definedName name="________GRP3">'[3]BS&amp;PLA'!#REF!</definedName>
    <definedName name="________GRP4" localSheetId="28">'[3]BS&amp;PLA'!#REF!</definedName>
    <definedName name="________GRP4" localSheetId="29">'[3]BS&amp;PLA'!#REF!</definedName>
    <definedName name="________GRP4">'[3]BS&amp;PLA'!#REF!</definedName>
    <definedName name="________sch1">'[2]BS 590'!$B$125:$H$165</definedName>
    <definedName name="________sch2">'[2]BS 590'!$B$166:$H$193</definedName>
    <definedName name="________sch3">'[2]BS 590'!$B$194:$H$231</definedName>
    <definedName name="________sch4">'[2]BS 590'!$B$233:$H$280</definedName>
    <definedName name="________sch5">'[2]BS 590'!$B$281:$H$312</definedName>
    <definedName name="________STK1" localSheetId="22">#REF!</definedName>
    <definedName name="________STK1" localSheetId="28">#REF!</definedName>
    <definedName name="________STK1" localSheetId="21">#REF!</definedName>
    <definedName name="________STK1" localSheetId="29">#REF!</definedName>
    <definedName name="________STK1">#REF!</definedName>
    <definedName name="________STK2" localSheetId="22">#REF!</definedName>
    <definedName name="________STK2" localSheetId="28">#REF!</definedName>
    <definedName name="________STK2" localSheetId="21">#REF!</definedName>
    <definedName name="________STK2" localSheetId="29">#REF!</definedName>
    <definedName name="________STK2">#REF!</definedName>
    <definedName name="________STK3" localSheetId="22">#REF!</definedName>
    <definedName name="________STK3" localSheetId="28">#REF!</definedName>
    <definedName name="________STK3" localSheetId="21">#REF!</definedName>
    <definedName name="________STK3" localSheetId="29">#REF!</definedName>
    <definedName name="________STK3">#REF!</definedName>
    <definedName name="_______cha1" localSheetId="22">#REF!</definedName>
    <definedName name="_______cha1" localSheetId="28">#REF!</definedName>
    <definedName name="_______cha1" localSheetId="21">#REF!</definedName>
    <definedName name="_______cha1" localSheetId="29">#REF!</definedName>
    <definedName name="_______cha1">#REF!</definedName>
    <definedName name="_______cha2" localSheetId="22">#REF!</definedName>
    <definedName name="_______cha2" localSheetId="28">#REF!</definedName>
    <definedName name="_______cha2" localSheetId="21">#REF!</definedName>
    <definedName name="_______cha2" localSheetId="29">#REF!</definedName>
    <definedName name="_______cha2">#REF!</definedName>
    <definedName name="_______cha3" localSheetId="22">#REF!</definedName>
    <definedName name="_______cha3" localSheetId="28">#REF!</definedName>
    <definedName name="_______cha3" localSheetId="21">#REF!</definedName>
    <definedName name="_______cha3" localSheetId="29">#REF!</definedName>
    <definedName name="_______cha3">#REF!</definedName>
    <definedName name="_______cha4" localSheetId="22">#REF!</definedName>
    <definedName name="_______cha4" localSheetId="28">#REF!</definedName>
    <definedName name="_______cha4" localSheetId="21">#REF!</definedName>
    <definedName name="_______cha4" localSheetId="29">#REF!</definedName>
    <definedName name="_______cha4">#REF!</definedName>
    <definedName name="_______cha5" localSheetId="22">#REF!</definedName>
    <definedName name="_______cha5" localSheetId="28">#REF!</definedName>
    <definedName name="_______cha5" localSheetId="21">#REF!</definedName>
    <definedName name="_______cha5" localSheetId="29">#REF!</definedName>
    <definedName name="_______cha5">#REF!</definedName>
    <definedName name="_______cha6" localSheetId="22">#REF!</definedName>
    <definedName name="_______cha6" localSheetId="28">#REF!</definedName>
    <definedName name="_______cha6" localSheetId="21">#REF!</definedName>
    <definedName name="_______cha6" localSheetId="29">#REF!</definedName>
    <definedName name="_______cha6">#REF!</definedName>
    <definedName name="_______crc1">[1]combined!$B$176:$H$232</definedName>
    <definedName name="_______crc2">[1]combined!$B$236:$H$301</definedName>
    <definedName name="_______crc3">[1]combined!$B$329:$H$387</definedName>
    <definedName name="_______GRP1">'[2]BS 590'!$B$313:$G$386</definedName>
    <definedName name="_______GRP2">'[2]BS 590'!$B$388:$G$427</definedName>
    <definedName name="_______GRP3" localSheetId="22">'[4]BS&amp;PLA'!#REF!</definedName>
    <definedName name="_______GRP3" localSheetId="28">'[4]BS&amp;PLA'!#REF!</definedName>
    <definedName name="_______GRP3" localSheetId="21">'[4]BS&amp;PLA'!#REF!</definedName>
    <definedName name="_______GRP3" localSheetId="29">'[4]BS&amp;PLA'!#REF!</definedName>
    <definedName name="_______GRP3">'[4]BS&amp;PLA'!#REF!</definedName>
    <definedName name="_______GRP4" localSheetId="28">'[4]BS&amp;PLA'!#REF!</definedName>
    <definedName name="_______GRP4" localSheetId="29">'[4]BS&amp;PLA'!#REF!</definedName>
    <definedName name="_______GRP4">'[4]BS&amp;PLA'!#REF!</definedName>
    <definedName name="_______sch1">'[2]BS 590'!$B$125:$H$165</definedName>
    <definedName name="_______sch2">'[2]BS 590'!$B$166:$H$193</definedName>
    <definedName name="_______sch3">'[2]BS 590'!$B$194:$H$231</definedName>
    <definedName name="_______sch4">'[2]BS 590'!$B$233:$H$280</definedName>
    <definedName name="_______sch5">'[2]BS 590'!$B$281:$H$312</definedName>
    <definedName name="_______STK1" localSheetId="22">#REF!</definedName>
    <definedName name="_______STK1" localSheetId="28">#REF!</definedName>
    <definedName name="_______STK1" localSheetId="21">#REF!</definedName>
    <definedName name="_______STK1" localSheetId="29">#REF!</definedName>
    <definedName name="_______STK1">#REF!</definedName>
    <definedName name="_______STK2" localSheetId="22">#REF!</definedName>
    <definedName name="_______STK2" localSheetId="28">#REF!</definedName>
    <definedName name="_______STK2" localSheetId="21">#REF!</definedName>
    <definedName name="_______STK2" localSheetId="29">#REF!</definedName>
    <definedName name="_______STK2">#REF!</definedName>
    <definedName name="_______STK3" localSheetId="22">#REF!</definedName>
    <definedName name="_______STK3" localSheetId="28">#REF!</definedName>
    <definedName name="_______STK3" localSheetId="21">#REF!</definedName>
    <definedName name="_______STK3" localSheetId="29">#REF!</definedName>
    <definedName name="_______STK3">#REF!</definedName>
    <definedName name="______cha1" localSheetId="22">#REF!</definedName>
    <definedName name="______cha1" localSheetId="28">#REF!</definedName>
    <definedName name="______cha1" localSheetId="21">#REF!</definedName>
    <definedName name="______cha1" localSheetId="29">#REF!</definedName>
    <definedName name="______cha1">#REF!</definedName>
    <definedName name="______cha2" localSheetId="22">#REF!</definedName>
    <definedName name="______cha2" localSheetId="28">#REF!</definedName>
    <definedName name="______cha2" localSheetId="21">#REF!</definedName>
    <definedName name="______cha2" localSheetId="29">#REF!</definedName>
    <definedName name="______cha2">#REF!</definedName>
    <definedName name="______cha3" localSheetId="22">#REF!</definedName>
    <definedName name="______cha3" localSheetId="28">#REF!</definedName>
    <definedName name="______cha3" localSheetId="21">#REF!</definedName>
    <definedName name="______cha3" localSheetId="29">#REF!</definedName>
    <definedName name="______cha3">#REF!</definedName>
    <definedName name="______cha4" localSheetId="22">#REF!</definedName>
    <definedName name="______cha4" localSheetId="28">#REF!</definedName>
    <definedName name="______cha4" localSheetId="21">#REF!</definedName>
    <definedName name="______cha4" localSheetId="29">#REF!</definedName>
    <definedName name="______cha4">#REF!</definedName>
    <definedName name="______cha5" localSheetId="22">#REF!</definedName>
    <definedName name="______cha5" localSheetId="28">#REF!</definedName>
    <definedName name="______cha5" localSheetId="21">#REF!</definedName>
    <definedName name="______cha5" localSheetId="29">#REF!</definedName>
    <definedName name="______cha5">#REF!</definedName>
    <definedName name="______cha6" localSheetId="22">#REF!</definedName>
    <definedName name="______cha6" localSheetId="28">#REF!</definedName>
    <definedName name="______cha6" localSheetId="21">#REF!</definedName>
    <definedName name="______cha6" localSheetId="29">#REF!</definedName>
    <definedName name="______cha6">#REF!</definedName>
    <definedName name="______crc1">[1]combined!$B$176:$H$232</definedName>
    <definedName name="______crc2">[1]combined!$B$236:$H$301</definedName>
    <definedName name="______crc3">[1]combined!$B$329:$H$387</definedName>
    <definedName name="______GRP1">'[2]BS 590'!$B$313:$G$386</definedName>
    <definedName name="______GRP2">'[2]BS 590'!$B$388:$G$427</definedName>
    <definedName name="______GRP3" localSheetId="22">'[4]BS&amp;PLA'!#REF!</definedName>
    <definedName name="______GRP3" localSheetId="28">'[4]BS&amp;PLA'!#REF!</definedName>
    <definedName name="______GRP3" localSheetId="21">'[4]BS&amp;PLA'!#REF!</definedName>
    <definedName name="______GRP3" localSheetId="29">'[4]BS&amp;PLA'!#REF!</definedName>
    <definedName name="______GRP3">'[4]BS&amp;PLA'!#REF!</definedName>
    <definedName name="______GRP4" localSheetId="28">'[4]BS&amp;PLA'!#REF!</definedName>
    <definedName name="______GRP4" localSheetId="29">'[4]BS&amp;PLA'!#REF!</definedName>
    <definedName name="______GRP4">'[4]BS&amp;PLA'!#REF!</definedName>
    <definedName name="______PG3" localSheetId="28">[5]DEPIT979!#REF!</definedName>
    <definedName name="______PG3" localSheetId="29">[5]DEPIT979!#REF!</definedName>
    <definedName name="______PG3">[5]DEPIT979!#REF!</definedName>
    <definedName name="______sch1">'[2]BS 590'!$B$125:$H$165</definedName>
    <definedName name="______sch2">'[2]BS 590'!$B$166:$H$193</definedName>
    <definedName name="______sch3">'[2]BS 590'!$B$194:$H$231</definedName>
    <definedName name="______sch4">'[2]BS 590'!$B$233:$H$280</definedName>
    <definedName name="______sch5">'[2]BS 590'!$B$281:$H$312</definedName>
    <definedName name="______STK1" localSheetId="22">#REF!</definedName>
    <definedName name="______STK1" localSheetId="28">#REF!</definedName>
    <definedName name="______STK1" localSheetId="21">#REF!</definedName>
    <definedName name="______STK1" localSheetId="29">#REF!</definedName>
    <definedName name="______STK1">#REF!</definedName>
    <definedName name="______STK2" localSheetId="22">#REF!</definedName>
    <definedName name="______STK2" localSheetId="28">#REF!</definedName>
    <definedName name="______STK2" localSheetId="21">#REF!</definedName>
    <definedName name="______STK2" localSheetId="29">#REF!</definedName>
    <definedName name="______STK2">#REF!</definedName>
    <definedName name="______STK3" localSheetId="22">#REF!</definedName>
    <definedName name="______STK3" localSheetId="28">#REF!</definedName>
    <definedName name="______STK3" localSheetId="21">#REF!</definedName>
    <definedName name="______STK3" localSheetId="29">#REF!</definedName>
    <definedName name="______STK3">#REF!</definedName>
    <definedName name="_____cha1" localSheetId="22">#REF!</definedName>
    <definedName name="_____cha1" localSheetId="28">#REF!</definedName>
    <definedName name="_____cha1" localSheetId="21">#REF!</definedName>
    <definedName name="_____cha1" localSheetId="29">#REF!</definedName>
    <definedName name="_____cha1">#REF!</definedName>
    <definedName name="_____cha2" localSheetId="22">#REF!</definedName>
    <definedName name="_____cha2" localSheetId="28">#REF!</definedName>
    <definedName name="_____cha2" localSheetId="21">#REF!</definedName>
    <definedName name="_____cha2" localSheetId="29">#REF!</definedName>
    <definedName name="_____cha2">#REF!</definedName>
    <definedName name="_____cha3" localSheetId="22">#REF!</definedName>
    <definedName name="_____cha3" localSheetId="28">#REF!</definedName>
    <definedName name="_____cha3" localSheetId="21">#REF!</definedName>
    <definedName name="_____cha3" localSheetId="29">#REF!</definedName>
    <definedName name="_____cha3">#REF!</definedName>
    <definedName name="_____cha4" localSheetId="22">#REF!</definedName>
    <definedName name="_____cha4" localSheetId="28">#REF!</definedName>
    <definedName name="_____cha4" localSheetId="21">#REF!</definedName>
    <definedName name="_____cha4" localSheetId="29">#REF!</definedName>
    <definedName name="_____cha4">#REF!</definedName>
    <definedName name="_____cha5" localSheetId="22">#REF!</definedName>
    <definedName name="_____cha5" localSheetId="28">#REF!</definedName>
    <definedName name="_____cha5" localSheetId="21">#REF!</definedName>
    <definedName name="_____cha5" localSheetId="29">#REF!</definedName>
    <definedName name="_____cha5">#REF!</definedName>
    <definedName name="_____cha6" localSheetId="22">#REF!</definedName>
    <definedName name="_____cha6" localSheetId="28">#REF!</definedName>
    <definedName name="_____cha6" localSheetId="21">#REF!</definedName>
    <definedName name="_____cha6" localSheetId="29">#REF!</definedName>
    <definedName name="_____cha6">#REF!</definedName>
    <definedName name="_____crc1">[1]combined!$B$176:$H$232</definedName>
    <definedName name="_____crc2">[1]combined!$B$236:$H$301</definedName>
    <definedName name="_____crc3">[1]combined!$B$329:$H$387</definedName>
    <definedName name="_____DAT1" localSheetId="22">#REF!</definedName>
    <definedName name="_____DAT1" localSheetId="28">#REF!</definedName>
    <definedName name="_____DAT1" localSheetId="21">#REF!</definedName>
    <definedName name="_____DAT1" localSheetId="29">#REF!</definedName>
    <definedName name="_____DAT1">#REF!</definedName>
    <definedName name="_____DAT10" localSheetId="22">#REF!</definedName>
    <definedName name="_____DAT10" localSheetId="28">#REF!</definedName>
    <definedName name="_____DAT10" localSheetId="21">#REF!</definedName>
    <definedName name="_____DAT10" localSheetId="29">#REF!</definedName>
    <definedName name="_____DAT10">#REF!</definedName>
    <definedName name="_____DAT11" localSheetId="22">#REF!</definedName>
    <definedName name="_____DAT11" localSheetId="28">#REF!</definedName>
    <definedName name="_____DAT11" localSheetId="21">#REF!</definedName>
    <definedName name="_____DAT11" localSheetId="29">#REF!</definedName>
    <definedName name="_____DAT11">#REF!</definedName>
    <definedName name="_____DAT12" localSheetId="22">#REF!</definedName>
    <definedName name="_____DAT12" localSheetId="28">#REF!</definedName>
    <definedName name="_____DAT12" localSheetId="21">#REF!</definedName>
    <definedName name="_____DAT12" localSheetId="29">#REF!</definedName>
    <definedName name="_____DAT12">#REF!</definedName>
    <definedName name="_____DAT13" localSheetId="22">#REF!</definedName>
    <definedName name="_____DAT13" localSheetId="28">#REF!</definedName>
    <definedName name="_____DAT13" localSheetId="21">#REF!</definedName>
    <definedName name="_____DAT13" localSheetId="29">#REF!</definedName>
    <definedName name="_____DAT13">#REF!</definedName>
    <definedName name="_____DAT2" localSheetId="22">#REF!</definedName>
    <definedName name="_____DAT2" localSheetId="28">#REF!</definedName>
    <definedName name="_____DAT2" localSheetId="21">#REF!</definedName>
    <definedName name="_____DAT2" localSheetId="29">#REF!</definedName>
    <definedName name="_____DAT2">#REF!</definedName>
    <definedName name="_____DAT3" localSheetId="22">#REF!</definedName>
    <definedName name="_____DAT3" localSheetId="28">#REF!</definedName>
    <definedName name="_____DAT3" localSheetId="21">#REF!</definedName>
    <definedName name="_____DAT3" localSheetId="29">#REF!</definedName>
    <definedName name="_____DAT3">#REF!</definedName>
    <definedName name="_____DAT4" localSheetId="22">#REF!</definedName>
    <definedName name="_____DAT4" localSheetId="28">#REF!</definedName>
    <definedName name="_____DAT4" localSheetId="21">#REF!</definedName>
    <definedName name="_____DAT4" localSheetId="29">#REF!</definedName>
    <definedName name="_____DAT4">#REF!</definedName>
    <definedName name="_____DAT5" localSheetId="22">#REF!</definedName>
    <definedName name="_____DAT5" localSheetId="28">#REF!</definedName>
    <definedName name="_____DAT5" localSheetId="21">#REF!</definedName>
    <definedName name="_____DAT5" localSheetId="29">#REF!</definedName>
    <definedName name="_____DAT5">#REF!</definedName>
    <definedName name="_____DAT6" localSheetId="22">#REF!</definedName>
    <definedName name="_____DAT6" localSheetId="28">#REF!</definedName>
    <definedName name="_____DAT6" localSheetId="21">#REF!</definedName>
    <definedName name="_____DAT6" localSheetId="29">#REF!</definedName>
    <definedName name="_____DAT6">#REF!</definedName>
    <definedName name="_____DAT7" localSheetId="22">#REF!</definedName>
    <definedName name="_____DAT7" localSheetId="28">#REF!</definedName>
    <definedName name="_____DAT7" localSheetId="21">#REF!</definedName>
    <definedName name="_____DAT7" localSheetId="29">#REF!</definedName>
    <definedName name="_____DAT7">#REF!</definedName>
    <definedName name="_____DAT8" localSheetId="22">#REF!</definedName>
    <definedName name="_____DAT8" localSheetId="28">#REF!</definedName>
    <definedName name="_____DAT8" localSheetId="21">#REF!</definedName>
    <definedName name="_____DAT8" localSheetId="29">#REF!</definedName>
    <definedName name="_____DAT8">#REF!</definedName>
    <definedName name="_____DAT9" localSheetId="22">#REF!</definedName>
    <definedName name="_____DAT9" localSheetId="28">#REF!</definedName>
    <definedName name="_____DAT9" localSheetId="21">#REF!</definedName>
    <definedName name="_____DAT9" localSheetId="29">#REF!</definedName>
    <definedName name="_____DAT9">#REF!</definedName>
    <definedName name="_____GRP1">'[2]BS 590'!$B$313:$G$386</definedName>
    <definedName name="_____GRP2">'[2]BS 590'!$B$388:$G$427</definedName>
    <definedName name="_____GRP3" localSheetId="22">'[4]BS&amp;PLA'!#REF!</definedName>
    <definedName name="_____GRP3" localSheetId="28">'[4]BS&amp;PLA'!#REF!</definedName>
    <definedName name="_____GRP3" localSheetId="21">'[4]BS&amp;PLA'!#REF!</definedName>
    <definedName name="_____GRP3" localSheetId="29">'[4]BS&amp;PLA'!#REF!</definedName>
    <definedName name="_____GRP3">'[4]BS&amp;PLA'!#REF!</definedName>
    <definedName name="_____GRP4" localSheetId="28">'[4]BS&amp;PLA'!#REF!</definedName>
    <definedName name="_____GRP4" localSheetId="29">'[4]BS&amp;PLA'!#REF!</definedName>
    <definedName name="_____GRP4">'[4]BS&amp;PLA'!#REF!</definedName>
    <definedName name="_____PG3" localSheetId="28">[5]DEPIT979!#REF!</definedName>
    <definedName name="_____PG3" localSheetId="29">[5]DEPIT979!#REF!</definedName>
    <definedName name="_____PG3">[5]DEPIT979!#REF!</definedName>
    <definedName name="_____sch1">'[2]BS 590'!$B$125:$H$165</definedName>
    <definedName name="_____sch2">'[2]BS 590'!$B$166:$H$193</definedName>
    <definedName name="_____sch3">'[2]BS 590'!$B$194:$H$231</definedName>
    <definedName name="_____sch4">'[2]BS 590'!$B$233:$H$280</definedName>
    <definedName name="_____sch5">'[2]BS 590'!$B$281:$H$312</definedName>
    <definedName name="_____STK1" localSheetId="22">#REF!</definedName>
    <definedName name="_____STK1" localSheetId="28">#REF!</definedName>
    <definedName name="_____STK1" localSheetId="21">#REF!</definedName>
    <definedName name="_____STK1" localSheetId="29">#REF!</definedName>
    <definedName name="_____STK1">#REF!</definedName>
    <definedName name="_____STK2" localSheetId="22">#REF!</definedName>
    <definedName name="_____STK2" localSheetId="28">#REF!</definedName>
    <definedName name="_____STK2" localSheetId="21">#REF!</definedName>
    <definedName name="_____STK2" localSheetId="29">#REF!</definedName>
    <definedName name="_____STK2">#REF!</definedName>
    <definedName name="_____STK3" localSheetId="22">#REF!</definedName>
    <definedName name="_____STK3" localSheetId="28">#REF!</definedName>
    <definedName name="_____STK3" localSheetId="21">#REF!</definedName>
    <definedName name="_____STK3" localSheetId="29">#REF!</definedName>
    <definedName name="_____STK3">#REF!</definedName>
    <definedName name="____cha1" localSheetId="22">#REF!</definedName>
    <definedName name="____cha1" localSheetId="28">#REF!</definedName>
    <definedName name="____cha1" localSheetId="21">#REF!</definedName>
    <definedName name="____cha1" localSheetId="29">#REF!</definedName>
    <definedName name="____cha1">#REF!</definedName>
    <definedName name="____cha2" localSheetId="22">#REF!</definedName>
    <definedName name="____cha2" localSheetId="28">#REF!</definedName>
    <definedName name="____cha2" localSheetId="21">#REF!</definedName>
    <definedName name="____cha2" localSheetId="29">#REF!</definedName>
    <definedName name="____cha2">#REF!</definedName>
    <definedName name="____cha3" localSheetId="22">#REF!</definedName>
    <definedName name="____cha3" localSheetId="28">#REF!</definedName>
    <definedName name="____cha3" localSheetId="21">#REF!</definedName>
    <definedName name="____cha3" localSheetId="29">#REF!</definedName>
    <definedName name="____cha3">#REF!</definedName>
    <definedName name="____cha4" localSheetId="22">#REF!</definedName>
    <definedName name="____cha4" localSheetId="28">#REF!</definedName>
    <definedName name="____cha4" localSheetId="21">#REF!</definedName>
    <definedName name="____cha4" localSheetId="29">#REF!</definedName>
    <definedName name="____cha4">#REF!</definedName>
    <definedName name="____cha5" localSheetId="22">#REF!</definedName>
    <definedName name="____cha5" localSheetId="28">#REF!</definedName>
    <definedName name="____cha5" localSheetId="21">#REF!</definedName>
    <definedName name="____cha5" localSheetId="29">#REF!</definedName>
    <definedName name="____cha5">#REF!</definedName>
    <definedName name="____cha6" localSheetId="22">#REF!</definedName>
    <definedName name="____cha6" localSheetId="28">#REF!</definedName>
    <definedName name="____cha6" localSheetId="21">#REF!</definedName>
    <definedName name="____cha6" localSheetId="29">#REF!</definedName>
    <definedName name="____cha6">#REF!</definedName>
    <definedName name="____crc1">[1]combined!$B$176:$H$232</definedName>
    <definedName name="____crc2">[1]combined!$B$236:$H$301</definedName>
    <definedName name="____crc3">[1]combined!$B$329:$H$387</definedName>
    <definedName name="____DAT1" localSheetId="22">#REF!</definedName>
    <definedName name="____DAT1" localSheetId="28">#REF!</definedName>
    <definedName name="____DAT1" localSheetId="21">#REF!</definedName>
    <definedName name="____DAT1" localSheetId="29">#REF!</definedName>
    <definedName name="____DAT1">#REF!</definedName>
    <definedName name="____DAT10" localSheetId="22">#REF!</definedName>
    <definedName name="____DAT10" localSheetId="28">#REF!</definedName>
    <definedName name="____DAT10" localSheetId="21">#REF!</definedName>
    <definedName name="____DAT10" localSheetId="29">#REF!</definedName>
    <definedName name="____DAT10">#REF!</definedName>
    <definedName name="____DAT11" localSheetId="22">#REF!</definedName>
    <definedName name="____DAT11" localSheetId="28">#REF!</definedName>
    <definedName name="____DAT11" localSheetId="21">#REF!</definedName>
    <definedName name="____DAT11" localSheetId="29">#REF!</definedName>
    <definedName name="____DAT11">#REF!</definedName>
    <definedName name="____DAT12" localSheetId="22">#REF!</definedName>
    <definedName name="____DAT12" localSheetId="28">#REF!</definedName>
    <definedName name="____DAT12" localSheetId="21">#REF!</definedName>
    <definedName name="____DAT12" localSheetId="29">#REF!</definedName>
    <definedName name="____DAT12">#REF!</definedName>
    <definedName name="____DAT13" localSheetId="22">#REF!</definedName>
    <definedName name="____DAT13" localSheetId="28">#REF!</definedName>
    <definedName name="____DAT13" localSheetId="21">#REF!</definedName>
    <definedName name="____DAT13" localSheetId="29">#REF!</definedName>
    <definedName name="____DAT13">#REF!</definedName>
    <definedName name="____DAT2" localSheetId="22">#REF!</definedName>
    <definedName name="____DAT2" localSheetId="28">#REF!</definedName>
    <definedName name="____DAT2" localSheetId="21">#REF!</definedName>
    <definedName name="____DAT2" localSheetId="29">#REF!</definedName>
    <definedName name="____DAT2">#REF!</definedName>
    <definedName name="____DAT3" localSheetId="22">#REF!</definedName>
    <definedName name="____DAT3" localSheetId="28">#REF!</definedName>
    <definedName name="____DAT3" localSheetId="21">#REF!</definedName>
    <definedName name="____DAT3" localSheetId="29">#REF!</definedName>
    <definedName name="____DAT3">#REF!</definedName>
    <definedName name="____DAT4" localSheetId="22">#REF!</definedName>
    <definedName name="____DAT4" localSheetId="28">#REF!</definedName>
    <definedName name="____DAT4" localSheetId="21">#REF!</definedName>
    <definedName name="____DAT4" localSheetId="29">#REF!</definedName>
    <definedName name="____DAT4">#REF!</definedName>
    <definedName name="____DAT5" localSheetId="22">#REF!</definedName>
    <definedName name="____DAT5" localSheetId="28">#REF!</definedName>
    <definedName name="____DAT5" localSheetId="21">#REF!</definedName>
    <definedName name="____DAT5" localSheetId="29">#REF!</definedName>
    <definedName name="____DAT5">#REF!</definedName>
    <definedName name="____DAT6" localSheetId="22">#REF!</definedName>
    <definedName name="____DAT6" localSheetId="28">#REF!</definedName>
    <definedName name="____DAT6" localSheetId="21">#REF!</definedName>
    <definedName name="____DAT6" localSheetId="29">#REF!</definedName>
    <definedName name="____DAT6">#REF!</definedName>
    <definedName name="____DAT7" localSheetId="22">#REF!</definedName>
    <definedName name="____DAT7" localSheetId="28">#REF!</definedName>
    <definedName name="____DAT7" localSheetId="21">#REF!</definedName>
    <definedName name="____DAT7" localSheetId="29">#REF!</definedName>
    <definedName name="____DAT7">#REF!</definedName>
    <definedName name="____DAT8" localSheetId="22">#REF!</definedName>
    <definedName name="____DAT8" localSheetId="28">#REF!</definedName>
    <definedName name="____DAT8" localSheetId="21">#REF!</definedName>
    <definedName name="____DAT8" localSheetId="29">#REF!</definedName>
    <definedName name="____DAT8">#REF!</definedName>
    <definedName name="____DAT9" localSheetId="22">#REF!</definedName>
    <definedName name="____DAT9" localSheetId="28">#REF!</definedName>
    <definedName name="____DAT9" localSheetId="21">#REF!</definedName>
    <definedName name="____DAT9" localSheetId="29">#REF!</definedName>
    <definedName name="____DAT9">#REF!</definedName>
    <definedName name="____GRP1">'[2]BS 590'!$B$313:$G$386</definedName>
    <definedName name="____GRP2">'[2]BS 590'!$B$388:$G$427</definedName>
    <definedName name="____GRP3" localSheetId="22">'[4]BS&amp;PLA'!#REF!</definedName>
    <definedName name="____GRP3" localSheetId="28">'[4]BS&amp;PLA'!#REF!</definedName>
    <definedName name="____GRP3" localSheetId="21">'[4]BS&amp;PLA'!#REF!</definedName>
    <definedName name="____GRP3" localSheetId="29">'[4]BS&amp;PLA'!#REF!</definedName>
    <definedName name="____GRP3">'[4]BS&amp;PLA'!#REF!</definedName>
    <definedName name="____GRP4" localSheetId="28">'[4]BS&amp;PLA'!#REF!</definedName>
    <definedName name="____GRP4" localSheetId="29">'[4]BS&amp;PLA'!#REF!</definedName>
    <definedName name="____GRP4">'[4]BS&amp;PLA'!#REF!</definedName>
    <definedName name="____sch1">'[2]BS 590'!$B$125:$H$165</definedName>
    <definedName name="____sch2">'[2]BS 590'!$B$166:$H$193</definedName>
    <definedName name="____sch3">'[2]BS 590'!$B$194:$H$231</definedName>
    <definedName name="____sch4">'[2]BS 590'!$B$233:$H$280</definedName>
    <definedName name="____sch5">'[2]BS 590'!$B$281:$H$312</definedName>
    <definedName name="____STK1" localSheetId="22">#REF!</definedName>
    <definedName name="____STK1" localSheetId="28">#REF!</definedName>
    <definedName name="____STK1" localSheetId="21">#REF!</definedName>
    <definedName name="____STK1" localSheetId="29">#REF!</definedName>
    <definedName name="____STK1">#REF!</definedName>
    <definedName name="____STK2" localSheetId="22">#REF!</definedName>
    <definedName name="____STK2" localSheetId="28">#REF!</definedName>
    <definedName name="____STK2" localSheetId="21">#REF!</definedName>
    <definedName name="____STK2" localSheetId="29">#REF!</definedName>
    <definedName name="____STK2">#REF!</definedName>
    <definedName name="____STK3" localSheetId="22">#REF!</definedName>
    <definedName name="____STK3" localSheetId="28">#REF!</definedName>
    <definedName name="____STK3" localSheetId="21">#REF!</definedName>
    <definedName name="____STK3" localSheetId="29">#REF!</definedName>
    <definedName name="____STK3">#REF!</definedName>
    <definedName name="___cha1" localSheetId="22">#REF!</definedName>
    <definedName name="___cha1" localSheetId="28">#REF!</definedName>
    <definedName name="___cha1" localSheetId="17">#REF!</definedName>
    <definedName name="___cha1" localSheetId="18">#REF!</definedName>
    <definedName name="___cha1" localSheetId="21">#REF!</definedName>
    <definedName name="___cha1" localSheetId="29">#REF!</definedName>
    <definedName name="___cha1">#REF!</definedName>
    <definedName name="___cha2" localSheetId="22">#REF!</definedName>
    <definedName name="___cha2" localSheetId="28">#REF!</definedName>
    <definedName name="___cha2" localSheetId="17">#REF!</definedName>
    <definedName name="___cha2" localSheetId="18">#REF!</definedName>
    <definedName name="___cha2" localSheetId="21">#REF!</definedName>
    <definedName name="___cha2" localSheetId="29">#REF!</definedName>
    <definedName name="___cha2">#REF!</definedName>
    <definedName name="___cha3" localSheetId="22">#REF!</definedName>
    <definedName name="___cha3" localSheetId="28">#REF!</definedName>
    <definedName name="___cha3" localSheetId="17">#REF!</definedName>
    <definedName name="___cha3" localSheetId="18">#REF!</definedName>
    <definedName name="___cha3" localSheetId="21">#REF!</definedName>
    <definedName name="___cha3" localSheetId="29">#REF!</definedName>
    <definedName name="___cha3">#REF!</definedName>
    <definedName name="___cha4" localSheetId="22">#REF!</definedName>
    <definedName name="___cha4" localSheetId="28">#REF!</definedName>
    <definedName name="___cha4" localSheetId="17">#REF!</definedName>
    <definedName name="___cha4" localSheetId="18">#REF!</definedName>
    <definedName name="___cha4" localSheetId="21">#REF!</definedName>
    <definedName name="___cha4" localSheetId="29">#REF!</definedName>
    <definedName name="___cha4">#REF!</definedName>
    <definedName name="___cha5" localSheetId="22">#REF!</definedName>
    <definedName name="___cha5" localSheetId="28">#REF!</definedName>
    <definedName name="___cha5" localSheetId="17">#REF!</definedName>
    <definedName name="___cha5" localSheetId="18">#REF!</definedName>
    <definedName name="___cha5" localSheetId="21">#REF!</definedName>
    <definedName name="___cha5" localSheetId="29">#REF!</definedName>
    <definedName name="___cha5">#REF!</definedName>
    <definedName name="___cha6" localSheetId="22">#REF!</definedName>
    <definedName name="___cha6" localSheetId="28">#REF!</definedName>
    <definedName name="___cha6" localSheetId="17">#REF!</definedName>
    <definedName name="___cha6" localSheetId="18">#REF!</definedName>
    <definedName name="___cha6" localSheetId="21">#REF!</definedName>
    <definedName name="___cha6" localSheetId="29">#REF!</definedName>
    <definedName name="___cha6">#REF!</definedName>
    <definedName name="___crc1">[1]combined!$B$176:$H$232</definedName>
    <definedName name="___crc2">[1]combined!$B$236:$H$301</definedName>
    <definedName name="___crc3">[1]combined!$B$329:$H$387</definedName>
    <definedName name="___DAT1" localSheetId="22">#REF!</definedName>
    <definedName name="___DAT1" localSheetId="28">#REF!</definedName>
    <definedName name="___DAT1" localSheetId="21">#REF!</definedName>
    <definedName name="___DAT1" localSheetId="29">#REF!</definedName>
    <definedName name="___DAT1">#REF!</definedName>
    <definedName name="___DAT10" localSheetId="22">#REF!</definedName>
    <definedName name="___DAT10" localSheetId="28">#REF!</definedName>
    <definedName name="___DAT10" localSheetId="21">#REF!</definedName>
    <definedName name="___DAT10" localSheetId="29">#REF!</definedName>
    <definedName name="___DAT10">#REF!</definedName>
    <definedName name="___DAT11" localSheetId="22">#REF!</definedName>
    <definedName name="___DAT11" localSheetId="28">#REF!</definedName>
    <definedName name="___DAT11" localSheetId="21">#REF!</definedName>
    <definedName name="___DAT11" localSheetId="29">#REF!</definedName>
    <definedName name="___DAT11">#REF!</definedName>
    <definedName name="___DAT12" localSheetId="22">#REF!</definedName>
    <definedName name="___DAT12" localSheetId="28">#REF!</definedName>
    <definedName name="___DAT12" localSheetId="21">#REF!</definedName>
    <definedName name="___DAT12" localSheetId="29">#REF!</definedName>
    <definedName name="___DAT12">#REF!</definedName>
    <definedName name="___DAT13" localSheetId="22">#REF!</definedName>
    <definedName name="___DAT13" localSheetId="28">#REF!</definedName>
    <definedName name="___DAT13" localSheetId="21">#REF!</definedName>
    <definedName name="___DAT13" localSheetId="29">#REF!</definedName>
    <definedName name="___DAT13">#REF!</definedName>
    <definedName name="___DAT2" localSheetId="22">#REF!</definedName>
    <definedName name="___DAT2" localSheetId="28">#REF!</definedName>
    <definedName name="___DAT2" localSheetId="21">#REF!</definedName>
    <definedName name="___DAT2" localSheetId="29">#REF!</definedName>
    <definedName name="___DAT2">#REF!</definedName>
    <definedName name="___DAT3" localSheetId="22">#REF!</definedName>
    <definedName name="___DAT3" localSheetId="28">#REF!</definedName>
    <definedName name="___DAT3" localSheetId="21">#REF!</definedName>
    <definedName name="___DAT3" localSheetId="29">#REF!</definedName>
    <definedName name="___DAT3">#REF!</definedName>
    <definedName name="___DAT4" localSheetId="22">#REF!</definedName>
    <definedName name="___DAT4" localSheetId="28">#REF!</definedName>
    <definedName name="___DAT4" localSheetId="21">#REF!</definedName>
    <definedName name="___DAT4" localSheetId="29">#REF!</definedName>
    <definedName name="___DAT4">#REF!</definedName>
    <definedName name="___DAT5" localSheetId="22">#REF!</definedName>
    <definedName name="___DAT5" localSheetId="28">#REF!</definedName>
    <definedName name="___DAT5" localSheetId="21">#REF!</definedName>
    <definedName name="___DAT5" localSheetId="29">#REF!</definedName>
    <definedName name="___DAT5">#REF!</definedName>
    <definedName name="___DAT6" localSheetId="22">#REF!</definedName>
    <definedName name="___DAT6" localSheetId="28">#REF!</definedName>
    <definedName name="___DAT6" localSheetId="21">#REF!</definedName>
    <definedName name="___DAT6" localSheetId="29">#REF!</definedName>
    <definedName name="___DAT6">#REF!</definedName>
    <definedName name="___DAT7" localSheetId="22">#REF!</definedName>
    <definedName name="___DAT7" localSheetId="28">#REF!</definedName>
    <definedName name="___DAT7" localSheetId="21">#REF!</definedName>
    <definedName name="___DAT7" localSheetId="29">#REF!</definedName>
    <definedName name="___DAT7">#REF!</definedName>
    <definedName name="___DAT8" localSheetId="22">#REF!</definedName>
    <definedName name="___DAT8" localSheetId="28">#REF!</definedName>
    <definedName name="___DAT8" localSheetId="21">#REF!</definedName>
    <definedName name="___DAT8" localSheetId="29">#REF!</definedName>
    <definedName name="___DAT8">#REF!</definedName>
    <definedName name="___DAT9" localSheetId="22">#REF!</definedName>
    <definedName name="___DAT9" localSheetId="28">#REF!</definedName>
    <definedName name="___DAT9" localSheetId="21">#REF!</definedName>
    <definedName name="___DAT9" localSheetId="29">#REF!</definedName>
    <definedName name="___DAT9">#REF!</definedName>
    <definedName name="___GRP1">'[2]BS 590'!$B$313:$G$386</definedName>
    <definedName name="___GRP2">'[2]BS 590'!$B$388:$G$427</definedName>
    <definedName name="___GRP3" localSheetId="22">'[4]BS&amp;PLA'!#REF!</definedName>
    <definedName name="___GRP3" localSheetId="28">'[4]BS&amp;PLA'!#REF!</definedName>
    <definedName name="___GRP3" localSheetId="20">'[4]BS&amp;PLA'!#REF!</definedName>
    <definedName name="___GRP3" localSheetId="17">'[4]BS&amp;PLA'!#REF!</definedName>
    <definedName name="___GRP3" localSheetId="18">'[4]BS&amp;PLA'!#REF!</definedName>
    <definedName name="___GRP3" localSheetId="21">'[4]BS&amp;PLA'!#REF!</definedName>
    <definedName name="___GRP3" localSheetId="29">'[4]BS&amp;PLA'!#REF!</definedName>
    <definedName name="___GRP3">'[4]BS&amp;PLA'!#REF!</definedName>
    <definedName name="___GRP4" localSheetId="28">'[4]BS&amp;PLA'!#REF!</definedName>
    <definedName name="___GRP4" localSheetId="17">'[4]BS&amp;PLA'!#REF!</definedName>
    <definedName name="___GRP4" localSheetId="18">'[4]BS&amp;PLA'!#REF!</definedName>
    <definedName name="___GRP4" localSheetId="29">'[4]BS&amp;PLA'!#REF!</definedName>
    <definedName name="___GRP4">'[4]BS&amp;PLA'!#REF!</definedName>
    <definedName name="___PG3" localSheetId="28">[5]DEPIT979!#REF!</definedName>
    <definedName name="___PG3" localSheetId="29">[5]DEPIT979!#REF!</definedName>
    <definedName name="___PG3">[5]DEPIT979!#REF!</definedName>
    <definedName name="___sch1">'[2]BS 590'!$B$125:$H$165</definedName>
    <definedName name="___sch2">'[2]BS 590'!$B$166:$H$193</definedName>
    <definedName name="___sch3">'[2]BS 590'!$B$194:$H$231</definedName>
    <definedName name="___sch4">'[2]BS 590'!$B$233:$H$280</definedName>
    <definedName name="___sch5">'[2]BS 590'!$B$281:$H$312</definedName>
    <definedName name="___STK1" localSheetId="22">#REF!</definedName>
    <definedName name="___STK1" localSheetId="28">#REF!</definedName>
    <definedName name="___STK1" localSheetId="17">#REF!</definedName>
    <definedName name="___STK1" localSheetId="18">#REF!</definedName>
    <definedName name="___STK1" localSheetId="21">#REF!</definedName>
    <definedName name="___STK1" localSheetId="29">#REF!</definedName>
    <definedName name="___STK1">#REF!</definedName>
    <definedName name="___STK2" localSheetId="22">#REF!</definedName>
    <definedName name="___STK2" localSheetId="28">#REF!</definedName>
    <definedName name="___STK2" localSheetId="17">#REF!</definedName>
    <definedName name="___STK2" localSheetId="18">#REF!</definedName>
    <definedName name="___STK2" localSheetId="21">#REF!</definedName>
    <definedName name="___STK2" localSheetId="29">#REF!</definedName>
    <definedName name="___STK2">#REF!</definedName>
    <definedName name="___STK3" localSheetId="22">#REF!</definedName>
    <definedName name="___STK3" localSheetId="28">#REF!</definedName>
    <definedName name="___STK3" localSheetId="17">#REF!</definedName>
    <definedName name="___STK3" localSheetId="18">#REF!</definedName>
    <definedName name="___STK3" localSheetId="21">#REF!</definedName>
    <definedName name="___STK3" localSheetId="29">#REF!</definedName>
    <definedName name="___STK3">#REF!</definedName>
    <definedName name="__123Graph_A" hidden="1">'[6]TRIAL BALANCE'!#REF!</definedName>
    <definedName name="__123Graph_B" hidden="1">'[6]TRIAL BALANCE'!#REF!</definedName>
    <definedName name="__123Graph_D" hidden="1">'[7]Anx-M'!$B$671:$B$671</definedName>
    <definedName name="__123Graph_X" hidden="1">'[6]TRIAL BALANCE'!#REF!</definedName>
    <definedName name="__1RANGE_1">#REF!</definedName>
    <definedName name="__cha1" localSheetId="22">#REF!</definedName>
    <definedName name="__cha1" localSheetId="28">#REF!</definedName>
    <definedName name="__cha1" localSheetId="17">#REF!</definedName>
    <definedName name="__cha1" localSheetId="18">#REF!</definedName>
    <definedName name="__cha1" localSheetId="21">#REF!</definedName>
    <definedName name="__cha1" localSheetId="29">#REF!</definedName>
    <definedName name="__cha1">#REF!</definedName>
    <definedName name="__cha2" localSheetId="22">#REF!</definedName>
    <definedName name="__cha2" localSheetId="28">#REF!</definedName>
    <definedName name="__cha2" localSheetId="17">#REF!</definedName>
    <definedName name="__cha2" localSheetId="18">#REF!</definedName>
    <definedName name="__cha2" localSheetId="21">#REF!</definedName>
    <definedName name="__cha2" localSheetId="29">#REF!</definedName>
    <definedName name="__cha2">#REF!</definedName>
    <definedName name="__cha3" localSheetId="22">#REF!</definedName>
    <definedName name="__cha3" localSheetId="28">#REF!</definedName>
    <definedName name="__cha3" localSheetId="17">#REF!</definedName>
    <definedName name="__cha3" localSheetId="18">#REF!</definedName>
    <definedName name="__cha3" localSheetId="21">#REF!</definedName>
    <definedName name="__cha3" localSheetId="29">#REF!</definedName>
    <definedName name="__cha3">#REF!</definedName>
    <definedName name="__cha4" localSheetId="22">#REF!</definedName>
    <definedName name="__cha4" localSheetId="28">#REF!</definedName>
    <definedName name="__cha4" localSheetId="17">#REF!</definedName>
    <definedName name="__cha4" localSheetId="18">#REF!</definedName>
    <definedName name="__cha4" localSheetId="21">#REF!</definedName>
    <definedName name="__cha4" localSheetId="29">#REF!</definedName>
    <definedName name="__cha4">#REF!</definedName>
    <definedName name="__cha5" localSheetId="22">#REF!</definedName>
    <definedName name="__cha5" localSheetId="28">#REF!</definedName>
    <definedName name="__cha5" localSheetId="17">#REF!</definedName>
    <definedName name="__cha5" localSheetId="18">#REF!</definedName>
    <definedName name="__cha5" localSheetId="21">#REF!</definedName>
    <definedName name="__cha5" localSheetId="29">#REF!</definedName>
    <definedName name="__cha5">#REF!</definedName>
    <definedName name="__cha6" localSheetId="22">#REF!</definedName>
    <definedName name="__cha6" localSheetId="28">#REF!</definedName>
    <definedName name="__cha6" localSheetId="17">#REF!</definedName>
    <definedName name="__cha6" localSheetId="18">#REF!</definedName>
    <definedName name="__cha6" localSheetId="21">#REF!</definedName>
    <definedName name="__cha6" localSheetId="29">#REF!</definedName>
    <definedName name="__cha6">#REF!</definedName>
    <definedName name="__col1">#REF!</definedName>
    <definedName name="__col10">#REF!</definedName>
    <definedName name="__col11">#REF!</definedName>
    <definedName name="__col12">#REF!</definedName>
    <definedName name="__col13">#REF!</definedName>
    <definedName name="__col2">#REF!</definedName>
    <definedName name="__col3">#REF!</definedName>
    <definedName name="__col4">#REF!</definedName>
    <definedName name="__col5">#REF!</definedName>
    <definedName name="__col6">#REF!</definedName>
    <definedName name="__col7">#REF!</definedName>
    <definedName name="__col8">#REF!</definedName>
    <definedName name="__col9">#REF!</definedName>
    <definedName name="__crc1">[1]combined!$B$176:$H$232</definedName>
    <definedName name="__crc2">[1]combined!$B$236:$H$301</definedName>
    <definedName name="__crc3">[1]combined!$B$329:$H$387</definedName>
    <definedName name="__DAT1" localSheetId="22">#REF!</definedName>
    <definedName name="__DAT1" localSheetId="28">#REF!</definedName>
    <definedName name="__DAT1" localSheetId="21">#REF!</definedName>
    <definedName name="__DAT1" localSheetId="29">#REF!</definedName>
    <definedName name="__DAT1">#REF!</definedName>
    <definedName name="__DAT10" localSheetId="22">#REF!</definedName>
    <definedName name="__DAT10" localSheetId="28">#REF!</definedName>
    <definedName name="__DAT10" localSheetId="21">#REF!</definedName>
    <definedName name="__DAT10" localSheetId="29">#REF!</definedName>
    <definedName name="__DAT10">#REF!</definedName>
    <definedName name="__DAT11" localSheetId="22">#REF!</definedName>
    <definedName name="__DAT11" localSheetId="28">#REF!</definedName>
    <definedName name="__DAT11" localSheetId="21">#REF!</definedName>
    <definedName name="__DAT11" localSheetId="29">#REF!</definedName>
    <definedName name="__DAT11">#REF!</definedName>
    <definedName name="__DAT12" localSheetId="22">#REF!</definedName>
    <definedName name="__DAT12" localSheetId="28">#REF!</definedName>
    <definedName name="__DAT12" localSheetId="21">#REF!</definedName>
    <definedName name="__DAT12" localSheetId="29">#REF!</definedName>
    <definedName name="__DAT12">#REF!</definedName>
    <definedName name="__DAT13" localSheetId="22">#REF!</definedName>
    <definedName name="__DAT13" localSheetId="28">#REF!</definedName>
    <definedName name="__DAT13" localSheetId="21">#REF!</definedName>
    <definedName name="__DAT13" localSheetId="29">#REF!</definedName>
    <definedName name="__DAT13">#REF!</definedName>
    <definedName name="__DAT2" localSheetId="22">#REF!</definedName>
    <definedName name="__DAT2" localSheetId="28">#REF!</definedName>
    <definedName name="__DAT2" localSheetId="21">#REF!</definedName>
    <definedName name="__DAT2" localSheetId="29">#REF!</definedName>
    <definedName name="__DAT2">#REF!</definedName>
    <definedName name="__DAT3" localSheetId="22">#REF!</definedName>
    <definedName name="__DAT3" localSheetId="28">#REF!</definedName>
    <definedName name="__DAT3" localSheetId="21">#REF!</definedName>
    <definedName name="__DAT3" localSheetId="29">#REF!</definedName>
    <definedName name="__DAT3">#REF!</definedName>
    <definedName name="__DAT4" localSheetId="22">#REF!</definedName>
    <definedName name="__DAT4" localSheetId="28">#REF!</definedName>
    <definedName name="__DAT4" localSheetId="21">#REF!</definedName>
    <definedName name="__DAT4" localSheetId="29">#REF!</definedName>
    <definedName name="__DAT4">#REF!</definedName>
    <definedName name="__DAT5" localSheetId="22">#REF!</definedName>
    <definedName name="__DAT5" localSheetId="28">#REF!</definedName>
    <definedName name="__DAT5" localSheetId="21">#REF!</definedName>
    <definedName name="__DAT5" localSheetId="29">#REF!</definedName>
    <definedName name="__DAT5">#REF!</definedName>
    <definedName name="__DAT6" localSheetId="22">#REF!</definedName>
    <definedName name="__DAT6" localSheetId="28">#REF!</definedName>
    <definedName name="__DAT6" localSheetId="21">#REF!</definedName>
    <definedName name="__DAT6" localSheetId="29">#REF!</definedName>
    <definedName name="__DAT6">#REF!</definedName>
    <definedName name="__DAT7" localSheetId="22">#REF!</definedName>
    <definedName name="__DAT7" localSheetId="28">#REF!</definedName>
    <definedName name="__DAT7" localSheetId="21">#REF!</definedName>
    <definedName name="__DAT7" localSheetId="29">#REF!</definedName>
    <definedName name="__DAT7">#REF!</definedName>
    <definedName name="__DAT8" localSheetId="22">#REF!</definedName>
    <definedName name="__DAT8" localSheetId="28">#REF!</definedName>
    <definedName name="__DAT8" localSheetId="21">#REF!</definedName>
    <definedName name="__DAT8" localSheetId="29">#REF!</definedName>
    <definedName name="__DAT8">#REF!</definedName>
    <definedName name="__DAT9" localSheetId="22">#REF!</definedName>
    <definedName name="__DAT9" localSheetId="28">#REF!</definedName>
    <definedName name="__DAT9" localSheetId="21">#REF!</definedName>
    <definedName name="__DAT9" localSheetId="29">#REF!</definedName>
    <definedName name="__DAT9">#REF!</definedName>
    <definedName name="__GRP1">'[2]BS 590'!$B$313:$G$386</definedName>
    <definedName name="__GRP2">'[2]BS 590'!$B$388:$G$427</definedName>
    <definedName name="__GRP3" localSheetId="22">'[4]BS&amp;PLA'!#REF!</definedName>
    <definedName name="__GRP3" localSheetId="28">'[4]BS&amp;PLA'!#REF!</definedName>
    <definedName name="__GRP3" localSheetId="20">'[4]BS&amp;PLA'!#REF!</definedName>
    <definedName name="__GRP3" localSheetId="17">'[4]BS&amp;PLA'!#REF!</definedName>
    <definedName name="__GRP3" localSheetId="18">'[4]BS&amp;PLA'!#REF!</definedName>
    <definedName name="__GRP3" localSheetId="21">'[4]BS&amp;PLA'!#REF!</definedName>
    <definedName name="__GRP3" localSheetId="29">'[4]BS&amp;PLA'!#REF!</definedName>
    <definedName name="__GRP3">'[4]BS&amp;PLA'!#REF!</definedName>
    <definedName name="__GRP4" localSheetId="28">'[4]BS&amp;PLA'!#REF!</definedName>
    <definedName name="__GRP4" localSheetId="17">'[4]BS&amp;PLA'!#REF!</definedName>
    <definedName name="__GRP4" localSheetId="18">'[4]BS&amp;PLA'!#REF!</definedName>
    <definedName name="__GRP4" localSheetId="29">'[4]BS&amp;PLA'!#REF!</definedName>
    <definedName name="__GRP4">'[4]BS&amp;PLA'!#REF!</definedName>
    <definedName name="__MAR9091">'[8]TRIAL BALANCE'!#REF!</definedName>
    <definedName name="__PG3" localSheetId="28">[5]DEPIT979!#REF!</definedName>
    <definedName name="__PG3" localSheetId="29">[5]DEPIT979!#REF!</definedName>
    <definedName name="__PG3">[5]DEPIT979!#REF!</definedName>
    <definedName name="__sch1">'[2]BS 590'!$B$125:$H$165</definedName>
    <definedName name="__sch2">'[2]BS 590'!$B$166:$H$193</definedName>
    <definedName name="__sch3">'[2]BS 590'!$B$194:$H$231</definedName>
    <definedName name="__sch4">'[2]BS 590'!$B$233:$H$280</definedName>
    <definedName name="__sch5">'[2]BS 590'!$B$281:$H$312</definedName>
    <definedName name="__STK1" localSheetId="22">#REF!</definedName>
    <definedName name="__STK1" localSheetId="28">#REF!</definedName>
    <definedName name="__STK1" localSheetId="17">#REF!</definedName>
    <definedName name="__STK1" localSheetId="18">#REF!</definedName>
    <definedName name="__STK1" localSheetId="21">#REF!</definedName>
    <definedName name="__STK1" localSheetId="29">#REF!</definedName>
    <definedName name="__STK1">#REF!</definedName>
    <definedName name="__STK2" localSheetId="22">#REF!</definedName>
    <definedName name="__STK2" localSheetId="28">#REF!</definedName>
    <definedName name="__STK2" localSheetId="17">#REF!</definedName>
    <definedName name="__STK2" localSheetId="18">#REF!</definedName>
    <definedName name="__STK2" localSheetId="21">#REF!</definedName>
    <definedName name="__STK2" localSheetId="29">#REF!</definedName>
    <definedName name="__STK2">#REF!</definedName>
    <definedName name="__STK3" localSheetId="22">#REF!</definedName>
    <definedName name="__STK3" localSheetId="28">#REF!</definedName>
    <definedName name="__STK3" localSheetId="17">#REF!</definedName>
    <definedName name="__STK3" localSheetId="18">#REF!</definedName>
    <definedName name="__STK3" localSheetId="21">#REF!</definedName>
    <definedName name="__STK3" localSheetId="29">#REF!</definedName>
    <definedName name="__STK3">#REF!</definedName>
    <definedName name="_01_UNIT1">#REF!</definedName>
    <definedName name="_01_UNIT2">#REF!</definedName>
    <definedName name="_01A__GP___DP">#REF!</definedName>
    <definedName name="_01B__DEP_TX_BK">#REF!</definedName>
    <definedName name="_02A__INTEREST">#REF!</definedName>
    <definedName name="_03_115JA_2A_B">#REF!</definedName>
    <definedName name="_03_SUM_1AX">#REF!</definedName>
    <definedName name="_03_SUM_1BX">#REF!</definedName>
    <definedName name="_04_80HHC_1A">#REF!</definedName>
    <definedName name="_04_80HHC_IIA">#REF!</definedName>
    <definedName name="_06__INTERUNIT">#REF!</definedName>
    <definedName name="_07__80IA">#REF!</definedName>
    <definedName name="_08__80I">#REF!</definedName>
    <definedName name="_09_TAX_SUMMARY">#REF!</definedName>
    <definedName name="_1">#REF!</definedName>
    <definedName name="_14A">[9]HONOTES!#REF!</definedName>
    <definedName name="_1RANGE_1">#REF!</definedName>
    <definedName name="_2">[9]HONOTES!#REF!</definedName>
    <definedName name="_6">[9]HONOTES!#REF!</definedName>
    <definedName name="_a_">#REF!</definedName>
    <definedName name="_AUG13">[10]depreciation!#REF!</definedName>
    <definedName name="_BSE500">[11]Sheet1!$B$1:$B$500</definedName>
    <definedName name="_cha1" localSheetId="22">#REF!</definedName>
    <definedName name="_cha1" localSheetId="28">#REF!</definedName>
    <definedName name="_cha1" localSheetId="17">#REF!</definedName>
    <definedName name="_cha1" localSheetId="18">#REF!</definedName>
    <definedName name="_cha1" localSheetId="21">#REF!</definedName>
    <definedName name="_cha1" localSheetId="29">#REF!</definedName>
    <definedName name="_cha1">#REF!</definedName>
    <definedName name="_cha2" localSheetId="22">#REF!</definedName>
    <definedName name="_cha2" localSheetId="28">#REF!</definedName>
    <definedName name="_cha2" localSheetId="17">#REF!</definedName>
    <definedName name="_cha2" localSheetId="18">#REF!</definedName>
    <definedName name="_cha2" localSheetId="21">#REF!</definedName>
    <definedName name="_cha2" localSheetId="29">#REF!</definedName>
    <definedName name="_cha2">#REF!</definedName>
    <definedName name="_cha3" localSheetId="22">#REF!</definedName>
    <definedName name="_cha3" localSheetId="28">#REF!</definedName>
    <definedName name="_cha3" localSheetId="17">#REF!</definedName>
    <definedName name="_cha3" localSheetId="18">#REF!</definedName>
    <definedName name="_cha3" localSheetId="21">#REF!</definedName>
    <definedName name="_cha3" localSheetId="29">#REF!</definedName>
    <definedName name="_cha3">#REF!</definedName>
    <definedName name="_cha4" localSheetId="22">#REF!</definedName>
    <definedName name="_cha4" localSheetId="28">#REF!</definedName>
    <definedName name="_cha4" localSheetId="17">#REF!</definedName>
    <definedName name="_cha4" localSheetId="18">#REF!</definedName>
    <definedName name="_cha4" localSheetId="21">#REF!</definedName>
    <definedName name="_cha4" localSheetId="29">#REF!</definedName>
    <definedName name="_cha4">#REF!</definedName>
    <definedName name="_cha5" localSheetId="22">#REF!</definedName>
    <definedName name="_cha5" localSheetId="28">#REF!</definedName>
    <definedName name="_cha5" localSheetId="17">#REF!</definedName>
    <definedName name="_cha5" localSheetId="18">#REF!</definedName>
    <definedName name="_cha5" localSheetId="21">#REF!</definedName>
    <definedName name="_cha5" localSheetId="29">#REF!</definedName>
    <definedName name="_cha5">#REF!</definedName>
    <definedName name="_cha6" localSheetId="22">#REF!</definedName>
    <definedName name="_cha6" localSheetId="28">#REF!</definedName>
    <definedName name="_cha6" localSheetId="17">#REF!</definedName>
    <definedName name="_cha6" localSheetId="18">#REF!</definedName>
    <definedName name="_cha6" localSheetId="21">#REF!</definedName>
    <definedName name="_cha6" localSheetId="29">#REF!</definedName>
    <definedName name="_cha6">#REF!</definedName>
    <definedName name="_col1">#REF!</definedName>
    <definedName name="_col10">#REF!</definedName>
    <definedName name="_col11">#REF!</definedName>
    <definedName name="_col12">#REF!</definedName>
    <definedName name="_col13">#REF!</definedName>
    <definedName name="_col2">#REF!</definedName>
    <definedName name="_col3">#REF!</definedName>
    <definedName name="_col4">#REF!</definedName>
    <definedName name="_col5">#REF!</definedName>
    <definedName name="_col6">#REF!</definedName>
    <definedName name="_col7">#REF!</definedName>
    <definedName name="_col8">#REF!</definedName>
    <definedName name="_col9">#REF!</definedName>
    <definedName name="_crc1">[1]combined!$B$176:$H$232</definedName>
    <definedName name="_crc2">[1]combined!$B$236:$H$301</definedName>
    <definedName name="_crc3">[1]combined!$B$329:$H$387</definedName>
    <definedName name="_DAT1" localSheetId="22">#REF!</definedName>
    <definedName name="_DAT1" localSheetId="28">#REF!</definedName>
    <definedName name="_DAT1" localSheetId="17">#REF!</definedName>
    <definedName name="_DAT1" localSheetId="18">#REF!</definedName>
    <definedName name="_DAT1" localSheetId="21">#REF!</definedName>
    <definedName name="_DAT1" localSheetId="29">#REF!</definedName>
    <definedName name="_DAT1">#REF!</definedName>
    <definedName name="_DAT10" localSheetId="22">#REF!</definedName>
    <definedName name="_DAT10" localSheetId="28">#REF!</definedName>
    <definedName name="_DAT10" localSheetId="17">#REF!</definedName>
    <definedName name="_DAT10" localSheetId="18">#REF!</definedName>
    <definedName name="_DAT10" localSheetId="21">#REF!</definedName>
    <definedName name="_DAT10" localSheetId="29">#REF!</definedName>
    <definedName name="_DAT10">#REF!</definedName>
    <definedName name="_DAT11" localSheetId="22">#REF!</definedName>
    <definedName name="_DAT11" localSheetId="28">#REF!</definedName>
    <definedName name="_DAT11" localSheetId="17">#REF!</definedName>
    <definedName name="_DAT11" localSheetId="18">#REF!</definedName>
    <definedName name="_DAT11" localSheetId="21">#REF!</definedName>
    <definedName name="_DAT11" localSheetId="29">#REF!</definedName>
    <definedName name="_DAT11">#REF!</definedName>
    <definedName name="_DAT12" localSheetId="22">#REF!</definedName>
    <definedName name="_DAT12" localSheetId="28">#REF!</definedName>
    <definedName name="_DAT12" localSheetId="17">#REF!</definedName>
    <definedName name="_DAT12" localSheetId="18">#REF!</definedName>
    <definedName name="_DAT12" localSheetId="21">#REF!</definedName>
    <definedName name="_DAT12" localSheetId="29">#REF!</definedName>
    <definedName name="_DAT12">#REF!</definedName>
    <definedName name="_DAT13" localSheetId="22">#REF!</definedName>
    <definedName name="_DAT13" localSheetId="28">#REF!</definedName>
    <definedName name="_DAT13" localSheetId="17">#REF!</definedName>
    <definedName name="_DAT13" localSheetId="18">#REF!</definedName>
    <definedName name="_DAT13" localSheetId="21">#REF!</definedName>
    <definedName name="_DAT13" localSheetId="29">#REF!</definedName>
    <definedName name="_DAT13">#REF!</definedName>
    <definedName name="_DAT2" localSheetId="22">#REF!</definedName>
    <definedName name="_DAT2" localSheetId="28">#REF!</definedName>
    <definedName name="_DAT2" localSheetId="17">#REF!</definedName>
    <definedName name="_DAT2" localSheetId="18">#REF!</definedName>
    <definedName name="_DAT2" localSheetId="21">#REF!</definedName>
    <definedName name="_DAT2" localSheetId="29">#REF!</definedName>
    <definedName name="_DAT2">#REF!</definedName>
    <definedName name="_DAT3" localSheetId="22">#REF!</definedName>
    <definedName name="_DAT3" localSheetId="28">#REF!</definedName>
    <definedName name="_DAT3" localSheetId="17">#REF!</definedName>
    <definedName name="_DAT3" localSheetId="18">#REF!</definedName>
    <definedName name="_DAT3" localSheetId="21">#REF!</definedName>
    <definedName name="_DAT3" localSheetId="29">#REF!</definedName>
    <definedName name="_DAT3">#REF!</definedName>
    <definedName name="_DAT4" localSheetId="22">#REF!</definedName>
    <definedName name="_DAT4" localSheetId="28">#REF!</definedName>
    <definedName name="_DAT4" localSheetId="17">#REF!</definedName>
    <definedName name="_DAT4" localSheetId="18">#REF!</definedName>
    <definedName name="_DAT4" localSheetId="21">#REF!</definedName>
    <definedName name="_DAT4" localSheetId="29">#REF!</definedName>
    <definedName name="_DAT4">#REF!</definedName>
    <definedName name="_DAT5" localSheetId="22">#REF!</definedName>
    <definedName name="_DAT5" localSheetId="28">#REF!</definedName>
    <definedName name="_DAT5" localSheetId="17">#REF!</definedName>
    <definedName name="_DAT5" localSheetId="18">#REF!</definedName>
    <definedName name="_DAT5" localSheetId="21">#REF!</definedName>
    <definedName name="_DAT5" localSheetId="29">#REF!</definedName>
    <definedName name="_DAT5">#REF!</definedName>
    <definedName name="_DAT6" localSheetId="22">#REF!</definedName>
    <definedName name="_DAT6" localSheetId="28">#REF!</definedName>
    <definedName name="_DAT6" localSheetId="17">#REF!</definedName>
    <definedName name="_DAT6" localSheetId="18">#REF!</definedName>
    <definedName name="_DAT6" localSheetId="21">#REF!</definedName>
    <definedName name="_DAT6" localSheetId="29">#REF!</definedName>
    <definedName name="_DAT6">#REF!</definedName>
    <definedName name="_DAT7" localSheetId="22">#REF!</definedName>
    <definedName name="_DAT7" localSheetId="28">#REF!</definedName>
    <definedName name="_DAT7" localSheetId="17">#REF!</definedName>
    <definedName name="_DAT7" localSheetId="18">#REF!</definedName>
    <definedName name="_DAT7" localSheetId="21">#REF!</definedName>
    <definedName name="_DAT7" localSheetId="29">#REF!</definedName>
    <definedName name="_DAT7">#REF!</definedName>
    <definedName name="_DAT8" localSheetId="22">#REF!</definedName>
    <definedName name="_DAT8" localSheetId="28">#REF!</definedName>
    <definedName name="_DAT8" localSheetId="17">#REF!</definedName>
    <definedName name="_DAT8" localSheetId="18">#REF!</definedName>
    <definedName name="_DAT8" localSheetId="21">#REF!</definedName>
    <definedName name="_DAT8" localSheetId="29">#REF!</definedName>
    <definedName name="_DAT8">#REF!</definedName>
    <definedName name="_DAT9" localSheetId="22">#REF!</definedName>
    <definedName name="_DAT9" localSheetId="28">#REF!</definedName>
    <definedName name="_DAT9" localSheetId="17">#REF!</definedName>
    <definedName name="_DAT9" localSheetId="18">#REF!</definedName>
    <definedName name="_DAT9" localSheetId="21">#REF!</definedName>
    <definedName name="_DAT9" localSheetId="29">#REF!</definedName>
    <definedName name="_DAT9">#REF!</definedName>
    <definedName name="_Fill" localSheetId="22" hidden="1">#REF!</definedName>
    <definedName name="_Fill" localSheetId="28" hidden="1">#REF!</definedName>
    <definedName name="_Fill" localSheetId="17" hidden="1">#REF!</definedName>
    <definedName name="_Fill" localSheetId="18" hidden="1">#REF!</definedName>
    <definedName name="_Fill" localSheetId="21" hidden="1">#REF!</definedName>
    <definedName name="_Fill" localSheetId="29" hidden="1">#REF!</definedName>
    <definedName name="_Fill" hidden="1">#REF!</definedName>
    <definedName name="_xlnm._FilterDatabase" localSheetId="34" hidden="1">'2122'!$A$11:$J$389</definedName>
    <definedName name="_xlnm._FilterDatabase" localSheetId="16" hidden="1">'DEBTORS AGEING 21-22'!$A$4:$M$459</definedName>
    <definedName name="_xlnm._FilterDatabase" localSheetId="14" hidden="1">'Share Holding'!$A$2:$H$425</definedName>
    <definedName name="_xlnm._FilterDatabase" localSheetId="33" hidden="1">'TB final'!$A$3:$P$809</definedName>
    <definedName name="_GRP1">'[2]BS 590'!$B$313:$G$386</definedName>
    <definedName name="_GRP2">'[2]BS 590'!$B$388:$G$427</definedName>
    <definedName name="_GRP3" localSheetId="22">'[4]BS&amp;PLA'!#REF!</definedName>
    <definedName name="_GRP3" localSheetId="28">'[4]BS&amp;PLA'!#REF!</definedName>
    <definedName name="_GRP3" localSheetId="20">'[4]BS&amp;PLA'!#REF!</definedName>
    <definedName name="_GRP3" localSheetId="17">'[4]BS&amp;PLA'!#REF!</definedName>
    <definedName name="_GRP3" localSheetId="18">'[4]BS&amp;PLA'!#REF!</definedName>
    <definedName name="_GRP3" localSheetId="21">'[4]BS&amp;PLA'!#REF!</definedName>
    <definedName name="_GRP3" localSheetId="29">'[4]BS&amp;PLA'!#REF!</definedName>
    <definedName name="_GRP3">'[4]BS&amp;PLA'!#REF!</definedName>
    <definedName name="_GRP4" localSheetId="28">'[4]BS&amp;PLA'!#REF!</definedName>
    <definedName name="_GRP4" localSheetId="17">'[4]BS&amp;PLA'!#REF!</definedName>
    <definedName name="_GRP4" localSheetId="18">'[4]BS&amp;PLA'!#REF!</definedName>
    <definedName name="_GRP4" localSheetId="29">'[4]BS&amp;PLA'!#REF!</definedName>
    <definedName name="_GRP4">'[4]BS&amp;PLA'!#REF!</definedName>
    <definedName name="_Inv1">#REF!</definedName>
    <definedName name="_Inv2">#REF!</definedName>
    <definedName name="_Key1" localSheetId="22" hidden="1">#REF!</definedName>
    <definedName name="_Key1" localSheetId="28" hidden="1">#REF!</definedName>
    <definedName name="_Key1" localSheetId="17" hidden="1">#REF!</definedName>
    <definedName name="_Key1" localSheetId="18" hidden="1">#REF!</definedName>
    <definedName name="_Key1" localSheetId="21" hidden="1">#REF!</definedName>
    <definedName name="_Key1" localSheetId="29" hidden="1">#REF!</definedName>
    <definedName name="_Key1" hidden="1">#REF!</definedName>
    <definedName name="_Key2" localSheetId="22" hidden="1">[12]ASSET_ADD!#REF!</definedName>
    <definedName name="_Key2" localSheetId="28" hidden="1">[12]ASSET_ADD!#REF!</definedName>
    <definedName name="_Key2" localSheetId="17" hidden="1">[13]ASSET_ADD!#REF!</definedName>
    <definedName name="_Key2" localSheetId="18" hidden="1">[13]ASSET_ADD!#REF!</definedName>
    <definedName name="_Key2" localSheetId="21" hidden="1">[12]ASSET_ADD!#REF!</definedName>
    <definedName name="_Key2" localSheetId="29" hidden="1">[12]ASSET_ADD!#REF!</definedName>
    <definedName name="_Key2" hidden="1">[14]ASSET_ADD!#REF!</definedName>
    <definedName name="_MAR9091">'[15]TRIAL BALANCE'!#REF!</definedName>
    <definedName name="_Mar90911">'[8]TRIAL BALANCE'!#REF!</definedName>
    <definedName name="_Order1" hidden="1">255</definedName>
    <definedName name="_Order2" hidden="1">255</definedName>
    <definedName name="_Parse_Out" hidden="1">#REF!</definedName>
    <definedName name="_PG3" localSheetId="28">[5]DEPIT979!#REF!</definedName>
    <definedName name="_PG3" localSheetId="17">[5]DEPIT979!#REF!</definedName>
    <definedName name="_PG3" localSheetId="18">[5]DEPIT979!#REF!</definedName>
    <definedName name="_PG3" localSheetId="29">[5]DEPIT979!#REF!</definedName>
    <definedName name="_PG3">[5]DEPIT979!#REF!</definedName>
    <definedName name="_sch1">'[2]BS 590'!$B$125:$H$165</definedName>
    <definedName name="_sch2">'[2]BS 590'!$B$166:$H$193</definedName>
    <definedName name="_sch3">'[2]BS 590'!$B$194:$H$231</definedName>
    <definedName name="_sch4">'[2]BS 590'!$B$233:$H$280</definedName>
    <definedName name="_sch5">'[2]BS 590'!$B$281:$H$312</definedName>
    <definedName name="_SCH6">#REF!</definedName>
    <definedName name="_Sort" localSheetId="22" hidden="1">#REF!</definedName>
    <definedName name="_Sort" localSheetId="28" hidden="1">#REF!</definedName>
    <definedName name="_Sort" localSheetId="17" hidden="1">#REF!</definedName>
    <definedName name="_Sort" localSheetId="18" hidden="1">#REF!</definedName>
    <definedName name="_Sort" localSheetId="21" hidden="1">#REF!</definedName>
    <definedName name="_Sort" localSheetId="29" hidden="1">#REF!</definedName>
    <definedName name="_Sort" hidden="1">#REF!</definedName>
    <definedName name="_STK1" localSheetId="22">#REF!</definedName>
    <definedName name="_STK1" localSheetId="28">#REF!</definedName>
    <definedName name="_STK1" localSheetId="17">#REF!</definedName>
    <definedName name="_STK1" localSheetId="18">#REF!</definedName>
    <definedName name="_STK1" localSheetId="21">#REF!</definedName>
    <definedName name="_STK1" localSheetId="29">#REF!</definedName>
    <definedName name="_STK1">#REF!</definedName>
    <definedName name="_STK2" localSheetId="22">#REF!</definedName>
    <definedName name="_STK2" localSheetId="28">#REF!</definedName>
    <definedName name="_STK2" localSheetId="17">#REF!</definedName>
    <definedName name="_STK2" localSheetId="18">#REF!</definedName>
    <definedName name="_STK2" localSheetId="21">#REF!</definedName>
    <definedName name="_STK2" localSheetId="29">#REF!</definedName>
    <definedName name="_STK2">#REF!</definedName>
    <definedName name="_STK3" localSheetId="22">#REF!</definedName>
    <definedName name="_STK3" localSheetId="28">#REF!</definedName>
    <definedName name="_STK3" localSheetId="17">#REF!</definedName>
    <definedName name="_STK3" localSheetId="18">#REF!</definedName>
    <definedName name="_STK3" localSheetId="21">#REF!</definedName>
    <definedName name="_STK3" localSheetId="29">#REF!</definedName>
    <definedName name="_STK3">#REF!</definedName>
    <definedName name="_WA0005">'[16]TB WORLI'!#REF!</definedName>
    <definedName name="_WA0015">'[16]TB WORLI'!#REF!</definedName>
    <definedName name="_WA00212">'[16]TB WORLI'!#REF!</definedName>
    <definedName name="_WA00223">'[16]TB WORLI'!#REF!</definedName>
    <definedName name="_WA00231">'[16]TB WORLI'!#REF!</definedName>
    <definedName name="_WA00237">'[16]TB WORLI'!#REF!</definedName>
    <definedName name="_WA0026">'[16]TB WORLI'!#REF!</definedName>
    <definedName name="_WA00273">'[16]TB WORLI'!#REF!</definedName>
    <definedName name="_WA00288">'[16]TB WORLI'!#REF!</definedName>
    <definedName name="_WA00291">'[16]TB WORLI'!#REF!</definedName>
    <definedName name="_WA00294">'[16]TB WORLI'!#REF!</definedName>
    <definedName name="_WA00295">'[16]TB WORLI'!#REF!</definedName>
    <definedName name="_WA00298">'[16]TB WORLI'!#REF!</definedName>
    <definedName name="_WA00301">'[16]TB WORLI'!#REF!</definedName>
    <definedName name="_WA00302">'[16]TB WORLI'!#REF!</definedName>
    <definedName name="_WA00306">'[16]TB WORLI'!#REF!</definedName>
    <definedName name="_WA00307">'[16]TB WORLI'!#REF!</definedName>
    <definedName name="_WA00308">'[16]TB WORLI'!#REF!</definedName>
    <definedName name="_WA00310">'[16]TB WORLI'!#REF!</definedName>
    <definedName name="_WA00318">'[16]TB WORLI'!#REF!</definedName>
    <definedName name="_WA00321">'[16]TB WORLI'!#REF!</definedName>
    <definedName name="_WA00324">'[16]TB WORLI'!#REF!</definedName>
    <definedName name="_WA00325">'[16]TB WORLI'!#REF!</definedName>
    <definedName name="_WA00326">'[16]TB WORLI'!#REF!</definedName>
    <definedName name="_WA00327">'[16]TB WORLI'!#REF!</definedName>
    <definedName name="_WA00328">'[16]TB WORLI'!#REF!</definedName>
    <definedName name="_WA00329">'[16]TB WORLI'!#REF!</definedName>
    <definedName name="_WA00330">'[16]TB WORLI'!#REF!</definedName>
    <definedName name="_WA00332">'[16]TB WORLI'!#REF!</definedName>
    <definedName name="_WA00337">'[16]TB WORLI'!#REF!</definedName>
    <definedName name="_WA00338">'[16]TB WORLI'!#REF!</definedName>
    <definedName name="_WA00361">'[16]TB WORLI'!#REF!</definedName>
    <definedName name="_WA00362">'[16]TB WORLI'!#REF!</definedName>
    <definedName name="_WA00367">'[16]TB WORLI'!#REF!</definedName>
    <definedName name="_WA00368">'[16]TB WORLI'!#REF!</definedName>
    <definedName name="_WA00369">'[16]TB WORLI'!#REF!</definedName>
    <definedName name="_WA00370">'[16]TB WORLI'!#REF!</definedName>
    <definedName name="_WA00372">'[16]TB WORLI'!#REF!</definedName>
    <definedName name="_WA00373">'[16]TB WORLI'!#REF!</definedName>
    <definedName name="_WA00374">'[16]TB WORLI'!#REF!</definedName>
    <definedName name="_WA00375">'[16]TB WORLI'!#REF!</definedName>
    <definedName name="_WA00376">'[16]TB WORLI'!#REF!</definedName>
    <definedName name="_WA00377">'[16]TB WORLI'!#REF!</definedName>
    <definedName name="_WA00378">'[16]TB WORLI'!#REF!</definedName>
    <definedName name="_WA00379">'[16]TB WORLI'!#REF!</definedName>
    <definedName name="_WA0038">'[16]TB WORLI'!#REF!</definedName>
    <definedName name="_WA00380">'[16]TB WORLI'!#REF!</definedName>
    <definedName name="_WA00381">'[16]TB WORLI'!#REF!</definedName>
    <definedName name="_WA00382">'[16]TB WORLI'!#REF!</definedName>
    <definedName name="_WA00386">'[16]TB WORLI'!#REF!</definedName>
    <definedName name="_WA00387">'[16]TB WORLI'!#REF!</definedName>
    <definedName name="_WA00388">'[16]TB WORLI'!#REF!</definedName>
    <definedName name="_WA00389">'[16]TB WORLI'!#REF!</definedName>
    <definedName name="_WA00390">'[16]TB WORLI'!#REF!</definedName>
    <definedName name="_WA00392">'[16]TB WORLI'!#REF!</definedName>
    <definedName name="_WA00397">'[16]TB WORLI'!#REF!</definedName>
    <definedName name="_WA00400">'[16]TB WORLI'!#REF!</definedName>
    <definedName name="_WA00402">'[16]TB WORLI'!#REF!</definedName>
    <definedName name="_WA00420">'[16]TB WORLI'!#REF!</definedName>
    <definedName name="_WA00434">'[16]TB WORLI'!#REF!</definedName>
    <definedName name="_WA00435">'[16]TB WORLI'!#REF!</definedName>
    <definedName name="_WA00436">'[16]TB WORLI'!#REF!</definedName>
    <definedName name="_WA00437">'[16]TB WORLI'!#REF!</definedName>
    <definedName name="_WA00439">'[16]TB WORLI'!#REF!</definedName>
    <definedName name="_WA00440">'[16]TB WORLI'!#REF!</definedName>
    <definedName name="_WA00441">'[16]TB WORLI'!#REF!</definedName>
    <definedName name="_WA00442">'[16]TB WORLI'!#REF!</definedName>
    <definedName name="_WA00444">'[16]TB WORLI'!#REF!</definedName>
    <definedName name="_WA00445">'[16]TB WORLI'!#REF!</definedName>
    <definedName name="_WA00446">'[16]TB WORLI'!#REF!</definedName>
    <definedName name="_WA00447">'[16]TB WORLI'!#REF!</definedName>
    <definedName name="_WA00452">'[16]TB WORLI'!#REF!</definedName>
    <definedName name="_WA00454">'[16]TB WORLI'!#REF!</definedName>
    <definedName name="_WA0049">'[16]TB WORLI'!#REF!</definedName>
    <definedName name="_WA0065">'[16]TB WORLI'!#REF!</definedName>
    <definedName name="_WA0131">'[16]TB WORLI'!#REF!</definedName>
    <definedName name="_WA0142">'[16]TB WORLI'!#REF!</definedName>
    <definedName name="_WDR_" localSheetId="11">#REF!</definedName>
    <definedName name="_WDR_" localSheetId="4">#REF!</definedName>
    <definedName name="_WDR_" localSheetId="12">#REF!</definedName>
    <definedName name="_WDR_" localSheetId="20">#REF!</definedName>
    <definedName name="_WDR_" localSheetId="17">#REF!</definedName>
    <definedName name="_WDR_" localSheetId="18">#REF!</definedName>
    <definedName name="_WDR_" localSheetId="19">#REF!</definedName>
    <definedName name="_WDR_">#REF!</definedName>
    <definedName name="_WE00250" localSheetId="11">'[16]TB WORLI'!#REF!</definedName>
    <definedName name="_WE00250" localSheetId="4">'[16]TB WORLI'!#REF!</definedName>
    <definedName name="_WE00250" localSheetId="12">'[16]TB WORLI'!#REF!</definedName>
    <definedName name="_WE00250" localSheetId="17">'[16]TB WORLI'!#REF!</definedName>
    <definedName name="_WE00250" localSheetId="18">'[16]TB WORLI'!#REF!</definedName>
    <definedName name="_WE00250" localSheetId="19">'[16]TB WORLI'!#REF!</definedName>
    <definedName name="_WE00250">'[16]TB WORLI'!#REF!</definedName>
    <definedName name="_WE00251" localSheetId="11">'[16]TB WORLI'!#REF!</definedName>
    <definedName name="_WE00251" localSheetId="4">'[16]TB WORLI'!#REF!</definedName>
    <definedName name="_WE00251" localSheetId="12">'[16]TB WORLI'!#REF!</definedName>
    <definedName name="_WE00251" localSheetId="17">'[16]TB WORLI'!#REF!</definedName>
    <definedName name="_WE00251" localSheetId="18">'[16]TB WORLI'!#REF!</definedName>
    <definedName name="_WE00251" localSheetId="19">'[16]TB WORLI'!#REF!</definedName>
    <definedName name="_WE00251">'[16]TB WORLI'!#REF!</definedName>
    <definedName name="_WE00281">'[16]TB WORLI'!#REF!</definedName>
    <definedName name="_WE00289">'[16]TB WORLI'!#REF!</definedName>
    <definedName name="_WE0159">'[16]TB WORLI'!#REF!</definedName>
    <definedName name="_WE0160">'[16]TB WORLI'!#REF!</definedName>
    <definedName name="_WE0211">'[16]TB WORLI'!#REF!</definedName>
    <definedName name="_WE0219">'[16]TB WORLI'!#REF!</definedName>
    <definedName name="_WE0225">'[16]TB WORLI'!#REF!</definedName>
    <definedName name="_WE0232">'[16]TB WORLI'!#REF!</definedName>
    <definedName name="_WE0243">'[16]TB WORLI'!#REF!</definedName>
    <definedName name="_WI00296">'[16]TB WORLI'!#REF!</definedName>
    <definedName name="_WI00298">'[16]TB WORLI'!#REF!</definedName>
    <definedName name="_WI00319">'[16]TB WORLI'!#REF!</definedName>
    <definedName name="_WI00320">'[16]TB WORLI'!#REF!</definedName>
    <definedName name="_WI00321">'[16]TB WORLI'!#REF!</definedName>
    <definedName name="_WI0256">'[16]TB WORLI'!#REF!</definedName>
    <definedName name="_WI0286">'[16]TB WORLI'!#REF!</definedName>
    <definedName name="_WL00382">'[16]TB WORLI'!#REF!</definedName>
    <definedName name="_WL00623">'[16]TB WORLI'!#REF!</definedName>
    <definedName name="_WL00655">'[16]TB WORLI'!#REF!</definedName>
    <definedName name="_WL00664">'[16]TB WORLI'!#REF!</definedName>
    <definedName name="_WL0333">'[16]TB WORLI'!#REF!</definedName>
    <definedName name="_WL0342">'[16]TB WORLI'!#REF!</definedName>
    <definedName name="_WL0355">'[16]TB WORLI'!#REF!</definedName>
    <definedName name="A" localSheetId="22">#REF!</definedName>
    <definedName name="A" localSheetId="28">#REF!</definedName>
    <definedName name="a" localSheetId="17">#REF!</definedName>
    <definedName name="a" localSheetId="18">#REF!</definedName>
    <definedName name="A" localSheetId="21">#REF!</definedName>
    <definedName name="A" localSheetId="29">#REF!</definedName>
    <definedName name="A">#REF!</definedName>
    <definedName name="A0002_">'[17]TB APJ'!$B$233</definedName>
    <definedName name="A0005_">'[17]TB APJ'!$B$7</definedName>
    <definedName name="A0007_">'[17]TB APJ'!$B$8</definedName>
    <definedName name="A0008_">'[17]TB APJ'!$B$9</definedName>
    <definedName name="A00167_">'[17]TB APJ'!#REF!</definedName>
    <definedName name="A00168_">'[17]TB APJ'!#REF!</definedName>
    <definedName name="A00169_">[18]tb!$B$8</definedName>
    <definedName name="A00183_">'[17]TB APJ'!#REF!</definedName>
    <definedName name="A0019_">'[17]TB APJ'!$B$10</definedName>
    <definedName name="A00191_">'[17]TB APJ'!$B$246</definedName>
    <definedName name="A00195_">'[17]TB APJ'!#REF!</definedName>
    <definedName name="A00203_">'[17]TB APJ'!#REF!</definedName>
    <definedName name="A00207_">'[17]TB APJ'!#REF!</definedName>
    <definedName name="A00211_">'[17]TB APJ'!#REF!</definedName>
    <definedName name="A00212_">'[17]TB APJ'!$B$247</definedName>
    <definedName name="A00214_">'[17]TB APJ'!#REF!</definedName>
    <definedName name="A00215_">'[16]TB APJ'!#REF!</definedName>
    <definedName name="A00223_">[18]tb!$B$10</definedName>
    <definedName name="A00225_">'[17]TB APJ'!$B$11</definedName>
    <definedName name="A00226_">'[17]TB APJ'!$B$248</definedName>
    <definedName name="A00242_">'[17]TB APJ'!$B$12</definedName>
    <definedName name="A00247_">'[17]TB APJ'!#REF!</definedName>
    <definedName name="A00252_">'[17]TB APJ'!$B$330</definedName>
    <definedName name="A00256_">'[17]TB APJ'!$B$249</definedName>
    <definedName name="A00257_">'[17]TB APJ'!$B$306</definedName>
    <definedName name="A00258_">'[17]TB APJ'!#REF!</definedName>
    <definedName name="A0026_">'[17]TB APJ'!$B$13</definedName>
    <definedName name="A00260_">'[16]TB APJ'!#REF!</definedName>
    <definedName name="A00261_">'[16]TB APJ'!#REF!</definedName>
    <definedName name="A00264_">'[16]TB APJ'!#REF!</definedName>
    <definedName name="A00266_">'[17]TB APJ'!#REF!</definedName>
    <definedName name="A00268_">'[17]TB APJ'!#REF!</definedName>
    <definedName name="A00270_">'[17]TB APJ'!$B$331</definedName>
    <definedName name="A00271_">[18]tb!$B$16</definedName>
    <definedName name="A00273_">'[17]TB APJ'!$B$16</definedName>
    <definedName name="A00274_">'[17]TB APJ'!$B$17</definedName>
    <definedName name="A0028_">'[17]TB APJ'!$B$332</definedName>
    <definedName name="A00280_">'[17]TB APJ'!#REF!</definedName>
    <definedName name="A00281_">'[17]TB APJ'!#REF!</definedName>
    <definedName name="A00283_">'[17]TB APJ'!#REF!</definedName>
    <definedName name="A00290_">'[17]TB APJ'!#REF!</definedName>
    <definedName name="A00291_">'[17]TB APJ'!$B$250</definedName>
    <definedName name="A00293_">'[17]TB APJ'!$B$333</definedName>
    <definedName name="A00294_">'[17]TB APJ'!#REF!</definedName>
    <definedName name="A00295_">'[17]TB APJ'!#REF!</definedName>
    <definedName name="A00296_">'[17]TB APJ'!#REF!</definedName>
    <definedName name="A00297_">'[17]TB APJ'!#REF!</definedName>
    <definedName name="A00300_">'[16]TB APJ'!#REF!</definedName>
    <definedName name="A00301_">'[17]TB APJ'!#REF!</definedName>
    <definedName name="A00302_">'[17]TB APJ'!#REF!</definedName>
    <definedName name="A00303_">[18]tb!$B$25</definedName>
    <definedName name="A00305_">'[17]TB APJ'!#REF!</definedName>
    <definedName name="A00306_">'[16]TB WORLI'!#REF!</definedName>
    <definedName name="A00314_">'[17]TB APJ'!#REF!</definedName>
    <definedName name="A00315_">'[17]TB APJ'!#REF!</definedName>
    <definedName name="A00317_">'[17]TB APJ'!#REF!</definedName>
    <definedName name="A00318_">'[17]TB APJ'!#REF!</definedName>
    <definedName name="A00319_">'[17]TB APJ'!$B$307</definedName>
    <definedName name="A00320_">'[17]TB APJ'!$B$335</definedName>
    <definedName name="A00321_">'[17]TB APJ'!#REF!</definedName>
    <definedName name="A00322_">'[17]TB APJ'!$B$336</definedName>
    <definedName name="A00323_">'[16]TB APJ'!#REF!</definedName>
    <definedName name="A00324_">'[17]TB APJ'!#REF!</definedName>
    <definedName name="A00325_">'[17]TB APJ'!#REF!</definedName>
    <definedName name="A00326_">'[17]TB APJ'!$B$337</definedName>
    <definedName name="A00327_">'[17]TB APJ'!$B$338</definedName>
    <definedName name="A00330_">'[17]TB APJ'!#REF!</definedName>
    <definedName name="A00331_">'[17]TB APJ'!$B$308</definedName>
    <definedName name="A00333_">'[17]TB APJ'!#REF!</definedName>
    <definedName name="A00334_">'[17]TB APJ'!#REF!</definedName>
    <definedName name="A00335_">'[17]TB APJ'!#REF!</definedName>
    <definedName name="A00338_">'[17]TB APJ'!#REF!</definedName>
    <definedName name="A00340_">'[17]TB APJ'!#REF!</definedName>
    <definedName name="A00341_">'[17]TB APJ'!#REF!</definedName>
    <definedName name="A00342_">'[17]TB APJ'!$B$339</definedName>
    <definedName name="A00344_">'[17]TB APJ'!#REF!</definedName>
    <definedName name="A00345_">'[17]TB APJ'!#REF!</definedName>
    <definedName name="A00346_">'[17]TB APJ'!#REF!</definedName>
    <definedName name="A00348_">'[17]TB APJ'!#REF!</definedName>
    <definedName name="A00349_">'[17]TB APJ'!#REF!</definedName>
    <definedName name="A00350_">'[17]TB APJ'!$B$340</definedName>
    <definedName name="A00351_">'[17]TB APJ'!#REF!</definedName>
    <definedName name="A00352_">'[17]TB APJ'!$B$20</definedName>
    <definedName name="A00353_">'[17]TB APJ'!#REF!</definedName>
    <definedName name="A00354_">'[17]TB APJ'!$B$341</definedName>
    <definedName name="A00355_">'[17]TB APJ'!$B$342</definedName>
    <definedName name="A00357_">'[17]TB APJ'!$B$343</definedName>
    <definedName name="A00358_">'[17]TB APJ'!$B$344</definedName>
    <definedName name="A00359_">'[17]TB APJ'!$B$254</definedName>
    <definedName name="A00362_">'[17]TB APJ'!#REF!</definedName>
    <definedName name="A00366_">'[17]TB APJ'!#REF!</definedName>
    <definedName name="A00367_">'[17]TB APJ'!$B$21</definedName>
    <definedName name="A00368_">'[17]TB APJ'!$B$22</definedName>
    <definedName name="A00369_">'[17]TB APJ'!#REF!</definedName>
    <definedName name="A00370_">'[17]TB APJ'!$B$23</definedName>
    <definedName name="A00372_">'[17]TB APJ'!$B$235</definedName>
    <definedName name="A00376_">'[17]TB APJ'!#REF!</definedName>
    <definedName name="A00379_">'[17]TB APJ'!#REF!</definedName>
    <definedName name="A00381_">'[17]TB APJ'!#REF!</definedName>
    <definedName name="A00383_">'[17]TB APJ'!#REF!</definedName>
    <definedName name="A00386_">'[17]TB APJ'!#REF!</definedName>
    <definedName name="A00387_">'[17]TB APJ'!#REF!</definedName>
    <definedName name="A00388_">'[17]TB APJ'!#REF!</definedName>
    <definedName name="A00389_">'[17]TB APJ'!#REF!</definedName>
    <definedName name="A00391_">'[17]TB APJ'!#REF!</definedName>
    <definedName name="A00392_">'[17]TB APJ'!#REF!</definedName>
    <definedName name="A00393_">'[17]TB APJ'!#REF!</definedName>
    <definedName name="A00394_">'[17]TB APJ'!#REF!</definedName>
    <definedName name="A00395_">'[17]TB APJ'!#REF!</definedName>
    <definedName name="A00396_">'[17]TB APJ'!#REF!</definedName>
    <definedName name="A00397_">'[17]TB APJ'!$B$351</definedName>
    <definedName name="A00398_">'[17]TB APJ'!#REF!</definedName>
    <definedName name="A0040_">'[17]TB APJ'!#REF!</definedName>
    <definedName name="A00400_">'[17]TB APJ'!#REF!</definedName>
    <definedName name="A00402_">'[17]TB APJ'!$B$309</definedName>
    <definedName name="A00403_">'[17]TB APJ'!$B$25</definedName>
    <definedName name="A00404_">'[17]TB APJ'!#REF!</definedName>
    <definedName name="A00405_">'[17]TB APJ'!$B$26</definedName>
    <definedName name="A00407_">'[17]TB APJ'!#REF!</definedName>
    <definedName name="A00409_">'[17]TB APJ'!$B$256</definedName>
    <definedName name="A00410_">'[17]TB APJ'!#REF!</definedName>
    <definedName name="A00411_">'[17]TB APJ'!#REF!</definedName>
    <definedName name="A00412_">'[17]TB APJ'!#REF!</definedName>
    <definedName name="A00413_">'[17]TB APJ'!#REF!</definedName>
    <definedName name="A00416_">'[17]TB APJ'!#REF!</definedName>
    <definedName name="A00420_">'[17]TB APJ'!#REF!</definedName>
    <definedName name="A00421_">'[17]TB APJ'!#REF!</definedName>
    <definedName name="A00422_">'[17]TB APJ'!#REF!</definedName>
    <definedName name="A00423_">'[17]TB APJ'!$B$27</definedName>
    <definedName name="A00424_">'[17]TB APJ'!$B$28</definedName>
    <definedName name="A00425_">'[17]TB APJ'!#REF!</definedName>
    <definedName name="A00426_">'[17]TB APJ'!$B$353</definedName>
    <definedName name="A00427_">'[17]TB APJ'!$B$258</definedName>
    <definedName name="A00430_">'[17]TB APJ'!$B$29</definedName>
    <definedName name="A00433_">'[17]TB APJ'!#REF!</definedName>
    <definedName name="A00434_">'[17]TB APJ'!$B$260</definedName>
    <definedName name="A00435_">'[17]TB APJ'!#REF!</definedName>
    <definedName name="A00436_">'[17]TB APJ'!#REF!</definedName>
    <definedName name="A00437_">'[17]TB APJ'!#REF!</definedName>
    <definedName name="A0044_">'[17]TB APJ'!#REF!</definedName>
    <definedName name="A00441_">'[17]TB APJ'!#REF!</definedName>
    <definedName name="A00442_">'[17]TB APJ'!$B$354</definedName>
    <definedName name="A00443_">'[17]TB APJ'!$B$261</definedName>
    <definedName name="A00444_">'[17]TB APJ'!#REF!</definedName>
    <definedName name="A00445_">'[17]TB APJ'!$B$355</definedName>
    <definedName name="A00446_">'[17]TB APJ'!$B$31</definedName>
    <definedName name="A00448_">'[17]TB APJ'!#REF!</definedName>
    <definedName name="A0045_">[18]tb!$B$92</definedName>
    <definedName name="A00453_">'[17]TB APJ'!$B$32</definedName>
    <definedName name="A00457_">'[17]TB APJ'!$B$34</definedName>
    <definedName name="A0048_">'[17]TB APJ'!#REF!</definedName>
    <definedName name="A0049_">'[16]TB WORLI'!#REF!</definedName>
    <definedName name="A0050_">'[17]TB APJ'!$B$36</definedName>
    <definedName name="A0052_">'[17]TB APJ'!#REF!</definedName>
    <definedName name="A0053_">'[17]TB APJ'!$B$37</definedName>
    <definedName name="A0057_">'[17]TB APJ'!$B$38</definedName>
    <definedName name="A0060_">'[17]TB APJ'!$B$39</definedName>
    <definedName name="A0061_">'[17]TB APJ'!#REF!</definedName>
    <definedName name="A0062_">'[17]TB APJ'!$B$40</definedName>
    <definedName name="A0064_">[18]tb!$B$101</definedName>
    <definedName name="A0065_">'[17]TB APJ'!$B$357</definedName>
    <definedName name="A0066_">'[17]TB APJ'!$B$41</definedName>
    <definedName name="A0067_">'[17]TB APJ'!$B$42</definedName>
    <definedName name="A0069_">'[16]TB APJ'!#REF!</definedName>
    <definedName name="A0070_">'[17]TB APJ'!$B$43</definedName>
    <definedName name="A0071_">'[17]TB APJ'!$B$44</definedName>
    <definedName name="A0072_">'[17]TB APJ'!$B$45</definedName>
    <definedName name="A0074_">'[17]TB APJ'!$B$46</definedName>
    <definedName name="A0075_">'[17]TB APJ'!$B$425</definedName>
    <definedName name="A0078_">'[17]TB APJ'!#REF!</definedName>
    <definedName name="A0080_">'[17]TB APJ'!$B$47</definedName>
    <definedName name="A0081_">'[17]TB APJ'!$B$48</definedName>
    <definedName name="A0082_">'[17]TB APJ'!#REF!</definedName>
    <definedName name="A0084_">'[17]TB APJ'!$B$49</definedName>
    <definedName name="A0085_">'[17]TB APJ'!$B$241</definedName>
    <definedName name="A0087_">'[17]TB APJ'!$B$359</definedName>
    <definedName name="A0088_">'[17]TB APJ'!$B$50</definedName>
    <definedName name="A0096_">'[17]TB APJ'!#REF!</definedName>
    <definedName name="A0100_">'[17]TB APJ'!$B$51</definedName>
    <definedName name="A0101_">'[17]TB APJ'!#REF!</definedName>
    <definedName name="A0103_">'[17]TB APJ'!$B$268</definedName>
    <definedName name="A0114_">'[17]TB APJ'!$B$52</definedName>
    <definedName name="A0115_">'[17]TB APJ'!$B$53</definedName>
    <definedName name="A0116_">'[17]TB APJ'!$B$269</definedName>
    <definedName name="A0118_">'[17]TB APJ'!$B$54</definedName>
    <definedName name="A0119_">'[17]TB APJ'!$B$55</definedName>
    <definedName name="A0126_">'[17]TB APJ'!#REF!</definedName>
    <definedName name="A0127_">'[17]TB APJ'!#REF!</definedName>
    <definedName name="A0129_">'[17]TB APJ'!#REF!</definedName>
    <definedName name="A0141_">'[17]TB APJ'!$B$56</definedName>
    <definedName name="A0142_">'[17]TB APJ'!$B$57</definedName>
    <definedName name="A0146_">'[16]TB APJ'!#REF!</definedName>
    <definedName name="A0154_">'[17]TB APJ'!$B$58</definedName>
    <definedName name="A0155_">'[17]TB APJ'!#REF!</definedName>
    <definedName name="A10002_">'[17]TB APJ'!$B$59</definedName>
    <definedName name="A10007_">'[17]TB APJ'!$B$312</definedName>
    <definedName name="A10019_">'[16]TB APJ'!$B$48</definedName>
    <definedName name="A10037_">'[16]TB APJ'!#REF!</definedName>
    <definedName name="A10041_">'[16]TB APJ'!#REF!</definedName>
    <definedName name="A10066_">'[16]TB APJ'!#REF!</definedName>
    <definedName name="A10069_">'[16]TB APJ'!#REF!</definedName>
    <definedName name="A10087_">'[16]TB APJ'!#REF!</definedName>
    <definedName name="A10104_">'[17]TB APJ'!$B$315</definedName>
    <definedName name="A10106_">'[16]TB APJ'!#REF!</definedName>
    <definedName name="A10112_">'[17]TB APJ'!$B$60</definedName>
    <definedName name="A10117_">'[17]TB APJ'!$B$61</definedName>
    <definedName name="A10119_">'[17]TB APJ'!$B$426</definedName>
    <definedName name="A10122_">'[17]TB APJ'!$B$63</definedName>
    <definedName name="A10123_">'[17]TB APJ'!$B$64</definedName>
    <definedName name="A10124_">'[17]TB APJ'!$B$65</definedName>
    <definedName name="AA" localSheetId="11">#REF!</definedName>
    <definedName name="AA" localSheetId="4">#REF!</definedName>
    <definedName name="AA" localSheetId="12">#REF!</definedName>
    <definedName name="AA" localSheetId="20">#REF!</definedName>
    <definedName name="AA" localSheetId="17">#REF!</definedName>
    <definedName name="AA" localSheetId="18">#REF!</definedName>
    <definedName name="AA" localSheetId="19">#REF!</definedName>
    <definedName name="AA">#REF!</definedName>
    <definedName name="AA0005_" localSheetId="11">'[16]TB WORLI'!#REF!</definedName>
    <definedName name="AA0005_" localSheetId="4">'[16]TB WORLI'!#REF!</definedName>
    <definedName name="AA0005_" localSheetId="12">'[16]TB WORLI'!#REF!</definedName>
    <definedName name="AA0005_" localSheetId="17">'[16]TB WORLI'!#REF!</definedName>
    <definedName name="AA0005_" localSheetId="18">'[16]TB WORLI'!#REF!</definedName>
    <definedName name="AA0005_" localSheetId="19">'[16]TB WORLI'!#REF!</definedName>
    <definedName name="AA0005_">'[16]TB WORLI'!#REF!</definedName>
    <definedName name="AA0015_" localSheetId="11">'[16]TB WORLI'!#REF!</definedName>
    <definedName name="AA0015_" localSheetId="4">'[16]TB WORLI'!#REF!</definedName>
    <definedName name="AA0015_" localSheetId="12">'[16]TB WORLI'!#REF!</definedName>
    <definedName name="AA0015_" localSheetId="17">'[16]TB WORLI'!#REF!</definedName>
    <definedName name="AA0015_" localSheetId="18">'[16]TB WORLI'!#REF!</definedName>
    <definedName name="AA0015_" localSheetId="19">'[16]TB WORLI'!#REF!</definedName>
    <definedName name="AA0015_">'[16]TB WORLI'!#REF!</definedName>
    <definedName name="AA00212_" localSheetId="11">'[16]TB WORLI'!#REF!</definedName>
    <definedName name="AA00212_" localSheetId="4">'[16]TB WORLI'!#REF!</definedName>
    <definedName name="AA00212_" localSheetId="12">'[16]TB WORLI'!#REF!</definedName>
    <definedName name="AA00212_" localSheetId="17">'[16]TB WORLI'!#REF!</definedName>
    <definedName name="AA00212_" localSheetId="18">'[16]TB WORLI'!#REF!</definedName>
    <definedName name="AA00212_" localSheetId="19">'[16]TB WORLI'!#REF!</definedName>
    <definedName name="AA00212_">'[16]TB WORLI'!#REF!</definedName>
    <definedName name="AA00223_" localSheetId="11">'[16]TB WORLI'!#REF!</definedName>
    <definedName name="AA00223_" localSheetId="4">'[16]TB WORLI'!#REF!</definedName>
    <definedName name="AA00223_" localSheetId="12">'[16]TB WORLI'!#REF!</definedName>
    <definedName name="AA00223_" localSheetId="17">'[16]TB WORLI'!#REF!</definedName>
    <definedName name="AA00223_" localSheetId="18">'[16]TB WORLI'!#REF!</definedName>
    <definedName name="AA00223_" localSheetId="19">'[16]TB WORLI'!#REF!</definedName>
    <definedName name="AA00223_">'[16]TB WORLI'!#REF!</definedName>
    <definedName name="AA00231_">'[16]TB WORLI'!#REF!</definedName>
    <definedName name="AA00237_">'[16]TB WORLI'!#REF!</definedName>
    <definedName name="AA0026_">'[16]TB WORLI'!#REF!</definedName>
    <definedName name="AA00273_">'[16]TB WORLI'!#REF!</definedName>
    <definedName name="AA00288_">'[16]TB WORLI'!#REF!</definedName>
    <definedName name="AA00291_">'[16]TB WORLI'!#REF!</definedName>
    <definedName name="AA00294_">'[16]TB WORLI'!#REF!</definedName>
    <definedName name="AA00295_">'[16]TB WORLI'!#REF!</definedName>
    <definedName name="AA00298_">'[16]TB WORLI'!#REF!</definedName>
    <definedName name="AA00301_">'[16]TB WORLI'!#REF!</definedName>
    <definedName name="AA00302_">'[16]TB WORLI'!#REF!</definedName>
    <definedName name="AA00306_">'[16]TB WORLI'!#REF!</definedName>
    <definedName name="AA00307_">'[16]TB WORLI'!#REF!</definedName>
    <definedName name="AA00308_">'[16]TB WORLI'!#REF!</definedName>
    <definedName name="AA00310_">'[16]TB WORLI'!#REF!</definedName>
    <definedName name="AA00318_">'[16]TB WORLI'!#REF!</definedName>
    <definedName name="AA00321_">'[16]TB WORLI'!#REF!</definedName>
    <definedName name="AA00324_">'[16]TB WORLI'!#REF!</definedName>
    <definedName name="AA00325_">'[16]TB WORLI'!#REF!</definedName>
    <definedName name="AA00326_">'[16]TB WORLI'!#REF!</definedName>
    <definedName name="AA00327_">'[16]TB WORLI'!#REF!</definedName>
    <definedName name="AA00328_">'[16]TB WORLI'!#REF!</definedName>
    <definedName name="AA00329_">'[16]TB WORLI'!#REF!</definedName>
    <definedName name="AA00330_">'[16]TB WORLI'!#REF!</definedName>
    <definedName name="AA00332_">'[16]TB WORLI'!#REF!</definedName>
    <definedName name="AA00337_">'[16]TB WORLI'!#REF!</definedName>
    <definedName name="AA00338_">'[16]TB WORLI'!#REF!</definedName>
    <definedName name="AA00361_">'[16]TB WORLI'!#REF!</definedName>
    <definedName name="AA00362_">'[16]TB WORLI'!#REF!</definedName>
    <definedName name="AA00367_">'[16]TB WORLI'!#REF!</definedName>
    <definedName name="AA00368_">'[16]TB WORLI'!#REF!</definedName>
    <definedName name="AA00369_">'[16]TB WORLI'!#REF!</definedName>
    <definedName name="AA00370_">'[16]TB WORLI'!#REF!</definedName>
    <definedName name="AA00372_">'[16]TB WORLI'!#REF!</definedName>
    <definedName name="AA00373_">'[16]TB WORLI'!#REF!</definedName>
    <definedName name="AA00374_">'[16]TB WORLI'!#REF!</definedName>
    <definedName name="AA00375_">'[16]TB WORLI'!#REF!</definedName>
    <definedName name="AA00376_">'[16]TB WORLI'!#REF!</definedName>
    <definedName name="AA00377_">'[16]TB WORLI'!#REF!</definedName>
    <definedName name="AA00378_">'[16]TB WORLI'!#REF!</definedName>
    <definedName name="AA00379_">'[16]TB WORLI'!#REF!</definedName>
    <definedName name="AA0038_">'[16]TB WORLI'!#REF!</definedName>
    <definedName name="AA00380_">'[16]TB WORLI'!#REF!</definedName>
    <definedName name="AA00381_">'[16]TB WORLI'!#REF!</definedName>
    <definedName name="AA00382_">'[16]TB WORLI'!#REF!</definedName>
    <definedName name="AA00386_">'[16]TB WORLI'!#REF!</definedName>
    <definedName name="AA00387_">'[16]TB WORLI'!#REF!</definedName>
    <definedName name="AA00388_">'[16]TB WORLI'!#REF!</definedName>
    <definedName name="AA00389_">'[16]TB WORLI'!#REF!</definedName>
    <definedName name="AA00390_">'[16]TB WORLI'!#REF!</definedName>
    <definedName name="AA00392_">'[16]TB WORLI'!#REF!</definedName>
    <definedName name="AA00397_">'[16]TB WORLI'!#REF!</definedName>
    <definedName name="AA00400_">'[16]TB WORLI'!#REF!</definedName>
    <definedName name="AA00402_">'[16]TB WORLI'!#REF!</definedName>
    <definedName name="AA00420_">'[16]TB WORLI'!#REF!</definedName>
    <definedName name="AA00434_">'[16]TB WORLI'!#REF!</definedName>
    <definedName name="AA00435_">'[16]TB WORLI'!#REF!</definedName>
    <definedName name="AA00436_">'[16]TB WORLI'!#REF!</definedName>
    <definedName name="AA00437_">'[16]TB WORLI'!#REF!</definedName>
    <definedName name="AA00439_">'[16]TB WORLI'!#REF!</definedName>
    <definedName name="AA00440_">'[16]TB WORLI'!#REF!</definedName>
    <definedName name="AA00441_">'[16]TB WORLI'!#REF!</definedName>
    <definedName name="AA00442_">'[16]TB WORLI'!#REF!</definedName>
    <definedName name="AA00444_">'[16]TB WORLI'!#REF!</definedName>
    <definedName name="AA00445_">'[16]TB WORLI'!#REF!</definedName>
    <definedName name="AA00446_">'[16]TB WORLI'!#REF!</definedName>
    <definedName name="AA00447_">'[16]TB WORLI'!#REF!</definedName>
    <definedName name="AA00452_">'[16]TB WORLI'!#REF!</definedName>
    <definedName name="AA00454_">'[16]TB WORLI'!#REF!</definedName>
    <definedName name="AA0049_">'[16]TB WORLI'!#REF!</definedName>
    <definedName name="AA0065_">'[16]TB WORLI'!#REF!</definedName>
    <definedName name="AA0131_">'[16]TB WORLI'!#REF!</definedName>
    <definedName name="AA0142_">'[16]TB WORLI'!#REF!</definedName>
    <definedName name="AAA" localSheetId="22">#REF!</definedName>
    <definedName name="AAA" localSheetId="28">#REF!</definedName>
    <definedName name="AAA" localSheetId="17">#REF!</definedName>
    <definedName name="AAA" localSheetId="18">#REF!</definedName>
    <definedName name="AAA" localSheetId="21">#REF!</definedName>
    <definedName name="AAA" localSheetId="29">#REF!</definedName>
    <definedName name="AAA">#REF!</definedName>
    <definedName name="AAAAAAA" localSheetId="22">#REF!</definedName>
    <definedName name="AAAAAAA" localSheetId="28">#REF!</definedName>
    <definedName name="AAAAAAA" localSheetId="21">#REF!</definedName>
    <definedName name="AAAAAAA" localSheetId="29">#REF!</definedName>
    <definedName name="AAAAAAA">#REF!</definedName>
    <definedName name="abc" localSheetId="11">#REF!</definedName>
    <definedName name="abc" localSheetId="22">#REF!</definedName>
    <definedName name="abc" localSheetId="28">#REF!</definedName>
    <definedName name="abc" localSheetId="4">#REF!</definedName>
    <definedName name="abc" localSheetId="12">#REF!</definedName>
    <definedName name="abc" localSheetId="20">#REF!</definedName>
    <definedName name="ABC" localSheetId="17">'[3]BS&amp;PLA'!#REF!</definedName>
    <definedName name="ABC" localSheetId="18">'[3]BS&amp;PLA'!#REF!</definedName>
    <definedName name="abc" localSheetId="21">#REF!</definedName>
    <definedName name="abc" localSheetId="19">#REF!</definedName>
    <definedName name="abc" localSheetId="29">#REF!</definedName>
    <definedName name="abc">#REF!</definedName>
    <definedName name="abnl" localSheetId="1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bnl" localSheetId="4"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bnl" localSheetId="12"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bnl" localSheetId="20"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bnl" localSheetId="17"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bnl" localSheetId="18"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bnl" localSheetId="19"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bnl"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CTUAL">#REF!</definedName>
    <definedName name="Actual_vs.">#REF!</definedName>
    <definedName name="AE00250_">'[16]TB WORLI'!#REF!</definedName>
    <definedName name="AE00251_">'[16]TB WORLI'!#REF!</definedName>
    <definedName name="AE00281_">'[16]TB WORLI'!#REF!</definedName>
    <definedName name="AE00289_">'[16]TB WORLI'!#REF!</definedName>
    <definedName name="AE0159_">'[16]TB WORLI'!#REF!</definedName>
    <definedName name="AE0160_">'[16]TB WORLI'!#REF!</definedName>
    <definedName name="AE0211_">'[16]TB WORLI'!#REF!</definedName>
    <definedName name="AE0219_">'[16]TB WORLI'!#REF!</definedName>
    <definedName name="AE0225_">'[16]TB WORLI'!#REF!</definedName>
    <definedName name="AE0232_">'[16]TB WORLI'!#REF!</definedName>
    <definedName name="AE0243_">'[16]TB WORLI'!#REF!</definedName>
    <definedName name="AH" localSheetId="22">#REF!</definedName>
    <definedName name="AH" localSheetId="28">#REF!</definedName>
    <definedName name="AH" localSheetId="17">#REF!</definedName>
    <definedName name="AH" localSheetId="18">#REF!</definedName>
    <definedName name="AH" localSheetId="21">#REF!</definedName>
    <definedName name="AH" localSheetId="29">#REF!</definedName>
    <definedName name="AH">#REF!</definedName>
    <definedName name="AI00296_">'[16]TB WORLI'!#REF!</definedName>
    <definedName name="AI00298_">'[16]TB WORLI'!#REF!</definedName>
    <definedName name="AI00319_">'[16]TB WORLI'!#REF!</definedName>
    <definedName name="AI00320_">'[16]TB WORLI'!#REF!</definedName>
    <definedName name="AI00321_">'[16]TB WORLI'!#REF!</definedName>
    <definedName name="AI0256_">'[16]TB WORLI'!#REF!</definedName>
    <definedName name="AI0286_">'[16]TB WORLI'!#REF!</definedName>
    <definedName name="AJ" localSheetId="22">#REF!</definedName>
    <definedName name="AJ" localSheetId="28">#REF!</definedName>
    <definedName name="AJ" localSheetId="17">#REF!</definedName>
    <definedName name="AJ" localSheetId="18">#REF!</definedName>
    <definedName name="AJ" localSheetId="21">#REF!</definedName>
    <definedName name="AJ" localSheetId="29">#REF!</definedName>
    <definedName name="AJ">#REF!</definedName>
    <definedName name="AL00382_">'[16]TB WORLI'!#REF!</definedName>
    <definedName name="AL00623_">'[16]TB WORLI'!#REF!</definedName>
    <definedName name="AL00655_">'[16]TB WORLI'!#REF!</definedName>
    <definedName name="AL00664_">'[16]TB WORLI'!#REF!</definedName>
    <definedName name="AL0333_">'[16]TB WORLI'!#REF!</definedName>
    <definedName name="AL0342_">'[16]TB WORLI'!#REF!</definedName>
    <definedName name="AL0355_">'[16]TB WORLI'!#REF!</definedName>
    <definedName name="anan" localSheetId="11">#N/A</definedName>
    <definedName name="anan" localSheetId="22">IF('Advance to Supplier'!Loan_Amount*'Advance to Supplier'!Interest_Rate*'Advance to Supplier'!Loan_Years*'Advance to Supplier'!Loan_Start&gt;0,1,0)</definedName>
    <definedName name="anan" localSheetId="28">IF('Bank TL &amp; Int.'!Loan_Amount*'Bank TL &amp; Int.'!Interest_Rate*'Bank TL &amp; Int.'!Loan_Years*'Bank TL &amp; Int.'!Loan_Start&gt;0,1,0)</definedName>
    <definedName name="anan" localSheetId="4">#N/A</definedName>
    <definedName name="anan" localSheetId="12">#N/A</definedName>
    <definedName name="anan" localSheetId="20">#N/A</definedName>
    <definedName name="anan" localSheetId="17">#N/A</definedName>
    <definedName name="anan" localSheetId="18">#N/A</definedName>
    <definedName name="anan" localSheetId="21">IF('Loans to staff'!Loan_Amount*'Loans to staff'!Interest_Rate*'Loans to staff'!Loan_Years*'Loans to staff'!Loan_Start&gt;0,1,0)</definedName>
    <definedName name="anan" localSheetId="19">#N/A</definedName>
    <definedName name="anan" localSheetId="29">IF('Unsecured Loan Int'!Loan_Amount*'Unsecured Loan Int'!Interest_Rate*'Unsecured Loan Int'!Loan_Years*'Unsecured Loan Int'!Loan_Start&gt;0,1,0)</definedName>
    <definedName name="anan">#N/A</definedName>
    <definedName name="ANANT" localSheetId="11">#REF!</definedName>
    <definedName name="ANANT" localSheetId="4">#REF!</definedName>
    <definedName name="ANANT" localSheetId="12">#REF!</definedName>
    <definedName name="ANANT" localSheetId="20">#REF!</definedName>
    <definedName name="ANANT" localSheetId="17">#REF!</definedName>
    <definedName name="ANANT" localSheetId="18">#REF!</definedName>
    <definedName name="ANANT" localSheetId="19">#REF!</definedName>
    <definedName name="ANANT">#REF!</definedName>
    <definedName name="ANDAMAN_AND_NICOBAR_ISLANDS" localSheetId="22">#REF!</definedName>
    <definedName name="ANDAMAN_AND_NICOBAR_ISLANDS" localSheetId="28">#REF!</definedName>
    <definedName name="ANDAMAN_AND_NICOBAR_ISLANDS" localSheetId="17">#REF!</definedName>
    <definedName name="ANDAMAN_AND_NICOBAR_ISLANDS" localSheetId="18">#REF!</definedName>
    <definedName name="ANDAMAN_AND_NICOBAR_ISLANDS" localSheetId="21">#REF!</definedName>
    <definedName name="ANDAMAN_AND_NICOBAR_ISLANDS" localSheetId="29">#REF!</definedName>
    <definedName name="ANDAMAN_AND_NICOBAR_ISLANDS">#REF!</definedName>
    <definedName name="Annexure">#REF!</definedName>
    <definedName name="annexureChallanSrno" localSheetId="22">'[19]Annexure-I'!$A$11:$A$105</definedName>
    <definedName name="annexureChallanSrno" localSheetId="28">'[19]Annexure-I'!$A$11:$A$105</definedName>
    <definedName name="annexureChallanSrno" localSheetId="21">'[19]Annexure-I'!$A$11:$A$105</definedName>
    <definedName name="annexureChallanSrno" localSheetId="29">'[19]Annexure-I'!$A$11:$A$105</definedName>
    <definedName name="annexureChallanSrno">'[20]Annexure-I'!$A$11:$A$105</definedName>
    <definedName name="annexureTDS" localSheetId="22">'[19]Annexure-I'!$R$11:$R$105</definedName>
    <definedName name="annexureTDS" localSheetId="28">'[19]Annexure-I'!$R$11:$R$105</definedName>
    <definedName name="annexureTDS" localSheetId="21">'[19]Annexure-I'!$R$11:$R$105</definedName>
    <definedName name="annexureTDS" localSheetId="29">'[19]Annexure-I'!$R$11:$R$105</definedName>
    <definedName name="annexureTDS">'[20]Annexure-I'!$R$11:$R$105</definedName>
    <definedName name="annexureTotalDeposit" localSheetId="22">'[19]Annexure-I'!$W$11:$W$105</definedName>
    <definedName name="annexureTotalDeposit" localSheetId="28">'[19]Annexure-I'!$W$11:$W$105</definedName>
    <definedName name="annexureTotalDeposit" localSheetId="21">'[19]Annexure-I'!$W$11:$W$105</definedName>
    <definedName name="annexureTotalDeposit" localSheetId="29">'[19]Annexure-I'!$W$11:$W$105</definedName>
    <definedName name="annexureTotalDeposit">'[20]Annexure-I'!$W$11:$W$105</definedName>
    <definedName name="AnnualLowerEarningsLimit">3484</definedName>
    <definedName name="AnnualPrimaryThreshold">4628</definedName>
    <definedName name="AnnualSecondaryThreshold">4615</definedName>
    <definedName name="AnnualUpperEarningsLimit">30940</definedName>
    <definedName name="anscount" hidden="1">1</definedName>
    <definedName name="AR" localSheetId="22">#REF!</definedName>
    <definedName name="AR" localSheetId="28">#REF!</definedName>
    <definedName name="AR" localSheetId="17">#REF!</definedName>
    <definedName name="AR" localSheetId="18">#REF!</definedName>
    <definedName name="AR" localSheetId="21">#REF!</definedName>
    <definedName name="AR" localSheetId="29">#REF!</definedName>
    <definedName name="AR">#REF!</definedName>
    <definedName name="archana">[21]Summary!$A$65:$A$66</definedName>
    <definedName name="architect" localSheetId="22">#REF!</definedName>
    <definedName name="architect" localSheetId="28">#REF!</definedName>
    <definedName name="architect" localSheetId="17">#REF!</definedName>
    <definedName name="architect" localSheetId="18">#REF!</definedName>
    <definedName name="architect" localSheetId="21">#REF!</definedName>
    <definedName name="architect" localSheetId="29">#REF!</definedName>
    <definedName name="architect">#REF!</definedName>
    <definedName name="as" localSheetId="22">#REF!</definedName>
    <definedName name="as" localSheetId="28">#REF!</definedName>
    <definedName name="as" localSheetId="17">#REF!</definedName>
    <definedName name="as" localSheetId="18">#REF!</definedName>
    <definedName name="as" localSheetId="21">#REF!</definedName>
    <definedName name="as" localSheetId="29">#REF!</definedName>
    <definedName name="as">#REF!</definedName>
    <definedName name="AS2DocOpenMode" hidden="1">"AS2DocumentEdit"</definedName>
    <definedName name="ashish" localSheetId="22">#REF!</definedName>
    <definedName name="ashish" localSheetId="28">#REF!</definedName>
    <definedName name="ashish" localSheetId="21">#REF!</definedName>
    <definedName name="ashish" localSheetId="29">#REF!</definedName>
    <definedName name="ashish">#REF!</definedName>
    <definedName name="ASIA_PLASTIC_in_KUSD">#REF!</definedName>
    <definedName name="ASS" localSheetId="22">#REF!</definedName>
    <definedName name="ASS" localSheetId="28">#REF!</definedName>
    <definedName name="ASS" localSheetId="17">#REF!</definedName>
    <definedName name="ASS" localSheetId="18">#REF!</definedName>
    <definedName name="ASS" localSheetId="21">#REF!</definedName>
    <definedName name="ASS" localSheetId="29">#REF!</definedName>
    <definedName name="ASS">#REF!</definedName>
    <definedName name="assetfull_4" localSheetId="22">#REF!</definedName>
    <definedName name="assetfull_4" localSheetId="28">#REF!</definedName>
    <definedName name="assetfull_4" localSheetId="17">#REF!</definedName>
    <definedName name="assetfull_4" localSheetId="18">#REF!</definedName>
    <definedName name="assetfull_4" localSheetId="21">#REF!</definedName>
    <definedName name="assetfull_4" localSheetId="29">#REF!</definedName>
    <definedName name="assetfull_4">#REF!</definedName>
    <definedName name="assetfull_5" localSheetId="22">#REF!</definedName>
    <definedName name="assetfull_5" localSheetId="28">#REF!</definedName>
    <definedName name="assetfull_5" localSheetId="17">#REF!</definedName>
    <definedName name="assetfull_5" localSheetId="18">#REF!</definedName>
    <definedName name="assetfull_5" localSheetId="21">#REF!</definedName>
    <definedName name="assetfull_5" localSheetId="29">#REF!</definedName>
    <definedName name="assetfull_5">#REF!</definedName>
    <definedName name="assetfull_6" localSheetId="22">#REF!</definedName>
    <definedName name="assetfull_6" localSheetId="28">#REF!</definedName>
    <definedName name="assetfull_6" localSheetId="17">#REF!</definedName>
    <definedName name="assetfull_6" localSheetId="18">#REF!</definedName>
    <definedName name="assetfull_6" localSheetId="21">#REF!</definedName>
    <definedName name="assetfull_6" localSheetId="29">#REF!</definedName>
    <definedName name="assetfull_6">#REF!</definedName>
    <definedName name="assetfull_7" localSheetId="22">#REF!</definedName>
    <definedName name="assetfull_7" localSheetId="28">#REF!</definedName>
    <definedName name="assetfull_7" localSheetId="17">#REF!</definedName>
    <definedName name="assetfull_7" localSheetId="18">#REF!</definedName>
    <definedName name="assetfull_7" localSheetId="21">#REF!</definedName>
    <definedName name="assetfull_7" localSheetId="29">#REF!</definedName>
    <definedName name="assetfull_7">#REF!</definedName>
    <definedName name="assetfull_8" localSheetId="22">#REF!</definedName>
    <definedName name="assetfull_8" localSheetId="28">#REF!</definedName>
    <definedName name="assetfull_8" localSheetId="17">#REF!</definedName>
    <definedName name="assetfull_8" localSheetId="18">#REF!</definedName>
    <definedName name="assetfull_8" localSheetId="21">#REF!</definedName>
    <definedName name="assetfull_8" localSheetId="29">#REF!</definedName>
    <definedName name="assetfull_8">#REF!</definedName>
    <definedName name="ASSETS1_4" localSheetId="22">#REF!</definedName>
    <definedName name="ASSETS1_4" localSheetId="28">#REF!</definedName>
    <definedName name="ASSETS1_4" localSheetId="17">#REF!</definedName>
    <definedName name="ASSETS1_4" localSheetId="18">#REF!</definedName>
    <definedName name="ASSETS1_4" localSheetId="21">#REF!</definedName>
    <definedName name="ASSETS1_4" localSheetId="29">#REF!</definedName>
    <definedName name="ASSETS1_4">#REF!</definedName>
    <definedName name="ASSETS1_5" localSheetId="22">#REF!</definedName>
    <definedName name="ASSETS1_5" localSheetId="28">#REF!</definedName>
    <definedName name="ASSETS1_5" localSheetId="17">#REF!</definedName>
    <definedName name="ASSETS1_5" localSheetId="18">#REF!</definedName>
    <definedName name="ASSETS1_5" localSheetId="21">#REF!</definedName>
    <definedName name="ASSETS1_5" localSheetId="29">#REF!</definedName>
    <definedName name="ASSETS1_5">#REF!</definedName>
    <definedName name="ASSETS1_6" localSheetId="22">#REF!</definedName>
    <definedName name="ASSETS1_6" localSheetId="28">#REF!</definedName>
    <definedName name="ASSETS1_6" localSheetId="17">#REF!</definedName>
    <definedName name="ASSETS1_6" localSheetId="18">#REF!</definedName>
    <definedName name="ASSETS1_6" localSheetId="21">#REF!</definedName>
    <definedName name="ASSETS1_6" localSheetId="29">#REF!</definedName>
    <definedName name="ASSETS1_6">#REF!</definedName>
    <definedName name="ASSETS1_7" localSheetId="22">#REF!</definedName>
    <definedName name="ASSETS1_7" localSheetId="28">#REF!</definedName>
    <definedName name="ASSETS1_7" localSheetId="17">#REF!</definedName>
    <definedName name="ASSETS1_7" localSheetId="18">#REF!</definedName>
    <definedName name="ASSETS1_7" localSheetId="21">#REF!</definedName>
    <definedName name="ASSETS1_7" localSheetId="29">#REF!</definedName>
    <definedName name="ASSETS1_7">#REF!</definedName>
    <definedName name="ASSETS1_8" localSheetId="22">#REF!</definedName>
    <definedName name="ASSETS1_8" localSheetId="28">#REF!</definedName>
    <definedName name="ASSETS1_8" localSheetId="17">#REF!</definedName>
    <definedName name="ASSETS1_8" localSheetId="18">#REF!</definedName>
    <definedName name="ASSETS1_8" localSheetId="21">#REF!</definedName>
    <definedName name="ASSETS1_8" localSheetId="29">#REF!</definedName>
    <definedName name="ASSETS1_8">#REF!</definedName>
    <definedName name="AssetType">[11]Sheet1!$C$1:$C$5</definedName>
    <definedName name="ASST2_4" localSheetId="22">#REF!</definedName>
    <definedName name="ASST2_4" localSheetId="28">#REF!</definedName>
    <definedName name="ASST2_4" localSheetId="17">#REF!</definedName>
    <definedName name="ASST2_4" localSheetId="18">#REF!</definedName>
    <definedName name="ASST2_4" localSheetId="21">#REF!</definedName>
    <definedName name="ASST2_4" localSheetId="29">#REF!</definedName>
    <definedName name="ASST2_4">#REF!</definedName>
    <definedName name="ASST2_5" localSheetId="22">#REF!</definedName>
    <definedName name="ASST2_5" localSheetId="28">#REF!</definedName>
    <definedName name="ASST2_5" localSheetId="17">#REF!</definedName>
    <definedName name="ASST2_5" localSheetId="18">#REF!</definedName>
    <definedName name="ASST2_5" localSheetId="21">#REF!</definedName>
    <definedName name="ASST2_5" localSheetId="29">#REF!</definedName>
    <definedName name="ASST2_5">#REF!</definedName>
    <definedName name="ASST2_6" localSheetId="22">#REF!</definedName>
    <definedName name="ASST2_6" localSheetId="28">#REF!</definedName>
    <definedName name="ASST2_6" localSheetId="17">#REF!</definedName>
    <definedName name="ASST2_6" localSheetId="18">#REF!</definedName>
    <definedName name="ASST2_6" localSheetId="21">#REF!</definedName>
    <definedName name="ASST2_6" localSheetId="29">#REF!</definedName>
    <definedName name="ASST2_6">#REF!</definedName>
    <definedName name="ASST2_7" localSheetId="22">#REF!</definedName>
    <definedName name="ASST2_7" localSheetId="28">#REF!</definedName>
    <definedName name="ASST2_7" localSheetId="17">#REF!</definedName>
    <definedName name="ASST2_7" localSheetId="18">#REF!</definedName>
    <definedName name="ASST2_7" localSheetId="21">#REF!</definedName>
    <definedName name="ASST2_7" localSheetId="29">#REF!</definedName>
    <definedName name="ASST2_7">#REF!</definedName>
    <definedName name="ASST2_8" localSheetId="22">#REF!</definedName>
    <definedName name="ASST2_8" localSheetId="28">#REF!</definedName>
    <definedName name="ASST2_8" localSheetId="17">#REF!</definedName>
    <definedName name="ASST2_8" localSheetId="18">#REF!</definedName>
    <definedName name="ASST2_8" localSheetId="21">#REF!</definedName>
    <definedName name="ASST2_8" localSheetId="29">#REF!</definedName>
    <definedName name="ASST2_8">#REF!</definedName>
    <definedName name="AsstYr">[22]Masters!$C$34</definedName>
    <definedName name="AudName">[23]Masters!$C$13</definedName>
    <definedName name="Avg." localSheetId="11">#REF!</definedName>
    <definedName name="Avg." localSheetId="4">#REF!</definedName>
    <definedName name="Avg." localSheetId="12">#REF!</definedName>
    <definedName name="Avg." localSheetId="20">#REF!</definedName>
    <definedName name="Avg." localSheetId="17">#REF!</definedName>
    <definedName name="Avg." localSheetId="18">#REF!</definedName>
    <definedName name="Avg." localSheetId="19">#REF!</definedName>
    <definedName name="Avg.">#REF!</definedName>
    <definedName name="axedoc" localSheetId="11">#REF!</definedName>
    <definedName name="axedoc" localSheetId="4">#REF!</definedName>
    <definedName name="axedoc" localSheetId="12">#REF!</definedName>
    <definedName name="axedoc" localSheetId="20">#REF!</definedName>
    <definedName name="axedoc" localSheetId="17">#REF!</definedName>
    <definedName name="axedoc" localSheetId="18">#REF!</definedName>
    <definedName name="axedoc" localSheetId="19">#REF!</definedName>
    <definedName name="axedoc">#REF!</definedName>
    <definedName name="AY" localSheetId="22">#REF!</definedName>
    <definedName name="AY" localSheetId="28">#REF!</definedName>
    <definedName name="AY" localSheetId="17">#REF!</definedName>
    <definedName name="AY" localSheetId="18">#REF!</definedName>
    <definedName name="AY" localSheetId="21">#REF!</definedName>
    <definedName name="AY" localSheetId="29">#REF!</definedName>
    <definedName name="AY">#REF!</definedName>
    <definedName name="b" localSheetId="22">#REF!</definedName>
    <definedName name="b" localSheetId="28">#REF!</definedName>
    <definedName name="b" localSheetId="17">#REF!</definedName>
    <definedName name="b" localSheetId="18">#REF!</definedName>
    <definedName name="b" localSheetId="21">#REF!</definedName>
    <definedName name="b" localSheetId="29">#REF!</definedName>
    <definedName name="b">#REF!</definedName>
    <definedName name="BA0007_">'[17]TB WORLI'!$B$5</definedName>
    <definedName name="BA0008_">'[17]TB WORLI'!$B$6</definedName>
    <definedName name="BA00169_">'[17]TB WORLI'!$B$8</definedName>
    <definedName name="BA00212_">'[16]TB WORLI'!$B$136</definedName>
    <definedName name="BA00223_">'[17]TB WORLI'!$B$10</definedName>
    <definedName name="BA00238_">'[17]TB WORLI'!$B$13</definedName>
    <definedName name="BA00270_">'[16]TB WORLI'!$B$8</definedName>
    <definedName name="BA00271_">'[17]TB WORLI'!$B$16</definedName>
    <definedName name="BA00298_">'[16]TB WORLI'!$B$139</definedName>
    <definedName name="BA00301_">'[17]TB WORLI'!$B$23</definedName>
    <definedName name="BA00302_">'[17]TB WORLI'!$B$24</definedName>
    <definedName name="BA00303_">'[17]TB WORLI'!$B$25</definedName>
    <definedName name="BA00304_">'[17]TB WORLI'!$B$26</definedName>
    <definedName name="BA00319_">'[17]TB WORLI'!$B$32</definedName>
    <definedName name="BA00338_">'[17]TB WORLI'!$B$45</definedName>
    <definedName name="BA00339_">'[17]TB WORLI'!$B$46</definedName>
    <definedName name="BA00358_">'[17]TB WORLI'!$B$47</definedName>
    <definedName name="BA00362_">'[17]TB WORLI'!$B$49</definedName>
    <definedName name="BA00371_">'[17]TB WORLI'!$B$54</definedName>
    <definedName name="BA00405_">'[16]TB WORLI'!$B$18</definedName>
    <definedName name="BA00433_">'[17]TB WORLI'!$B$78</definedName>
    <definedName name="BA00434_">'[17]TB WORLI'!$B$79</definedName>
    <definedName name="BA00437_">'[17]TB WORLI'!$B$82</definedName>
    <definedName name="BA00441_">'[17]TB WORLI'!$B$85</definedName>
    <definedName name="BA00442_">'[17]TB WORLI'!$B$86</definedName>
    <definedName name="BA00449_">'[17]TB WORLI'!$B$91</definedName>
    <definedName name="BA0045_">'[17]TB WORLI'!$B$92</definedName>
    <definedName name="BA00450_">'[16]TB WORLI'!$B$22</definedName>
    <definedName name="BA00453_">'[16]TB WORLI'!$B$23</definedName>
    <definedName name="BA0049_">'[17]TB WORLI'!$B$97</definedName>
    <definedName name="BA0051_">'[17]TB WORLI'!$B$98</definedName>
    <definedName name="BA0062_">'[17]TB WORLI'!$B$100</definedName>
    <definedName name="BA0064_">'[17]TB WORLI'!$B$101</definedName>
    <definedName name="BA0072_">'[17]TB WORLI'!$B$103</definedName>
    <definedName name="BA0141_">'[17]TB WORLI'!$B$105</definedName>
    <definedName name="bal">'[2]BS 590'!$B$1:$H$65</definedName>
    <definedName name="balancesheet">[24]working!$A$378:$C$532</definedName>
    <definedName name="BalTest_Abbreviated.balance.sheet.foot.totals">[25]AbbBS!$E$31,[25]AbbBS!$E$40</definedName>
    <definedName name="BalTest_Abbreviated.balance.sheet.foot.totals.Comparatives" localSheetId="22">[26]AbbBS!$H$31,[26]AbbBS!$H$40</definedName>
    <definedName name="BalTest_Abbreviated.balance.sheet.foot.totals.Comparatives" localSheetId="28">[26]AbbBS!$H$31,[26]AbbBS!$H$40</definedName>
    <definedName name="BalTest_Abbreviated.balance.sheet.foot.totals.Comparatives" localSheetId="21">[26]AbbBS!$H$31,[26]AbbBS!$H$40</definedName>
    <definedName name="BalTest_Abbreviated.balance.sheet.foot.totals.Comparatives" localSheetId="29">[26]AbbBS!$H$31,[26]AbbBS!$H$40</definedName>
    <definedName name="BalTest_Abbreviated.balance.sheet.foot.totals.Comparatives">[27]AbbBS!$H$31,[27]AbbBS!$H$40</definedName>
    <definedName name="BalTest_Balance.sheet.foot.totals" localSheetId="22">[26]BS!$E$31,[26]BS!$E$40</definedName>
    <definedName name="BalTest_Balance.sheet.foot.totals" localSheetId="28">[26]BS!$E$31,[26]BS!$E$40</definedName>
    <definedName name="BalTest_Balance.sheet.foot.totals" localSheetId="21">[26]BS!$E$31,[26]BS!$E$40</definedName>
    <definedName name="BalTest_Balance.sheet.foot.totals" localSheetId="29">[26]BS!$E$31,[26]BS!$E$40</definedName>
    <definedName name="BalTest_Balance.sheet.foot.totals">[27]BS!$E$31,[27]BS!$E$40</definedName>
    <definedName name="BalTest_Balance.sheet.foot.totals.Comparatives" localSheetId="22">[26]BS!$H$31,[26]BS!$H$40</definedName>
    <definedName name="BalTest_Balance.sheet.foot.totals.Comparatives" localSheetId="28">[26]BS!$H$31,[26]BS!$H$40</definedName>
    <definedName name="BalTest_Balance.sheet.foot.totals.Comparatives" localSheetId="21">[26]BS!$H$31,[26]BS!$H$40</definedName>
    <definedName name="BalTest_Balance.sheet.foot.totals.Comparatives" localSheetId="29">[26]BS!$H$31,[26]BS!$H$40</definedName>
    <definedName name="BalTest_Balance.sheet.foot.totals.Comparatives">[27]BS!$H$31,[27]BS!$H$40</definedName>
    <definedName name="BalTest_Capital.redemption.reserve.brought.forward.IfVisible" localSheetId="22">[26]Notes!$I$277,[26]Notes!$G$274</definedName>
    <definedName name="BalTest_Capital.redemption.reserve.brought.forward.IfVisible" localSheetId="28">[26]Notes!$I$277,[26]Notes!$G$274</definedName>
    <definedName name="BalTest_Capital.redemption.reserve.brought.forward.IfVisible" localSheetId="21">[26]Notes!$I$277,[26]Notes!$G$274</definedName>
    <definedName name="BalTest_Capital.redemption.reserve.brought.forward.IfVisible" localSheetId="29">[26]Notes!$I$277,[26]Notes!$G$274</definedName>
    <definedName name="BalTest_Capital.redemption.reserve.brought.forward.IfVisible">[27]Notes!$I$277,[27]Notes!$G$274</definedName>
    <definedName name="BalTest_Cash.flow.foot.totals" localSheetId="22">[26]CF!$E$40,[26]CF!$E$46</definedName>
    <definedName name="BalTest_Cash.flow.foot.totals" localSheetId="28">[26]CF!$E$40,[26]CF!$E$46</definedName>
    <definedName name="BalTest_Cash.flow.foot.totals" localSheetId="21">[26]CF!$E$40,[26]CF!$E$46</definedName>
    <definedName name="BalTest_Cash.flow.foot.totals" localSheetId="29">[26]CF!$E$40,[26]CF!$E$46</definedName>
    <definedName name="BalTest_Cash.flow.foot.totals">[27]CF!$E$40,[27]CF!$E$46</definedName>
    <definedName name="BalTest_Cash.flow.foot.totals.Comparatives" localSheetId="22">[26]CF!$G$40,[26]CF!$G$46</definedName>
    <definedName name="BalTest_Cash.flow.foot.totals.Comparatives" localSheetId="28">[26]CF!$G$40,[26]CF!$G$46</definedName>
    <definedName name="BalTest_Cash.flow.foot.totals.Comparatives" localSheetId="21">[26]CF!$G$40,[26]CF!$G$46</definedName>
    <definedName name="BalTest_Cash.flow.foot.totals.Comparatives" localSheetId="29">[26]CF!$G$40,[26]CF!$G$46</definedName>
    <definedName name="BalTest_Cash.flow.foot.totals.Comparatives">[27]CF!$G$40,[27]CF!$G$46</definedName>
    <definedName name="BalTest_Deferred.tax.brought.forward.IfVisible" localSheetId="22">[26]Notes!$G$226,[26]Notes!$I$229</definedName>
    <definedName name="BalTest_Deferred.tax.brought.forward.IfVisible" localSheetId="28">[26]Notes!$G$226,[26]Notes!$I$229</definedName>
    <definedName name="BalTest_Deferred.tax.brought.forward.IfVisible" localSheetId="21">[26]Notes!$G$226,[26]Notes!$I$229</definedName>
    <definedName name="BalTest_Deferred.tax.brought.forward.IfVisible" localSheetId="29">[26]Notes!$G$226,[26]Notes!$I$229</definedName>
    <definedName name="BalTest_Deferred.tax.brought.forward.IfVisible">[27]Notes!$G$226,[27]Notes!$I$229</definedName>
    <definedName name="BalTest_Fixed.assets.brought.forward.IfVisible" localSheetId="22">[26]Workings!$H$47,[26]Workings!$H$67</definedName>
    <definedName name="BalTest_Fixed.assets.brought.forward.IfVisible" localSheetId="28">[26]Workings!$H$47,[26]Workings!$H$67</definedName>
    <definedName name="BalTest_Fixed.assets.brought.forward.IfVisible" localSheetId="21">[26]Workings!$H$47,[26]Workings!$H$67</definedName>
    <definedName name="BalTest_Fixed.assets.brought.forward.IfVisible" localSheetId="29">[26]Workings!$H$47,[26]Workings!$H$67</definedName>
    <definedName name="BalTest_Fixed.assets.brought.forward.IfVisible">[27]Workings!$H$47,[27]Workings!$H$67</definedName>
    <definedName name="BalTest_Intangible.fixed.assets.brought.forward.IfVisible" localSheetId="22">[26]Workings!$F$21,[26]Workings!$F$23</definedName>
    <definedName name="BalTest_Intangible.fixed.assets.brought.forward.IfVisible" localSheetId="28">[26]Workings!$F$21,[26]Workings!$F$23</definedName>
    <definedName name="BalTest_Intangible.fixed.assets.brought.forward.IfVisible" localSheetId="21">[26]Workings!$F$21,[26]Workings!$F$23</definedName>
    <definedName name="BalTest_Intangible.fixed.assets.brought.forward.IfVisible" localSheetId="29">[26]Workings!$F$21,[26]Workings!$F$23</definedName>
    <definedName name="BalTest_Intangible.fixed.assets.brought.forward.IfVisible">[27]Workings!$F$21,[27]Workings!$F$23</definedName>
    <definedName name="BalTest_Investments.brought.forward.IfVisible" localSheetId="22">[26]Workings!$H$78,[26]Workings!$H$95</definedName>
    <definedName name="BalTest_Investments.brought.forward.IfVisible" localSheetId="28">[26]Workings!$H$78,[26]Workings!$H$95</definedName>
    <definedName name="BalTest_Investments.brought.forward.IfVisible" localSheetId="21">[26]Workings!$H$78,[26]Workings!$H$95</definedName>
    <definedName name="BalTest_Investments.brought.forward.IfVisible" localSheetId="29">[26]Workings!$H$78,[26]Workings!$H$95</definedName>
    <definedName name="BalTest_Investments.brought.forward.IfVisible">[27]Workings!$H$78,[27]Workings!$H$95</definedName>
    <definedName name="BalTest_PL.compared.with.DetailPL" localSheetId="22">[26]PL!$G$32,[26]DetailPL1!$C$26</definedName>
    <definedName name="BalTest_PL.compared.with.DetailPL" localSheetId="28">[26]PL!$G$32,[26]DetailPL1!$C$26</definedName>
    <definedName name="BalTest_PL.compared.with.DetailPL" localSheetId="21">[26]PL!$G$32,[26]DetailPL1!$C$26</definedName>
    <definedName name="BalTest_PL.compared.with.DetailPL" localSheetId="29">[26]PL!$G$32,[26]DetailPL1!$C$26</definedName>
    <definedName name="BalTest_PL.compared.with.DetailPL">[27]PL!$G$32,[27]DetailPL1!$C$26</definedName>
    <definedName name="BalTest_PL.compared.with.DetailPL.Comparatives" localSheetId="22">[26]PL!$I$32,[26]DetailPL1!$E$26</definedName>
    <definedName name="BalTest_PL.compared.with.DetailPL.Comparatives" localSheetId="28">[26]PL!$I$32,[26]DetailPL1!$E$26</definedName>
    <definedName name="BalTest_PL.compared.with.DetailPL.Comparatives" localSheetId="21">[26]PL!$I$32,[26]DetailPL1!$E$26</definedName>
    <definedName name="BalTest_PL.compared.with.DetailPL.Comparatives" localSheetId="29">[26]PL!$I$32,[26]DetailPL1!$E$26</definedName>
    <definedName name="BalTest_PL.compared.with.DetailPL.Comparatives">[27]PL!$I$32,[27]DetailPL1!$E$26</definedName>
    <definedName name="BalTest_Profit.and.loss.account.brought.forward.IfVisible" localSheetId="22">[26]Notes!$I$288,[26]Notes!$G$283</definedName>
    <definedName name="BalTest_Profit.and.loss.account.brought.forward.IfVisible" localSheetId="28">[26]Notes!$I$288,[26]Notes!$G$283</definedName>
    <definedName name="BalTest_Profit.and.loss.account.brought.forward.IfVisible" localSheetId="21">[26]Notes!$I$288,[26]Notes!$G$283</definedName>
    <definedName name="BalTest_Profit.and.loss.account.brought.forward.IfVisible" localSheetId="29">[26]Notes!$I$288,[26]Notes!$G$283</definedName>
    <definedName name="BalTest_Profit.and.loss.account.brought.forward.IfVisible">[27]Notes!$I$288,[27]Notes!$G$283</definedName>
    <definedName name="BalTest_Revaluation.reserve.brought.forward.IfVisible" localSheetId="22">[26]Notes!$I$268,[26]Notes!$G$265</definedName>
    <definedName name="BalTest_Revaluation.reserve.brought.forward.IfVisible" localSheetId="28">[26]Notes!$I$268,[26]Notes!$G$265</definedName>
    <definedName name="BalTest_Revaluation.reserve.brought.forward.IfVisible" localSheetId="21">[26]Notes!$I$268,[26]Notes!$G$265</definedName>
    <definedName name="BalTest_Revaluation.reserve.brought.forward.IfVisible" localSheetId="29">[26]Notes!$I$268,[26]Notes!$G$265</definedName>
    <definedName name="BalTest_Revaluation.reserve.brought.forward.IfVisible">[27]Notes!$I$268,[27]Notes!$G$265</definedName>
    <definedName name="BalTest_Share.capital.brought.forward.IfVisible" localSheetId="11">[25]Notes!#REF!,[25]Notes!#REF!</definedName>
    <definedName name="BalTest_Share.capital.brought.forward.IfVisible" localSheetId="22">[25]Notes!#REF!,[25]Notes!#REF!</definedName>
    <definedName name="BalTest_Share.capital.brought.forward.IfVisible" localSheetId="28">[25]Notes!#REF!,[25]Notes!#REF!</definedName>
    <definedName name="BalTest_Share.capital.brought.forward.IfVisible" localSheetId="4">[25]Notes!#REF!,[25]Notes!#REF!</definedName>
    <definedName name="BalTest_Share.capital.brought.forward.IfVisible" localSheetId="12">[25]Notes!#REF!,[25]Notes!#REF!</definedName>
    <definedName name="BalTest_Share.capital.brought.forward.IfVisible" localSheetId="20">[25]Notes!#REF!,[25]Notes!#REF!</definedName>
    <definedName name="BalTest_Share.capital.brought.forward.IfVisible" localSheetId="17">[25]Notes!#REF!,[25]Notes!#REF!</definedName>
    <definedName name="BalTest_Share.capital.brought.forward.IfVisible" localSheetId="18">[25]Notes!#REF!,[25]Notes!#REF!</definedName>
    <definedName name="BalTest_Share.capital.brought.forward.IfVisible" localSheetId="21">[25]Notes!#REF!,[25]Notes!#REF!</definedName>
    <definedName name="BalTest_Share.capital.brought.forward.IfVisible" localSheetId="19">[25]Notes!#REF!,[25]Notes!#REF!</definedName>
    <definedName name="BalTest_Share.capital.brought.forward.IfVisible" localSheetId="29">[25]Notes!#REF!,[25]Notes!#REF!</definedName>
    <definedName name="BalTest_Share.capital.brought.forward.IfVisible">[25]Notes!#REF!,[25]Notes!#REF!</definedName>
    <definedName name="BalTest_Share.premium.brought.forward.IfVisible" localSheetId="22">[26]Notes!$I$259,[26]Notes!$G$255</definedName>
    <definedName name="BalTest_Share.premium.brought.forward.IfVisible" localSheetId="28">[26]Notes!$I$259,[26]Notes!$G$255</definedName>
    <definedName name="BalTest_Share.premium.brought.forward.IfVisible" localSheetId="21">[26]Notes!$I$259,[26]Notes!$G$255</definedName>
    <definedName name="BalTest_Share.premium.brought.forward.IfVisible" localSheetId="29">[26]Notes!$I$259,[26]Notes!$G$255</definedName>
    <definedName name="BalTest_Share.premium.brought.forward.IfVisible">[27]Notes!$I$259,[27]Notes!$G$255</definedName>
    <definedName name="BasicRate">0.22</definedName>
    <definedName name="BasicRateThreshold">1920</definedName>
    <definedName name="Basis">#REF!</definedName>
    <definedName name="BBB" localSheetId="22">#REF!</definedName>
    <definedName name="BBB" localSheetId="28">#REF!</definedName>
    <definedName name="BBB" localSheetId="17">#REF!</definedName>
    <definedName name="BBB" localSheetId="18">#REF!</definedName>
    <definedName name="BBB" localSheetId="21">#REF!</definedName>
    <definedName name="BBB" localSheetId="29">#REF!</definedName>
    <definedName name="BBB">#REF!</definedName>
    <definedName name="bbbbbb" localSheetId="22">#REF!</definedName>
    <definedName name="bbbbbb" localSheetId="28">#REF!</definedName>
    <definedName name="bbbbbb" localSheetId="17">#REF!</definedName>
    <definedName name="bbbbbb" localSheetId="18">#REF!</definedName>
    <definedName name="bbbbbb" localSheetId="21">#REF!</definedName>
    <definedName name="bbbbbb" localSheetId="29">#REF!</definedName>
    <definedName name="bbbbbb">#REF!</definedName>
    <definedName name="BE00281_">'[17]TB WORLI'!$B$109</definedName>
    <definedName name="BE00289_">'[17]TB WORLI'!$B$110</definedName>
    <definedName name="BE00306_">'[17]TB WORLI'!$B$111</definedName>
    <definedName name="BE0160_">'[17]TB WORLI'!$B$113</definedName>
    <definedName name="BE0161_">'[17]TB WORLI'!$B$114</definedName>
    <definedName name="BE0211_">'[17]TB WORLI'!$B$115</definedName>
    <definedName name="BE0219_">'[17]TB WORLI'!$B$116</definedName>
    <definedName name="BE0225_">'[16]TB WORLI'!$B$151</definedName>
    <definedName name="BE0235_">'[16]TB WORLI'!$B$33</definedName>
    <definedName name="BE0243_">'[17]TB WORLI'!$B$119</definedName>
    <definedName name="BEP_4" localSheetId="22">#REF!</definedName>
    <definedName name="BEP_4" localSheetId="28">#REF!</definedName>
    <definedName name="BEP_4" localSheetId="17">#REF!</definedName>
    <definedName name="BEP_4" localSheetId="18">#REF!</definedName>
    <definedName name="BEP_4" localSheetId="21">#REF!</definedName>
    <definedName name="BEP_4" localSheetId="29">#REF!</definedName>
    <definedName name="BEP_4">#REF!</definedName>
    <definedName name="BEP_5" localSheetId="22">#REF!</definedName>
    <definedName name="BEP_5" localSheetId="28">#REF!</definedName>
    <definedName name="BEP_5" localSheetId="17">#REF!</definedName>
    <definedName name="BEP_5" localSheetId="18">#REF!</definedName>
    <definedName name="BEP_5" localSheetId="21">#REF!</definedName>
    <definedName name="BEP_5" localSheetId="29">#REF!</definedName>
    <definedName name="BEP_5">#REF!</definedName>
    <definedName name="BEP_6" localSheetId="22">#REF!</definedName>
    <definedName name="BEP_6" localSheetId="28">#REF!</definedName>
    <definedName name="BEP_6" localSheetId="17">#REF!</definedName>
    <definedName name="BEP_6" localSheetId="18">#REF!</definedName>
    <definedName name="BEP_6" localSheetId="21">#REF!</definedName>
    <definedName name="BEP_6" localSheetId="29">#REF!</definedName>
    <definedName name="BEP_6">#REF!</definedName>
    <definedName name="BEP_7" localSheetId="22">#REF!</definedName>
    <definedName name="BEP_7" localSheetId="28">#REF!</definedName>
    <definedName name="BEP_7" localSheetId="17">#REF!</definedName>
    <definedName name="BEP_7" localSheetId="18">#REF!</definedName>
    <definedName name="BEP_7" localSheetId="21">#REF!</definedName>
    <definedName name="BEP_7" localSheetId="29">#REF!</definedName>
    <definedName name="BEP_7">#REF!</definedName>
    <definedName name="BEP_8" localSheetId="22">#REF!</definedName>
    <definedName name="BEP_8" localSheetId="28">#REF!</definedName>
    <definedName name="BEP_8" localSheetId="17">#REF!</definedName>
    <definedName name="BEP_8" localSheetId="18">#REF!</definedName>
    <definedName name="BEP_8" localSheetId="21">#REF!</definedName>
    <definedName name="BEP_8" localSheetId="29">#REF!</definedName>
    <definedName name="BEP_8">#REF!</definedName>
    <definedName name="Bharat_diam.Brou_99">#REF!</definedName>
    <definedName name="Bhavik" localSheetId="22">#REF!</definedName>
    <definedName name="Bhavik" localSheetId="28">#REF!</definedName>
    <definedName name="Bhavik" localSheetId="17">#REF!</definedName>
    <definedName name="Bhavik" localSheetId="18">#REF!</definedName>
    <definedName name="Bhavik" localSheetId="21">#REF!</definedName>
    <definedName name="Bhavik" localSheetId="29">#REF!</definedName>
    <definedName name="Bhavik">#REF!</definedName>
    <definedName name="BI00296_">'[17]TB WORLI'!$B$120</definedName>
    <definedName name="BI00298_">'[17]TB WORLI'!$B$121</definedName>
    <definedName name="BI00319_">'[17]TB WORLI'!$B$122</definedName>
    <definedName name="BI00320_">'[17]TB WORLI'!$B$123</definedName>
    <definedName name="BI00321_">'[17]TB WORLI'!$B$124</definedName>
    <definedName name="BI00326_">'[17]TB WORLI'!$B$125</definedName>
    <definedName name="BI00335_">'[17]TB WORLI'!$B$126</definedName>
    <definedName name="BI0260_">'[17]TB WORLI'!$B$128</definedName>
    <definedName name="BI0261_">'[17]TB WORLI'!$B$129</definedName>
    <definedName name="BI0286_">'[17]TB WORLI'!$B$130</definedName>
    <definedName name="BL00380_">'[17]TB WORLI'!$B$131</definedName>
    <definedName name="BL00386_">'[17]TB WORLI'!$B$133</definedName>
    <definedName name="BL00649_">'[17]TB WORLI'!$B$135</definedName>
    <definedName name="BL00664_">'[17]TB WORLI'!$B$137</definedName>
    <definedName name="BL00678_">'[17]TB WORLI'!$B$138</definedName>
    <definedName name="BL00702_">'[16]TB WORLI'!$B$43</definedName>
    <definedName name="BL0302_">'[17]TB WORLI'!$B$139</definedName>
    <definedName name="BL0322_">'[17]TB WORLI'!$B$140</definedName>
    <definedName name="BL0333_">'[17]TB WORLI'!$B$141</definedName>
    <definedName name="BL0342_">'[16]TB WORLI'!$B$155</definedName>
    <definedName name="BP1_An">[28]BP1!$I$7:$I$46</definedName>
    <definedName name="BP1_Clrd">[29]BP1!$E$7:$E$46</definedName>
    <definedName name="BP1_Gr" localSheetId="22">[30]BP1!$F$7:$F$46</definedName>
    <definedName name="BP1_Gr" localSheetId="28">[30]BP1!$F$7:$F$46</definedName>
    <definedName name="BP1_Gr" localSheetId="21">[30]BP1!$F$7:$F$46</definedName>
    <definedName name="BP1_Gr" localSheetId="29">[30]BP1!$F$7:$F$46</definedName>
    <definedName name="BP1_Gr">[31]BP1!$F$7:$F$46</definedName>
    <definedName name="BP1_Gross">[28]BP1!$F$47</definedName>
    <definedName name="BP1_Net">[28]BP1!$H$7:$H$46</definedName>
    <definedName name="BP1_VAT">[28]BP1!$G$47</definedName>
    <definedName name="BP10_An">[28]BP10!$I$7:$I$46</definedName>
    <definedName name="BP10_Clrd" localSheetId="22">[30]BP10!$E$7:$E$46</definedName>
    <definedName name="BP10_Clrd" localSheetId="28">[30]BP10!$E$7:$E$46</definedName>
    <definedName name="BP10_Clrd" localSheetId="21">[30]BP10!$E$7:$E$46</definedName>
    <definedName name="BP10_Clrd" localSheetId="29">[30]BP10!$E$7:$E$46</definedName>
    <definedName name="BP10_Clrd">[31]BP10!$E$7:$E$46</definedName>
    <definedName name="BP10_Gr" localSheetId="22">[30]BP10!$F$7:$F$46</definedName>
    <definedName name="BP10_Gr" localSheetId="28">[30]BP10!$F$7:$F$46</definedName>
    <definedName name="BP10_Gr" localSheetId="21">[30]BP10!$F$7:$F$46</definedName>
    <definedName name="BP10_Gr" localSheetId="29">[30]BP10!$F$7:$F$46</definedName>
    <definedName name="BP10_Gr">[31]BP10!$F$7:$F$46</definedName>
    <definedName name="BP10_Gross">[28]BP10!$F$47</definedName>
    <definedName name="BP10_Net">[28]BP10!$H$7:$H$46</definedName>
    <definedName name="BP10_VAT">[28]BP10!$G$47</definedName>
    <definedName name="BP11_An">[28]BP11!$I$7:$I$46</definedName>
    <definedName name="BP11_Clrd" localSheetId="22">[30]BP11!$E$7:$E$46</definedName>
    <definedName name="BP11_Clrd" localSheetId="28">[30]BP11!$E$7:$E$46</definedName>
    <definedName name="BP11_Clrd" localSheetId="21">[30]BP11!$E$7:$E$46</definedName>
    <definedName name="BP11_Clrd" localSheetId="29">[30]BP11!$E$7:$E$46</definedName>
    <definedName name="BP11_Clrd">[31]BP11!$E$7:$E$46</definedName>
    <definedName name="BP11_Gr" localSheetId="22">[30]BP11!$F$7:$F$46</definedName>
    <definedName name="BP11_Gr" localSheetId="28">[30]BP11!$F$7:$F$46</definedName>
    <definedName name="BP11_Gr" localSheetId="21">[30]BP11!$F$7:$F$46</definedName>
    <definedName name="BP11_Gr" localSheetId="29">[30]BP11!$F$7:$F$46</definedName>
    <definedName name="BP11_Gr">[31]BP11!$F$7:$F$46</definedName>
    <definedName name="BP11_Gross">[28]BP11!$F$47</definedName>
    <definedName name="BP11_Net">[28]BP11!$H$7:$H$46</definedName>
    <definedName name="BP11_VAT">[28]BP11!$G$47</definedName>
    <definedName name="BP12_An">[28]BP12!$I$7:$I$46</definedName>
    <definedName name="BP12_Clrd" localSheetId="22">[30]BP12!$E$7:$E$46</definedName>
    <definedName name="BP12_Clrd" localSheetId="28">[30]BP12!$E$7:$E$46</definedName>
    <definedName name="BP12_Clrd" localSheetId="21">[30]BP12!$E$7:$E$46</definedName>
    <definedName name="BP12_Clrd" localSheetId="29">[30]BP12!$E$7:$E$46</definedName>
    <definedName name="BP12_Clrd">[31]BP12!$E$7:$E$46</definedName>
    <definedName name="BP12_Gr" localSheetId="22">[30]BP12!$F$7:$F$46</definedName>
    <definedName name="BP12_Gr" localSheetId="28">[30]BP12!$F$7:$F$46</definedName>
    <definedName name="BP12_Gr" localSheetId="21">[30]BP12!$F$7:$F$46</definedName>
    <definedName name="BP12_Gr" localSheetId="29">[30]BP12!$F$7:$F$46</definedName>
    <definedName name="BP12_Gr">[31]BP12!$F$7:$F$46</definedName>
    <definedName name="BP12_Gross">[28]BP12!$F$47</definedName>
    <definedName name="BP12_Net">[28]BP12!$H$7:$H$46</definedName>
    <definedName name="BP12_VAT">[28]BP12!$G$47</definedName>
    <definedName name="BP2_An">[28]BP2!$I$7:$I$46</definedName>
    <definedName name="BP2_Clrd" localSheetId="22">[30]BP2!$E$7:$E$46</definedName>
    <definedName name="BP2_Clrd" localSheetId="28">[30]BP2!$E$7:$E$46</definedName>
    <definedName name="BP2_Clrd" localSheetId="21">[30]BP2!$E$7:$E$46</definedName>
    <definedName name="BP2_Clrd" localSheetId="29">[30]BP2!$E$7:$E$46</definedName>
    <definedName name="BP2_Clrd">[31]BP2!$E$7:$E$46</definedName>
    <definedName name="BP2_Gr" localSheetId="22">[30]BP2!$F$7:$F$46</definedName>
    <definedName name="BP2_Gr" localSheetId="28">[30]BP2!$F$7:$F$46</definedName>
    <definedName name="BP2_Gr" localSheetId="21">[30]BP2!$F$7:$F$46</definedName>
    <definedName name="BP2_Gr" localSheetId="29">[30]BP2!$F$7:$F$46</definedName>
    <definedName name="BP2_Gr">[31]BP2!$F$7:$F$46</definedName>
    <definedName name="BP2_Gross">[28]BP2!$F$47</definedName>
    <definedName name="BP2_Net">[28]BP2!$H$7:$H$46</definedName>
    <definedName name="BP2_VAT">[28]BP2!$G$47</definedName>
    <definedName name="BP3_An">[28]BP3!$I$7:$I$46</definedName>
    <definedName name="BP3_Clrd" localSheetId="22">[30]BP3!$E$7:$E$46</definedName>
    <definedName name="BP3_Clrd" localSheetId="28">[30]BP3!$E$7:$E$46</definedName>
    <definedName name="BP3_Clrd" localSheetId="21">[30]BP3!$E$7:$E$46</definedName>
    <definedName name="BP3_Clrd" localSheetId="29">[30]BP3!$E$7:$E$46</definedName>
    <definedName name="BP3_Clrd">[31]BP3!$E$7:$E$46</definedName>
    <definedName name="BP3_Gr" localSheetId="22">[30]BP3!$F$7:$F$46</definedName>
    <definedName name="BP3_Gr" localSheetId="28">[30]BP3!$F$7:$F$46</definedName>
    <definedName name="BP3_Gr" localSheetId="21">[30]BP3!$F$7:$F$46</definedName>
    <definedName name="BP3_Gr" localSheetId="29">[30]BP3!$F$7:$F$46</definedName>
    <definedName name="BP3_Gr">[31]BP3!$F$7:$F$46</definedName>
    <definedName name="BP3_Gross">[28]BP3!$F$47</definedName>
    <definedName name="BP3_Net">[28]BP3!$H$7:$H$46</definedName>
    <definedName name="BP3_VAT">[28]BP3!$G$47</definedName>
    <definedName name="BP4_An">[28]BP4!$I$7:$I$46</definedName>
    <definedName name="BP4_Clrd" localSheetId="22">[30]BP4!$E$7:$E$46</definedName>
    <definedName name="BP4_Clrd" localSheetId="28">[30]BP4!$E$7:$E$46</definedName>
    <definedName name="BP4_Clrd" localSheetId="21">[30]BP4!$E$7:$E$46</definedName>
    <definedName name="BP4_Clrd" localSheetId="29">[30]BP4!$E$7:$E$46</definedName>
    <definedName name="BP4_Clrd">[31]BP4!$E$7:$E$46</definedName>
    <definedName name="BP4_Gr" localSheetId="22">[30]BP4!$F$7:$F$46</definedName>
    <definedName name="BP4_Gr" localSheetId="28">[30]BP4!$F$7:$F$46</definedName>
    <definedName name="BP4_Gr" localSheetId="21">[30]BP4!$F$7:$F$46</definedName>
    <definedName name="BP4_Gr" localSheetId="29">[30]BP4!$F$7:$F$46</definedName>
    <definedName name="BP4_Gr">[31]BP4!$F$7:$F$46</definedName>
    <definedName name="BP4_Gross">[28]BP4!$F$47</definedName>
    <definedName name="BP4_Net">[28]BP4!$H$7:$H$46</definedName>
    <definedName name="BP4_VAT">[28]BP4!$G$47</definedName>
    <definedName name="BP5_An">[28]BP5!$I$7:$I$46</definedName>
    <definedName name="BP5_Clrd" localSheetId="22">[30]BP5!$E$7:$E$46</definedName>
    <definedName name="BP5_Clrd" localSheetId="28">[30]BP5!$E$7:$E$46</definedName>
    <definedName name="BP5_Clrd" localSheetId="21">[30]BP5!$E$7:$E$46</definedName>
    <definedName name="BP5_Clrd" localSheetId="29">[30]BP5!$E$7:$E$46</definedName>
    <definedName name="BP5_Clrd">[31]BP5!$E$7:$E$46</definedName>
    <definedName name="BP5_Gr" localSheetId="22">[30]BP5!$F$7:$F$46</definedName>
    <definedName name="BP5_Gr" localSheetId="28">[30]BP5!$F$7:$F$46</definedName>
    <definedName name="BP5_Gr" localSheetId="21">[30]BP5!$F$7:$F$46</definedName>
    <definedName name="BP5_Gr" localSheetId="29">[30]BP5!$F$7:$F$46</definedName>
    <definedName name="BP5_Gr">[31]BP5!$F$7:$F$46</definedName>
    <definedName name="BP5_Gross">[28]BP5!$F$47</definedName>
    <definedName name="BP5_Net">[28]BP5!$H$7:$H$46</definedName>
    <definedName name="BP5_VAT">[28]BP5!$G$47</definedName>
    <definedName name="BP6_An">[28]BP6!$I$7:$I$46</definedName>
    <definedName name="BP6_Clrd" localSheetId="22">[30]BP6!$E$7:$E$46</definedName>
    <definedName name="BP6_Clrd" localSheetId="28">[30]BP6!$E$7:$E$46</definedName>
    <definedName name="BP6_Clrd" localSheetId="21">[30]BP6!$E$7:$E$46</definedName>
    <definedName name="BP6_Clrd" localSheetId="29">[30]BP6!$E$7:$E$46</definedName>
    <definedName name="BP6_Clrd">[31]BP6!$E$7:$E$46</definedName>
    <definedName name="BP6_Gr" localSheetId="22">[30]BP6!$F$7:$F$46</definedName>
    <definedName name="BP6_Gr" localSheetId="28">[30]BP6!$F$7:$F$46</definedName>
    <definedName name="BP6_Gr" localSheetId="21">[30]BP6!$F$7:$F$46</definedName>
    <definedName name="BP6_Gr" localSheetId="29">[30]BP6!$F$7:$F$46</definedName>
    <definedName name="BP6_Gr">[31]BP6!$F$7:$F$46</definedName>
    <definedName name="BP6_Gross">[28]BP6!$F$47</definedName>
    <definedName name="BP6_Net">[28]BP6!$H$7:$H$46</definedName>
    <definedName name="BP6_VAT">[28]BP6!$G$47</definedName>
    <definedName name="BP7_An">[28]BP7!$I$7:$I$46</definedName>
    <definedName name="BP7_Clrd" localSheetId="22">[30]BP7!$E$7:$E$46</definedName>
    <definedName name="BP7_Clrd" localSheetId="28">[30]BP7!$E$7:$E$46</definedName>
    <definedName name="BP7_Clrd" localSheetId="21">[30]BP7!$E$7:$E$46</definedName>
    <definedName name="BP7_Clrd" localSheetId="29">[30]BP7!$E$7:$E$46</definedName>
    <definedName name="BP7_Clrd">[31]BP7!$E$7:$E$46</definedName>
    <definedName name="BP7_Gr" localSheetId="22">[30]BP7!$F$7:$F$46</definedName>
    <definedName name="BP7_Gr" localSheetId="28">[30]BP7!$F$7:$F$46</definedName>
    <definedName name="BP7_Gr" localSheetId="21">[30]BP7!$F$7:$F$46</definedName>
    <definedName name="BP7_Gr" localSheetId="29">[30]BP7!$F$7:$F$46</definedName>
    <definedName name="BP7_Gr">[31]BP7!$F$7:$F$46</definedName>
    <definedName name="BP7_Gross">[28]BP7!$F$47</definedName>
    <definedName name="BP7_Net">[28]BP7!$H$7:$H$46</definedName>
    <definedName name="BP7_VAT">[28]BP7!$G$47</definedName>
    <definedName name="BP8_An">[28]BP8!$I$7:$I$46</definedName>
    <definedName name="BP8_Clrd" localSheetId="22">[30]BP8!$E$7:$E$46</definedName>
    <definedName name="BP8_Clrd" localSheetId="28">[30]BP8!$E$7:$E$46</definedName>
    <definedName name="BP8_Clrd" localSheetId="21">[30]BP8!$E$7:$E$46</definedName>
    <definedName name="BP8_Clrd" localSheetId="29">[30]BP8!$E$7:$E$46</definedName>
    <definedName name="BP8_Clrd">[31]BP8!$E$7:$E$46</definedName>
    <definedName name="BP8_Gr" localSheetId="22">[30]BP8!$F$7:$F$46</definedName>
    <definedName name="BP8_Gr" localSheetId="28">[30]BP8!$F$7:$F$46</definedName>
    <definedName name="BP8_Gr" localSheetId="21">[30]BP8!$F$7:$F$46</definedName>
    <definedName name="BP8_Gr" localSheetId="29">[30]BP8!$F$7:$F$46</definedName>
    <definedName name="BP8_Gr">[31]BP8!$F$7:$F$46</definedName>
    <definedName name="BP8_Gross">[28]BP8!$F$47</definedName>
    <definedName name="BP8_Net">[28]BP8!$H$7:$H$46</definedName>
    <definedName name="BP8_VAT">[28]BP8!$G$47</definedName>
    <definedName name="BP9_An">[28]BP9!$I$7:$I$46</definedName>
    <definedName name="BP9_Clrd" localSheetId="22">[30]BP9!$E$7:$E$46</definedName>
    <definedName name="BP9_Clrd" localSheetId="28">[30]BP9!$E$7:$E$46</definedName>
    <definedName name="BP9_Clrd" localSheetId="21">[30]BP9!$E$7:$E$46</definedName>
    <definedName name="BP9_Clrd" localSheetId="29">[30]BP9!$E$7:$E$46</definedName>
    <definedName name="BP9_Clrd">[31]BP9!$E$7:$E$46</definedName>
    <definedName name="BP9_Gr" localSheetId="22">[30]BP9!$F$7:$F$46</definedName>
    <definedName name="BP9_Gr" localSheetId="28">[30]BP9!$F$7:$F$46</definedName>
    <definedName name="BP9_Gr" localSheetId="21">[30]BP9!$F$7:$F$46</definedName>
    <definedName name="BP9_Gr" localSheetId="29">[30]BP9!$F$7:$F$46</definedName>
    <definedName name="BP9_Gr">[31]BP9!$F$7:$F$46</definedName>
    <definedName name="BP9_Gross">[28]BP9!$F$47</definedName>
    <definedName name="BP9_Net">[28]BP9!$H$7:$H$46</definedName>
    <definedName name="BP9_VAT">[28]BP9!$G$47</definedName>
    <definedName name="BR1_An">[28]BR1!$I$7:$I$46</definedName>
    <definedName name="BR1_Clrd" localSheetId="22">[30]BR1!$E$7:$E$46</definedName>
    <definedName name="BR1_Clrd" localSheetId="28">[30]BR1!$E$7:$E$46</definedName>
    <definedName name="BR1_Clrd" localSheetId="21">[30]BR1!$E$7:$E$46</definedName>
    <definedName name="BR1_Clrd" localSheetId="29">[30]BR1!$E$7:$E$46</definedName>
    <definedName name="BR1_Clrd">[31]BR1!$E$7:$E$46</definedName>
    <definedName name="BR1_Gr" localSheetId="22">[30]BR1!$F$7:$F$46</definedName>
    <definedName name="BR1_Gr" localSheetId="28">[30]BR1!$F$7:$F$46</definedName>
    <definedName name="BR1_Gr" localSheetId="21">[30]BR1!$F$7:$F$46</definedName>
    <definedName name="BR1_Gr" localSheetId="29">[30]BR1!$F$7:$F$46</definedName>
    <definedName name="BR1_Gr">[31]BR1!$F$7:$F$46</definedName>
    <definedName name="BR1_Gross">[28]BR1!$F$47</definedName>
    <definedName name="BR1_Month">[28]BR1!$C$3</definedName>
    <definedName name="BR1_Net">[28]BR1!$H$7:$H$46</definedName>
    <definedName name="BR1_VAT">[28]BR1!$G$47</definedName>
    <definedName name="BR10_An">[28]BR10!$I$7:$I$46</definedName>
    <definedName name="BR10_Clrd" localSheetId="22">[30]BR10!$E$7:$E$46</definedName>
    <definedName name="BR10_Clrd" localSheetId="28">[30]BR10!$E$7:$E$46</definedName>
    <definedName name="BR10_Clrd" localSheetId="21">[30]BR10!$E$7:$E$46</definedName>
    <definedName name="BR10_Clrd" localSheetId="29">[30]BR10!$E$7:$E$46</definedName>
    <definedName name="BR10_Clrd">[31]BR10!$E$7:$E$46</definedName>
    <definedName name="BR10_Gr" localSheetId="22">[30]BR10!$F$7:$F$46</definedName>
    <definedName name="BR10_Gr" localSheetId="28">[30]BR10!$F$7:$F$46</definedName>
    <definedName name="BR10_Gr" localSheetId="21">[30]BR10!$F$7:$F$46</definedName>
    <definedName name="BR10_Gr" localSheetId="29">[30]BR10!$F$7:$F$46</definedName>
    <definedName name="BR10_Gr">[31]BR10!$F$7:$F$46</definedName>
    <definedName name="BR10_Gross">[28]BR10!$F$47</definedName>
    <definedName name="BR10_Month">[28]BR10!$C$3</definedName>
    <definedName name="BR10_Net">[28]BR10!$H$7:$H$46</definedName>
    <definedName name="BR10_VAT">[28]BR10!$G$47</definedName>
    <definedName name="BR11_An">[28]BR11!$I$7:$I$46</definedName>
    <definedName name="BR11_Clrd" localSheetId="22">[30]BR11!$E$7:$E$46</definedName>
    <definedName name="BR11_Clrd" localSheetId="28">[30]BR11!$E$7:$E$46</definedName>
    <definedName name="BR11_Clrd" localSheetId="21">[30]BR11!$E$7:$E$46</definedName>
    <definedName name="BR11_Clrd" localSheetId="29">[30]BR11!$E$7:$E$46</definedName>
    <definedName name="BR11_Clrd">[31]BR11!$E$7:$E$46</definedName>
    <definedName name="BR11_Gr" localSheetId="22">[30]BR11!$F$7:$F$46</definedName>
    <definedName name="BR11_Gr" localSheetId="28">[30]BR11!$F$7:$F$46</definedName>
    <definedName name="BR11_Gr" localSheetId="21">[30]BR11!$F$7:$F$46</definedName>
    <definedName name="BR11_Gr" localSheetId="29">[30]BR11!$F$7:$F$46</definedName>
    <definedName name="BR11_Gr">[31]BR11!$F$7:$F$46</definedName>
    <definedName name="BR11_Gross">[28]BR11!$F$47</definedName>
    <definedName name="BR11_Month">[28]BR11!$C$3</definedName>
    <definedName name="BR11_Net">[28]BR11!$H$7:$H$46</definedName>
    <definedName name="BR11_VAT">[28]BR11!$G$47</definedName>
    <definedName name="BR12_An">[28]BR12!$I$7:$I$46</definedName>
    <definedName name="BR12_Clrd" localSheetId="22">[30]BR12!$E$7:$E$46</definedName>
    <definedName name="BR12_Clrd" localSheetId="28">[30]BR12!$E$7:$E$46</definedName>
    <definedName name="BR12_Clrd" localSheetId="21">[30]BR12!$E$7:$E$46</definedName>
    <definedName name="BR12_Clrd" localSheetId="29">[30]BR12!$E$7:$E$46</definedName>
    <definedName name="BR12_Clrd">[31]BR12!$E$7:$E$46</definedName>
    <definedName name="BR12_Gr" localSheetId="22">[30]BR12!$F$7:$F$46</definedName>
    <definedName name="BR12_Gr" localSheetId="28">[30]BR12!$F$7:$F$46</definedName>
    <definedName name="BR12_Gr" localSheetId="21">[30]BR12!$F$7:$F$46</definedName>
    <definedName name="BR12_Gr" localSheetId="29">[30]BR12!$F$7:$F$46</definedName>
    <definedName name="BR12_Gr">[31]BR12!$F$7:$F$46</definedName>
    <definedName name="BR12_Gross">[28]BR12!$F$47</definedName>
    <definedName name="BR12_Month">[28]BR12!$C$3</definedName>
    <definedName name="BR12_Net">[28]BR12!$H$7:$H$46</definedName>
    <definedName name="BR12_VAT">[28]BR12!$G$47</definedName>
    <definedName name="BR2_An">[28]BR2!$I$7:$I$46</definedName>
    <definedName name="BR2_Clrd" localSheetId="22">[30]BR2!$E$7:$E$46</definedName>
    <definedName name="BR2_Clrd" localSheetId="28">[30]BR2!$E$7:$E$46</definedName>
    <definedName name="BR2_Clrd" localSheetId="21">[30]BR2!$E$7:$E$46</definedName>
    <definedName name="BR2_Clrd" localSheetId="29">[30]BR2!$E$7:$E$46</definedName>
    <definedName name="BR2_Clrd">[31]BR2!$E$7:$E$46</definedName>
    <definedName name="BR2_Gr" localSheetId="22">[30]BR2!$F$7:$F$46</definedName>
    <definedName name="BR2_Gr" localSheetId="28">[30]BR2!$F$7:$F$46</definedName>
    <definedName name="BR2_Gr" localSheetId="21">[30]BR2!$F$7:$F$46</definedName>
    <definedName name="BR2_Gr" localSheetId="29">[30]BR2!$F$7:$F$46</definedName>
    <definedName name="BR2_Gr">[31]BR2!$F$7:$F$46</definedName>
    <definedName name="BR2_Gross">[28]BR2!$F$47</definedName>
    <definedName name="BR2_Month">[28]BR2!$C$3</definedName>
    <definedName name="BR2_Net">[28]BR2!$H$7:$H$46</definedName>
    <definedName name="BR2_VAT">[28]BR2!$G$47</definedName>
    <definedName name="BR3_An">[28]BR3!$I$7:$I$46</definedName>
    <definedName name="BR3_Clrd" localSheetId="22">[30]BR3!$E$7:$E$46</definedName>
    <definedName name="BR3_Clrd" localSheetId="28">[30]BR3!$E$7:$E$46</definedName>
    <definedName name="BR3_Clrd" localSheetId="21">[30]BR3!$E$7:$E$46</definedName>
    <definedName name="BR3_Clrd" localSheetId="29">[30]BR3!$E$7:$E$46</definedName>
    <definedName name="BR3_Clrd">[31]BR3!$E$7:$E$46</definedName>
    <definedName name="BR3_Gr" localSheetId="22">[30]BR3!$F$7:$F$46</definedName>
    <definedName name="BR3_Gr" localSheetId="28">[30]BR3!$F$7:$F$46</definedName>
    <definedName name="BR3_Gr" localSheetId="21">[30]BR3!$F$7:$F$46</definedName>
    <definedName name="BR3_Gr" localSheetId="29">[30]BR3!$F$7:$F$46</definedName>
    <definedName name="BR3_Gr">[31]BR3!$F$7:$F$46</definedName>
    <definedName name="BR3_Gross">[28]BR3!$F$47</definedName>
    <definedName name="BR3_Month">[28]BR3!$C$3</definedName>
    <definedName name="BR3_Net">[28]BR3!$H$7:$H$46</definedName>
    <definedName name="BR3_VAT">[28]BR3!$G$47</definedName>
    <definedName name="BR4_An">[28]BR4!$I$7:$I$46</definedName>
    <definedName name="BR4_Clrd" localSheetId="22">[30]BR4!$E$7:$E$46</definedName>
    <definedName name="BR4_Clrd" localSheetId="28">[30]BR4!$E$7:$E$46</definedName>
    <definedName name="BR4_Clrd" localSheetId="21">[30]BR4!$E$7:$E$46</definedName>
    <definedName name="BR4_Clrd" localSheetId="29">[30]BR4!$E$7:$E$46</definedName>
    <definedName name="BR4_Clrd">[31]BR4!$E$7:$E$46</definedName>
    <definedName name="BR4_Gr" localSheetId="22">[30]BR4!$F$7:$F$46</definedName>
    <definedName name="BR4_Gr" localSheetId="28">[30]BR4!$F$7:$F$46</definedName>
    <definedName name="BR4_Gr" localSheetId="21">[30]BR4!$F$7:$F$46</definedName>
    <definedName name="BR4_Gr" localSheetId="29">[30]BR4!$F$7:$F$46</definedName>
    <definedName name="BR4_Gr">[31]BR4!$F$7:$F$46</definedName>
    <definedName name="BR4_Gross">[28]BR4!$F$47</definedName>
    <definedName name="BR4_Month">[28]BR4!$C$3</definedName>
    <definedName name="BR4_Net">[28]BR4!$H$7:$H$46</definedName>
    <definedName name="BR4_VAT">[28]BR4!$G$47</definedName>
    <definedName name="BR5_An">[28]BR5!$I$7:$I$46</definedName>
    <definedName name="BR5_Clrd" localSheetId="22">[30]BR5!$E$7:$E$46</definedName>
    <definedName name="BR5_Clrd" localSheetId="28">[30]BR5!$E$7:$E$46</definedName>
    <definedName name="BR5_Clrd" localSheetId="21">[30]BR5!$E$7:$E$46</definedName>
    <definedName name="BR5_Clrd" localSheetId="29">[30]BR5!$E$7:$E$46</definedName>
    <definedName name="BR5_Clrd">[31]BR5!$E$7:$E$46</definedName>
    <definedName name="BR5_Gr" localSheetId="22">[30]BR5!$F$7:$F$46</definedName>
    <definedName name="BR5_Gr" localSheetId="28">[30]BR5!$F$7:$F$46</definedName>
    <definedName name="BR5_Gr" localSheetId="21">[30]BR5!$F$7:$F$46</definedName>
    <definedName name="BR5_Gr" localSheetId="29">[30]BR5!$F$7:$F$46</definedName>
    <definedName name="BR5_Gr">[31]BR5!$F$7:$F$46</definedName>
    <definedName name="BR5_Gross">[28]BR5!$F$47</definedName>
    <definedName name="BR5_Month">[28]BR5!$C$3</definedName>
    <definedName name="BR5_Net">[28]BR5!$H$7:$H$46</definedName>
    <definedName name="BR5_VAT">[28]BR5!$G$47</definedName>
    <definedName name="BR6_An">[28]BR6!$I$7:$I$46</definedName>
    <definedName name="BR6_Clrd" localSheetId="22">[30]BR6!$E$7:$E$46</definedName>
    <definedName name="BR6_Clrd" localSheetId="28">[30]BR6!$E$7:$E$46</definedName>
    <definedName name="BR6_Clrd" localSheetId="21">[30]BR6!$E$7:$E$46</definedName>
    <definedName name="BR6_Clrd" localSheetId="29">[30]BR6!$E$7:$E$46</definedName>
    <definedName name="BR6_Clrd">[31]BR6!$E$7:$E$46</definedName>
    <definedName name="BR6_Gr" localSheetId="22">[30]BR6!$F$7:$F$46</definedName>
    <definedName name="BR6_Gr" localSheetId="28">[30]BR6!$F$7:$F$46</definedName>
    <definedName name="BR6_Gr" localSheetId="21">[30]BR6!$F$7:$F$46</definedName>
    <definedName name="BR6_Gr" localSheetId="29">[30]BR6!$F$7:$F$46</definedName>
    <definedName name="BR6_Gr">[31]BR6!$F$7:$F$46</definedName>
    <definedName name="BR6_Gross">[28]BR6!$F$47</definedName>
    <definedName name="BR6_Month">[28]BR6!$C$3</definedName>
    <definedName name="BR6_Net">[28]BR6!$H$7:$H$46</definedName>
    <definedName name="BR6_VAT">[28]BR6!$G$47</definedName>
    <definedName name="BR7_An">[28]BR7!$I$7:$I$46</definedName>
    <definedName name="BR7_Clrd" localSheetId="22">[30]BR7!$E$7:$E$46</definedName>
    <definedName name="BR7_Clrd" localSheetId="28">[30]BR7!$E$7:$E$46</definedName>
    <definedName name="BR7_Clrd" localSheetId="21">[30]BR7!$E$7:$E$46</definedName>
    <definedName name="BR7_Clrd" localSheetId="29">[30]BR7!$E$7:$E$46</definedName>
    <definedName name="BR7_Clrd">[31]BR7!$E$7:$E$46</definedName>
    <definedName name="BR7_Gr" localSheetId="22">[30]BR7!$F$7:$F$46</definedName>
    <definedName name="BR7_Gr" localSheetId="28">[30]BR7!$F$7:$F$46</definedName>
    <definedName name="BR7_Gr" localSheetId="21">[30]BR7!$F$7:$F$46</definedName>
    <definedName name="BR7_Gr" localSheetId="29">[30]BR7!$F$7:$F$46</definedName>
    <definedName name="BR7_Gr">[31]BR7!$F$7:$F$46</definedName>
    <definedName name="BR7_Gross">[28]BR7!$F$47</definedName>
    <definedName name="BR7_Month">[28]BR7!$C$3</definedName>
    <definedName name="BR7_Net">[28]BR7!$H$7:$H$46</definedName>
    <definedName name="BR7_VAT">[28]BR7!$G$47</definedName>
    <definedName name="BR8_An">[28]BR8!$I$7:$I$46</definedName>
    <definedName name="BR8_Clrd" localSheetId="22">[30]BR8!$E$7:$E$46</definedName>
    <definedName name="BR8_Clrd" localSheetId="28">[30]BR8!$E$7:$E$46</definedName>
    <definedName name="BR8_Clrd" localSheetId="21">[30]BR8!$E$7:$E$46</definedName>
    <definedName name="BR8_Clrd" localSheetId="29">[30]BR8!$E$7:$E$46</definedName>
    <definedName name="BR8_Clrd">[31]BR8!$E$7:$E$46</definedName>
    <definedName name="BR8_Gr" localSheetId="22">[30]BR8!$F$7:$F$46</definedName>
    <definedName name="BR8_Gr" localSheetId="28">[30]BR8!$F$7:$F$46</definedName>
    <definedName name="BR8_Gr" localSheetId="21">[30]BR8!$F$7:$F$46</definedName>
    <definedName name="BR8_Gr" localSheetId="29">[30]BR8!$F$7:$F$46</definedName>
    <definedName name="BR8_Gr">[31]BR8!$F$7:$F$46</definedName>
    <definedName name="BR8_Gross">[28]BR8!$F$47</definedName>
    <definedName name="BR8_Month">[28]BR8!$C$3</definedName>
    <definedName name="BR8_Net">[28]BR8!$H$7:$H$46</definedName>
    <definedName name="BR8_VAT">[28]BR8!$G$47</definedName>
    <definedName name="BR9_An">[28]BR9!$I$7:$I$46</definedName>
    <definedName name="BR9_Clrd" localSheetId="22">[30]BR9!$E$7:$E$46</definedName>
    <definedName name="BR9_Clrd" localSheetId="28">[30]BR9!$E$7:$E$46</definedName>
    <definedName name="BR9_Clrd" localSheetId="21">[30]BR9!$E$7:$E$46</definedName>
    <definedName name="BR9_Clrd" localSheetId="29">[30]BR9!$E$7:$E$46</definedName>
    <definedName name="BR9_Clrd">[31]BR9!$E$7:$E$46</definedName>
    <definedName name="BR9_Gr" localSheetId="22">[30]BR9!$F$7:$F$46</definedName>
    <definedName name="BR9_Gr" localSheetId="28">[30]BR9!$F$7:$F$46</definedName>
    <definedName name="BR9_Gr" localSheetId="21">[30]BR9!$F$7:$F$46</definedName>
    <definedName name="BR9_Gr" localSheetId="29">[30]BR9!$F$7:$F$46</definedName>
    <definedName name="BR9_Gr">[31]BR9!$F$7:$F$46</definedName>
    <definedName name="BR9_Gross">[28]BR9!$F$47</definedName>
    <definedName name="BR9_Month">[28]BR9!$C$3</definedName>
    <definedName name="BR9_Net">[28]BR9!$H$7:$H$46</definedName>
    <definedName name="BR9_VAT">[28]BR9!$G$47</definedName>
    <definedName name="BSDateLF">[23]Masters!$C$27</definedName>
    <definedName name="BSDateSF">[22]Masters!$C$28</definedName>
    <definedName name="BSSignDate">[23]Masters!$C$35</definedName>
    <definedName name="BU">'[32]Report Setup Sheet'!$B$50</definedName>
    <definedName name="BUDGET" localSheetId="11">#REF!</definedName>
    <definedName name="BUDGET" localSheetId="4">#REF!</definedName>
    <definedName name="BUDGET" localSheetId="12">#REF!</definedName>
    <definedName name="BUDGET" localSheetId="20">#REF!</definedName>
    <definedName name="BUDGET" localSheetId="17">#REF!</definedName>
    <definedName name="BUDGET" localSheetId="18">#REF!</definedName>
    <definedName name="BUDGET" localSheetId="19">#REF!</definedName>
    <definedName name="BUDGET">#REF!</definedName>
    <definedName name="CA">[23]Masters!$C$19</definedName>
    <definedName name="cash_bank_bal_99" localSheetId="11">#REF!</definedName>
    <definedName name="cash_bank_bal_99" localSheetId="4">#REF!</definedName>
    <definedName name="cash_bank_bal_99" localSheetId="12">#REF!</definedName>
    <definedName name="cash_bank_bal_99" localSheetId="20">#REF!</definedName>
    <definedName name="cash_bank_bal_99" localSheetId="17">#REF!</definedName>
    <definedName name="cash_bank_bal_99" localSheetId="18">#REF!</definedName>
    <definedName name="cash_bank_bal_99" localSheetId="19">#REF!</definedName>
    <definedName name="cash_bank_bal_99">#REF!</definedName>
    <definedName name="cbi_facility_99" localSheetId="11">#REF!</definedName>
    <definedName name="cbi_facility_99" localSheetId="4">#REF!</definedName>
    <definedName name="cbi_facility_99" localSheetId="12">#REF!</definedName>
    <definedName name="cbi_facility_99" localSheetId="20">#REF!</definedName>
    <definedName name="cbi_facility_99" localSheetId="17">#REF!</definedName>
    <definedName name="cbi_facility_99" localSheetId="18">#REF!</definedName>
    <definedName name="cbi_facility_99" localSheetId="19">#REF!</definedName>
    <definedName name="cbi_facility_99">#REF!</definedName>
    <definedName name="cbs">[1]combined!$B$2:$H$82</definedName>
    <definedName name="cc" localSheetId="11" hidden="1">{#N/A,#N/A,TRUE,"Sheet1"}</definedName>
    <definedName name="cc" localSheetId="4" hidden="1">{#N/A,#N/A,TRUE,"Sheet1"}</definedName>
    <definedName name="cc" localSheetId="12" hidden="1">{#N/A,#N/A,TRUE,"Sheet1"}</definedName>
    <definedName name="cc" localSheetId="20" hidden="1">{#N/A,#N/A,TRUE,"Sheet1"}</definedName>
    <definedName name="cc" localSheetId="17" hidden="1">{#N/A,#N/A,TRUE,"Sheet1"}</definedName>
    <definedName name="cc" localSheetId="18" hidden="1">{#N/A,#N/A,TRUE,"Sheet1"}</definedName>
    <definedName name="cc" localSheetId="19" hidden="1">{#N/A,#N/A,TRUE,"Sheet1"}</definedName>
    <definedName name="cc" hidden="1">{#N/A,#N/A,TRUE,"Sheet1"}</definedName>
    <definedName name="CCC" localSheetId="22">#REF!</definedName>
    <definedName name="CCC" localSheetId="28">#REF!</definedName>
    <definedName name="CCC" localSheetId="17">#REF!</definedName>
    <definedName name="CCC" localSheetId="18">#REF!</definedName>
    <definedName name="CCC" localSheetId="21">#REF!</definedName>
    <definedName name="CCC" localSheetId="29">#REF!</definedName>
    <definedName name="CCC">#REF!</definedName>
    <definedName name="CCSA" localSheetId="22">[33]Volumes!#REF!</definedName>
    <definedName name="CCSA" localSheetId="21">[33]Volumes!#REF!</definedName>
    <definedName name="CCSA">[33]Volumes!#REF!</definedName>
    <definedName name="challan" localSheetId="22">#REF!</definedName>
    <definedName name="challan" localSheetId="28">#REF!</definedName>
    <definedName name="challan" localSheetId="17">#REF!</definedName>
    <definedName name="challan" localSheetId="18">#REF!</definedName>
    <definedName name="challan" localSheetId="21">#REF!</definedName>
    <definedName name="challan" localSheetId="29">#REF!</definedName>
    <definedName name="challan">#REF!</definedName>
    <definedName name="ChallanDatabase" localSheetId="17">[34]Challan!$A$7:$S$58</definedName>
    <definedName name="ChallanDatabase" localSheetId="18">[34]Challan!$A$7:$S$58</definedName>
    <definedName name="ChallanDatabase">[35]Challan!$A$7:$S$15</definedName>
    <definedName name="ChallanDatabaseTotal" localSheetId="22">[19]Challan!$A$7:$U$23</definedName>
    <definedName name="ChallanDatabaseTotal" localSheetId="28">[19]Challan!$A$7:$U$23</definedName>
    <definedName name="ChallanDatabaseTotal" localSheetId="21">[19]Challan!$A$7:$U$23</definedName>
    <definedName name="ChallanDatabaseTotal" localSheetId="29">[19]Challan!$A$7:$U$23</definedName>
    <definedName name="ChallanDatabaseTotal">[20]Challan!$A$7:$U$23</definedName>
    <definedName name="ChallanSrnoList" localSheetId="22">[19]Challan!$A$7:$A$22</definedName>
    <definedName name="ChallanSrnoList" localSheetId="28">[19]Challan!$A$7:$A$22</definedName>
    <definedName name="ChallanSrnoList" localSheetId="21">[19]Challan!$A$7:$A$22</definedName>
    <definedName name="ChallanSrnoList" localSheetId="29">[19]Challan!$A$7:$A$22</definedName>
    <definedName name="ChallanSrnoList">[20]Challan!$A$7:$A$22</definedName>
    <definedName name="checkpoints" localSheetId="22">#REF!</definedName>
    <definedName name="checkpoints" localSheetId="28">#REF!</definedName>
    <definedName name="checkpoints" localSheetId="17">#REF!</definedName>
    <definedName name="checkpoints" localSheetId="18">#REF!</definedName>
    <definedName name="checkpoints" localSheetId="21">#REF!</definedName>
    <definedName name="checkpoints" localSheetId="29">#REF!</definedName>
    <definedName name="checkpoints">#REF!</definedName>
    <definedName name="CHINA_PLASTIC_in_KUSD">#REF!</definedName>
    <definedName name="cl_stk_rough_99">#REF!</definedName>
    <definedName name="CoAdd">[22]Masters!$C$4</definedName>
    <definedName name="CoAddCont">[23]Masters!$C$5</definedName>
    <definedName name="COI" localSheetId="22">#REF!</definedName>
    <definedName name="COI" localSheetId="28">#REF!</definedName>
    <definedName name="COI" localSheetId="17">#REF!</definedName>
    <definedName name="COI" localSheetId="18">#REF!</definedName>
    <definedName name="COI" localSheetId="21">#REF!</definedName>
    <definedName name="COI" localSheetId="29">#REF!</definedName>
    <definedName name="COI">#REF!</definedName>
    <definedName name="COMMTDS" localSheetId="22">#REF!</definedName>
    <definedName name="COMMTDS" localSheetId="28">#REF!</definedName>
    <definedName name="COMMTDS" localSheetId="17">#REF!</definedName>
    <definedName name="COMMTDS" localSheetId="18">#REF!</definedName>
    <definedName name="COMMTDS" localSheetId="21">#REF!</definedName>
    <definedName name="COMMTDS" localSheetId="29">#REF!</definedName>
    <definedName name="COMMTDS">#REF!</definedName>
    <definedName name="COMP" localSheetId="22">#REF!</definedName>
    <definedName name="COMP" localSheetId="28">#REF!</definedName>
    <definedName name="COMP" localSheetId="17">#REF!</definedName>
    <definedName name="COMP" localSheetId="18">#REF!</definedName>
    <definedName name="COMP" localSheetId="21">#REF!</definedName>
    <definedName name="COMP" localSheetId="29">#REF!</definedName>
    <definedName name="COMP">#REF!</definedName>
    <definedName name="CompanyName">'[28]Company information'!$D$5</definedName>
    <definedName name="Comparative_Period" localSheetId="22" hidden="1">[26]Settings!$C$58</definedName>
    <definedName name="Comparative_Period" localSheetId="28" hidden="1">[26]Settings!$C$58</definedName>
    <definedName name="Comparative_Period" localSheetId="21" hidden="1">[26]Settings!$C$58</definedName>
    <definedName name="Comparative_Period" localSheetId="29" hidden="1">[26]Settings!$C$58</definedName>
    <definedName name="Comparative_Period" hidden="1">[27]Settings!$C$58</definedName>
    <definedName name="COMPDATE">#N/A</definedName>
    <definedName name="Computer" localSheetId="22">#REF!</definedName>
    <definedName name="Computer" localSheetId="28">#REF!</definedName>
    <definedName name="Computer" localSheetId="17">#REF!</definedName>
    <definedName name="Computer" localSheetId="18">#REF!</definedName>
    <definedName name="Computer" localSheetId="21">#REF!</definedName>
    <definedName name="Computer" localSheetId="29">#REF!</definedName>
    <definedName name="Computer">#REF!</definedName>
    <definedName name="CoName">[22]Masters!$C$3</definedName>
    <definedName name="conersion" localSheetId="11">#N/A</definedName>
    <definedName name="conersion" localSheetId="22">IF('Advance to Supplier'!Loan_Amount*'Advance to Supplier'!Interest_Rate*'Advance to Supplier'!Loan_Years*'Advance to Supplier'!Loan_Start&gt;0,1,0)</definedName>
    <definedName name="conersion" localSheetId="28">IF('Bank TL &amp; Int.'!Loan_Amount*'Bank TL &amp; Int.'!Interest_Rate*'Bank TL &amp; Int.'!Loan_Years*'Bank TL &amp; Int.'!Loan_Start&gt;0,1,0)</definedName>
    <definedName name="conersion" localSheetId="4">#N/A</definedName>
    <definedName name="conersion" localSheetId="12">#N/A</definedName>
    <definedName name="conersion" localSheetId="20">#N/A</definedName>
    <definedName name="conersion" localSheetId="17">#N/A</definedName>
    <definedName name="conersion" localSheetId="18">#N/A</definedName>
    <definedName name="conersion" localSheetId="21">IF('Loans to staff'!Loan_Amount*'Loans to staff'!Interest_Rate*'Loans to staff'!Loan_Years*'Loans to staff'!Loan_Start&gt;0,1,0)</definedName>
    <definedName name="conersion" localSheetId="19">#N/A</definedName>
    <definedName name="conersion" localSheetId="29">IF('Unsecured Loan Int'!Loan_Amount*'Unsecured Loan Int'!Interest_Rate*'Unsecured Loan Int'!Loan_Years*'Unsecured Loan Int'!Loan_Start&gt;0,1,0)</definedName>
    <definedName name="conersion">#N/A</definedName>
    <definedName name="Consolidation" localSheetId="11">#REF!</definedName>
    <definedName name="Consolidation" localSheetId="4">#REF!</definedName>
    <definedName name="Consolidation" localSheetId="12">#REF!</definedName>
    <definedName name="Consolidation" localSheetId="20">#REF!</definedName>
    <definedName name="Consolidation" localSheetId="17">#REF!</definedName>
    <definedName name="Consolidation" localSheetId="18">#REF!</definedName>
    <definedName name="Consolidation" localSheetId="19">#REF!</definedName>
    <definedName name="Consolidation">#REF!</definedName>
    <definedName name="contractor" localSheetId="22">#REF!</definedName>
    <definedName name="contractor" localSheetId="28">#REF!</definedName>
    <definedName name="contractor" localSheetId="17">#REF!</definedName>
    <definedName name="contractor" localSheetId="18">#REF!</definedName>
    <definedName name="contractor" localSheetId="21">#REF!</definedName>
    <definedName name="contractor" localSheetId="29">#REF!</definedName>
    <definedName name="contractor">#REF!</definedName>
    <definedName name="contractors" localSheetId="22">#REF!</definedName>
    <definedName name="contractors" localSheetId="28">#REF!</definedName>
    <definedName name="contractors" localSheetId="17">#REF!</definedName>
    <definedName name="contractors" localSheetId="18">#REF!</definedName>
    <definedName name="contractors" localSheetId="21">#REF!</definedName>
    <definedName name="contractors" localSheetId="29">#REF!</definedName>
    <definedName name="contractors">#REF!</definedName>
    <definedName name="conv" localSheetId="11">#N/A</definedName>
    <definedName name="conv" localSheetId="22">IF('Advance to Supplier'!Loan_Amount*'Advance to Supplier'!Interest_Rate*'Advance to Supplier'!Loan_Years*'Advance to Supplier'!Loan_Start&gt;0,1,0)</definedName>
    <definedName name="conv" localSheetId="28">IF('Bank TL &amp; Int.'!Loan_Amount*'Bank TL &amp; Int.'!Interest_Rate*'Bank TL &amp; Int.'!Loan_Years*'Bank TL &amp; Int.'!Loan_Start&gt;0,1,0)</definedName>
    <definedName name="conv" localSheetId="4">#N/A</definedName>
    <definedName name="conv" localSheetId="12">#N/A</definedName>
    <definedName name="conv" localSheetId="20">#N/A</definedName>
    <definedName name="conv" localSheetId="17">#N/A</definedName>
    <definedName name="conv" localSheetId="18">#N/A</definedName>
    <definedName name="conv" localSheetId="21">IF('Loans to staff'!Loan_Amount*'Loans to staff'!Interest_Rate*'Loans to staff'!Loan_Years*'Loans to staff'!Loan_Start&gt;0,1,0)</definedName>
    <definedName name="conv" localSheetId="19">#N/A</definedName>
    <definedName name="conv" localSheetId="29">IF('Unsecured Loan Int'!Loan_Amount*'Unsecured Loan Int'!Interest_Rate*'Unsecured Loan Int'!Loan_Years*'Unsecured Loan Int'!Loan_Start&gt;0,1,0)</definedName>
    <definedName name="conv">#N/A</definedName>
    <definedName name="COST" localSheetId="11">#REF!</definedName>
    <definedName name="COST" localSheetId="4">#REF!</definedName>
    <definedName name="COST" localSheetId="12">#REF!</definedName>
    <definedName name="COST" localSheetId="20">#REF!</definedName>
    <definedName name="COST" localSheetId="17">#REF!</definedName>
    <definedName name="COST" localSheetId="18">#REF!</definedName>
    <definedName name="COST" localSheetId="19">#REF!</definedName>
    <definedName name="COST">#REF!</definedName>
    <definedName name="cost_calcn" localSheetId="20">#REF!</definedName>
    <definedName name="cost_calcn">#REF!</definedName>
    <definedName name="CoStatus">[22]Masters!$C$7</definedName>
    <definedName name="cpandl">[1]combined!$B$87:$N$153</definedName>
    <definedName name="Creditors_99">#REF!</definedName>
    <definedName name="Creditors_labour_99">#REF!</definedName>
    <definedName name="CSA" localSheetId="22">[33]Volumes!#REF!</definedName>
    <definedName name="CSA" localSheetId="28">[33]Volumes!#REF!</definedName>
    <definedName name="CSA" localSheetId="17">[33]Volumes!#REF!</definedName>
    <definedName name="CSA" localSheetId="18">[33]Volumes!#REF!</definedName>
    <definedName name="CSA" localSheetId="21">[33]Volumes!#REF!</definedName>
    <definedName name="CSA" localSheetId="29">[33]Volumes!#REF!</definedName>
    <definedName name="CSA">[33]Volumes!#REF!</definedName>
    <definedName name="CURRDATE">#N/A</definedName>
    <definedName name="CURRDAY">#N/A</definedName>
    <definedName name="Current_Period" localSheetId="22" hidden="1">[26]Settings!$C$57</definedName>
    <definedName name="Current_Period" localSheetId="28" hidden="1">[26]Settings!$C$57</definedName>
    <definedName name="Current_Period" localSheetId="21" hidden="1">[26]Settings!$C$57</definedName>
    <definedName name="Current_Period" localSheetId="29" hidden="1">[26]Settings!$C$57</definedName>
    <definedName name="Current_Period" hidden="1">[27]Settings!$C$57</definedName>
    <definedName name="CURRSHORT">#N/A</definedName>
    <definedName name="curru">[36]Calc!$H$173</definedName>
    <definedName name="d" localSheetId="22">#REF!</definedName>
    <definedName name="d" localSheetId="28">#REF!</definedName>
    <definedName name="d" localSheetId="17">#REF!</definedName>
    <definedName name="d" localSheetId="18">#REF!</definedName>
    <definedName name="d" localSheetId="21">#REF!</definedName>
    <definedName name="d" localSheetId="29">#REF!</definedName>
    <definedName name="d">#REF!</definedName>
    <definedName name="DATA1">#REF!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d"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 localSheetId="2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 localSheetId="2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 localSheetId="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 localSheetId="1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 localSheetId="2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 localSheetId="17" hidden="1">{#N/A,#N/A,TRUE,"Sheet1"}</definedName>
    <definedName name="dd" localSheetId="18" hidden="1">{#N/A,#N/A,TRUE,"Sheet1"}</definedName>
    <definedName name="dd" localSheetId="2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 localSheetId="1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 localSheetId="2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EBT" localSheetId="22">#REF!</definedName>
    <definedName name="DEBT" localSheetId="28">#REF!</definedName>
    <definedName name="DEBT" localSheetId="17">#REF!</definedName>
    <definedName name="DEBT" localSheetId="18">#REF!</definedName>
    <definedName name="DEBT" localSheetId="21">#REF!</definedName>
    <definedName name="DEBT" localSheetId="29">#REF!</definedName>
    <definedName name="DEBT">#REF!</definedName>
    <definedName name="DEBTOR" localSheetId="22">#REF!</definedName>
    <definedName name="DEBTOR" localSheetId="28">#REF!</definedName>
    <definedName name="DEBTOR" localSheetId="17">#REF!</definedName>
    <definedName name="DEBTOR" localSheetId="18">#REF!</definedName>
    <definedName name="DEBTOR" localSheetId="21">#REF!</definedName>
    <definedName name="DEBTOR" localSheetId="29">#REF!</definedName>
    <definedName name="DEBTOR">#REF!</definedName>
    <definedName name="DECO" localSheetId="22">#REF!</definedName>
    <definedName name="DECO" localSheetId="28">#REF!</definedName>
    <definedName name="DECO" localSheetId="17">#REF!</definedName>
    <definedName name="DECO" localSheetId="18">#REF!</definedName>
    <definedName name="DECO" localSheetId="21">#REF!</definedName>
    <definedName name="DECO" localSheetId="29">#REF!</definedName>
    <definedName name="DECO">#REF!</definedName>
    <definedName name="deep">'[37]TB APJ'!$B$85</definedName>
    <definedName name="Dep" localSheetId="1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 localSheetId="4"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 localSheetId="12"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 localSheetId="20"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 localSheetId="17"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 localSheetId="18"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 localSheetId="19"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 localSheetId="22">#REF!</definedName>
    <definedName name="DEP." localSheetId="28">#REF!</definedName>
    <definedName name="DEP." localSheetId="17">#REF!</definedName>
    <definedName name="DEP." localSheetId="18">#REF!</definedName>
    <definedName name="DEP." localSheetId="21">#REF!</definedName>
    <definedName name="DEP." localSheetId="29">#REF!</definedName>
    <definedName name="DEP.">#REF!</definedName>
    <definedName name="DEP_CAL2" localSheetId="22">[10]depreciation!#REF!</definedName>
    <definedName name="DEP_CAL2" localSheetId="28">[10]depreciation!#REF!</definedName>
    <definedName name="DEP_CAL2" localSheetId="17">[10]depreciation!#REF!</definedName>
    <definedName name="DEP_CAL2" localSheetId="18">[10]depreciation!#REF!</definedName>
    <definedName name="DEP_CAL2" localSheetId="21">[10]depreciation!#REF!</definedName>
    <definedName name="DEP_CAL2" localSheetId="29">[10]depreciation!#REF!</definedName>
    <definedName name="DEP_CAL2">[10]depreciation!#REF!</definedName>
    <definedName name="DEP_WORK1" localSheetId="22">#REF!</definedName>
    <definedName name="DEP_WORK1" localSheetId="28">#REF!</definedName>
    <definedName name="DEP_WORK1" localSheetId="17">#REF!</definedName>
    <definedName name="DEP_WORK1" localSheetId="18">#REF!</definedName>
    <definedName name="DEP_WORK1" localSheetId="21">#REF!</definedName>
    <definedName name="DEP_WORK1" localSheetId="29">#REF!</definedName>
    <definedName name="DEP_WORK1">#REF!</definedName>
    <definedName name="DEPRECIATION">#REF!</definedName>
    <definedName name="designation" localSheetId="22">#REF!</definedName>
    <definedName name="designation" localSheetId="28">#REF!</definedName>
    <definedName name="designation" localSheetId="17">#REF!</definedName>
    <definedName name="designation" localSheetId="18">#REF!</definedName>
    <definedName name="designation" localSheetId="21">#REF!</definedName>
    <definedName name="designation" localSheetId="29">#REF!</definedName>
    <definedName name="designation">#REF!</definedName>
    <definedName name="DeTotal" localSheetId="22">#REF!</definedName>
    <definedName name="DeTotal" localSheetId="28">#REF!</definedName>
    <definedName name="DeTotal" localSheetId="17">#REF!</definedName>
    <definedName name="DeTotal" localSheetId="18">#REF!</definedName>
    <definedName name="DeTotal" localSheetId="21">#REF!</definedName>
    <definedName name="DeTotal" localSheetId="29">#REF!</definedName>
    <definedName name="DeTotal">#REF!</definedName>
    <definedName name="dfqewrewewqq">#REF!</definedName>
    <definedName name="dfsa">#REF!</definedName>
    <definedName name="disbI">'[38]43b'!$H$28</definedName>
    <definedName name="disbII">'[38]43b'!$H$33</definedName>
    <definedName name="DK" localSheetId="22">IF([39]!Loan_Amount*[39]!Interest_Rate*[39]!Loan_Years*[39]!Loan_Start&gt;0,1,0)</definedName>
    <definedName name="DK" localSheetId="28">IF([39]!Loan_Amount*[39]!Interest_Rate*[39]!Loan_Years*[39]!Loan_Start&gt;0,1,0)</definedName>
    <definedName name="DK" localSheetId="21">IF([39]!Loan_Amount*[39]!Interest_Rate*[39]!Loan_Years*[39]!Loan_Start&gt;0,1,0)</definedName>
    <definedName name="DK" localSheetId="29">IF([39]!Loan_Amount*[39]!Interest_Rate*[39]!Loan_Years*[39]!Loan_Start&gt;0,1,0)</definedName>
    <definedName name="DK">IF([40]!Loan_Amount*[40]!Interest_Rate*[40]!Loan_Years*[40]!Loan_Start&gt;0,1,0)</definedName>
    <definedName name="DM" localSheetId="22">#REF!</definedName>
    <definedName name="DM" localSheetId="28">#REF!</definedName>
    <definedName name="DM" localSheetId="17">#REF!</definedName>
    <definedName name="DM" localSheetId="18">#REF!</definedName>
    <definedName name="DM" localSheetId="21">#REF!</definedName>
    <definedName name="DM" localSheetId="29">#REF!</definedName>
    <definedName name="DM">#REF!</definedName>
    <definedName name="ds">#REF!</definedName>
    <definedName name="DSCR" localSheetId="22">#REF!</definedName>
    <definedName name="DSCR" localSheetId="28">#REF!</definedName>
    <definedName name="DSCR" localSheetId="17">#REF!</definedName>
    <definedName name="DSCR" localSheetId="18">#REF!</definedName>
    <definedName name="DSCR" localSheetId="21">#REF!</definedName>
    <definedName name="DSCR" localSheetId="29">#REF!</definedName>
    <definedName name="DSCR">#REF!</definedName>
    <definedName name="DSCR_4" localSheetId="22">#REF!</definedName>
    <definedName name="DSCR_4" localSheetId="28">#REF!</definedName>
    <definedName name="DSCR_4" localSheetId="17">#REF!</definedName>
    <definedName name="DSCR_4" localSheetId="18">#REF!</definedName>
    <definedName name="DSCR_4" localSheetId="21">#REF!</definedName>
    <definedName name="DSCR_4" localSheetId="29">#REF!</definedName>
    <definedName name="DSCR_4">#REF!</definedName>
    <definedName name="DSCR_5" localSheetId="22">#REF!</definedName>
    <definedName name="DSCR_5" localSheetId="28">#REF!</definedName>
    <definedName name="DSCR_5" localSheetId="17">#REF!</definedName>
    <definedName name="DSCR_5" localSheetId="18">#REF!</definedName>
    <definedName name="DSCR_5" localSheetId="21">#REF!</definedName>
    <definedName name="DSCR_5" localSheetId="29">#REF!</definedName>
    <definedName name="DSCR_5">#REF!</definedName>
    <definedName name="DSCR_6" localSheetId="22">#REF!</definedName>
    <definedName name="DSCR_6" localSheetId="28">#REF!</definedName>
    <definedName name="DSCR_6" localSheetId="17">#REF!</definedName>
    <definedName name="DSCR_6" localSheetId="18">#REF!</definedName>
    <definedName name="DSCR_6" localSheetId="21">#REF!</definedName>
    <definedName name="DSCR_6" localSheetId="29">#REF!</definedName>
    <definedName name="DSCR_6">#REF!</definedName>
    <definedName name="DSCR_7" localSheetId="22">#REF!</definedName>
    <definedName name="DSCR_7" localSheetId="28">#REF!</definedName>
    <definedName name="DSCR_7" localSheetId="17">#REF!</definedName>
    <definedName name="DSCR_7" localSheetId="18">#REF!</definedName>
    <definedName name="DSCR_7" localSheetId="21">#REF!</definedName>
    <definedName name="DSCR_7" localSheetId="29">#REF!</definedName>
    <definedName name="DSCR_7">#REF!</definedName>
    <definedName name="DSCR_8" localSheetId="22">#REF!</definedName>
    <definedName name="DSCR_8" localSheetId="28">#REF!</definedName>
    <definedName name="DSCR_8" localSheetId="17">#REF!</definedName>
    <definedName name="DSCR_8" localSheetId="18">#REF!</definedName>
    <definedName name="DSCR_8" localSheetId="21">#REF!</definedName>
    <definedName name="DSCR_8" localSheetId="29">#REF!</definedName>
    <definedName name="DSCR_8">#REF!</definedName>
    <definedName name="dsfa">'[16]TB WORLI'!#REF!</definedName>
    <definedName name="E">'[2]BS 590'!$C$447:$F$452</definedName>
    <definedName name="E00250_">'[17]TB APJ'!$B$67</definedName>
    <definedName name="E00251_">'[17]TB APJ'!$B$68</definedName>
    <definedName name="E00252_">[18]tb!$B$169</definedName>
    <definedName name="E00257_">'[17]TB APJ'!$B$69</definedName>
    <definedName name="E00258_">'[17]TB APJ'!$B$70</definedName>
    <definedName name="E00265_">'[17]TB APJ'!$B$71</definedName>
    <definedName name="E00266_">'[17]TB APJ'!$B$72</definedName>
    <definedName name="E00268_">'[17]TB APJ'!#REF!</definedName>
    <definedName name="E00270_">'[17]TB APJ'!#REF!</definedName>
    <definedName name="E00271_">'[16]TB APJ'!#REF!</definedName>
    <definedName name="E00277_">'[17]TB APJ'!$B$73</definedName>
    <definedName name="E00280_">[41]trialbal!$B$145</definedName>
    <definedName name="E00284_">'[17]TB APJ'!#REF!</definedName>
    <definedName name="E00285_">'[17]TB APJ'!#REF!</definedName>
    <definedName name="E00289_">'[17]TB APJ'!$B$74</definedName>
    <definedName name="E00290_">'[17]TB APJ'!$B$75</definedName>
    <definedName name="E00292_">'[17]TB APJ'!#REF!</definedName>
    <definedName name="E00294_">'[17]TB APJ'!#REF!</definedName>
    <definedName name="E00295_">'[17]TB APJ'!#REF!</definedName>
    <definedName name="E00296_">'[17]TB APJ'!$B$76</definedName>
    <definedName name="E00297_">'[17]TB APJ'!$B$77</definedName>
    <definedName name="E00298_">'[17]TB APJ'!#REF!</definedName>
    <definedName name="E00299_">'[17]TB APJ'!$B$78</definedName>
    <definedName name="E00300_">'[17]TB APJ'!$B$79</definedName>
    <definedName name="E00301_">'[17]TB APJ'!$B$80</definedName>
    <definedName name="E00302_">'[17]TB APJ'!#REF!</definedName>
    <definedName name="E00303_">'[16]TB APJ'!#REF!</definedName>
    <definedName name="E00305_">'[17]TB APJ'!#REF!</definedName>
    <definedName name="E00308_">'[17]TB APJ'!$B$81</definedName>
    <definedName name="E00313_">'[17]TB APJ'!$B$83</definedName>
    <definedName name="E00316_">'[17]TB APJ'!$B$84</definedName>
    <definedName name="E00320_">'[17]TB APJ'!$B$85</definedName>
    <definedName name="E00321_">'[17]TB APJ'!$B$86</definedName>
    <definedName name="E00322_">'[17]TB APJ'!$B$87</definedName>
    <definedName name="E00323_">'[17]TB APJ'!$B$88</definedName>
    <definedName name="E00324_">'[17]TB APJ'!$B$89</definedName>
    <definedName name="E00325_">'[17]TB APJ'!$B$90</definedName>
    <definedName name="E00326_">'[17]TB APJ'!$B$91</definedName>
    <definedName name="E00327_">'[17]TB APJ'!$B$92</definedName>
    <definedName name="E00328_">'[17]TB APJ'!$B$93</definedName>
    <definedName name="E00329_">'[17]TB APJ'!$B$94</definedName>
    <definedName name="E00330_">'[17]TB APJ'!$B$95</definedName>
    <definedName name="E00331_">'[37]TB APJ'!$B$67</definedName>
    <definedName name="E0158_">'[17]TB APJ'!$B$96</definedName>
    <definedName name="E0159_">'[17]TB APJ'!$B$97</definedName>
    <definedName name="E0160_">'[16]TB WORLI'!#REF!</definedName>
    <definedName name="E0161_">'[17]TB APJ'!$B$98</definedName>
    <definedName name="E0162_">'[17]TB APJ'!$B$99</definedName>
    <definedName name="E0164_">'[17]TB APJ'!$B$100</definedName>
    <definedName name="E0165_">'[17]TB APJ'!$B$101</definedName>
    <definedName name="E0168_">'[17]TB APJ'!$B$102</definedName>
    <definedName name="E0169_">'[17]TB APJ'!$B$103</definedName>
    <definedName name="E0170_">'[17]TB APJ'!$B$104</definedName>
    <definedName name="E0171_">'[17]TB APJ'!#REF!</definedName>
    <definedName name="E0172_">'[17]TB APJ'!$B$367</definedName>
    <definedName name="E0173_">'[17]TB APJ'!$B$105</definedName>
    <definedName name="E0174_">'[17]TB APJ'!$B$106</definedName>
    <definedName name="E0175_">'[17]TB APJ'!#REF!</definedName>
    <definedName name="E0177_">'[17]TB APJ'!$B$107</definedName>
    <definedName name="E0178_">'[17]TB APJ'!$B$108</definedName>
    <definedName name="E0179_">'[17]TB APJ'!$B$109</definedName>
    <definedName name="E0180_">'[17]TB APJ'!$B$110</definedName>
    <definedName name="E0181_">'[17]TB APJ'!$B$111</definedName>
    <definedName name="E0183_">'[17]TB APJ'!$B$112</definedName>
    <definedName name="E0184_">'[17]TB APJ'!$B$113</definedName>
    <definedName name="E0186_">'[17]TB APJ'!$B$114</definedName>
    <definedName name="E0187_">'[17]TB APJ'!$B$115</definedName>
    <definedName name="E0188_">'[17]TB APJ'!#REF!</definedName>
    <definedName name="E0189_">'[17]TB APJ'!$B$116</definedName>
    <definedName name="E0190_">'[17]TB APJ'!$B$117</definedName>
    <definedName name="E0196_">'[17]TB APJ'!$B$118</definedName>
    <definedName name="E0197_">'[17]TB APJ'!#REF!</definedName>
    <definedName name="E0201_">'[17]TB APJ'!$B$281</definedName>
    <definedName name="e0201a">[42]TB!$B$185</definedName>
    <definedName name="E0202_">'[17]TB APJ'!$B$369</definedName>
    <definedName name="E0203_">'[17]TB APJ'!$B$119</definedName>
    <definedName name="E0204_">'[17]TB APJ'!$B$120</definedName>
    <definedName name="E0209_">'[17]TB APJ'!$B$121</definedName>
    <definedName name="E0210_">'[17]TB APJ'!$B$122</definedName>
    <definedName name="E0211_">'[17]TB APJ'!$B$123</definedName>
    <definedName name="E0212_">'[17]TB APJ'!$B$124</definedName>
    <definedName name="E0214_">'[17]TB APJ'!$B$125</definedName>
    <definedName name="E0215_">'[17]TB APJ'!$B$244</definedName>
    <definedName name="E0218_">'[17]TB APJ'!$B$126</definedName>
    <definedName name="E0219_">'[17]TB APJ'!$B$127</definedName>
    <definedName name="E0220_">'[17]TB APJ'!$B$128</definedName>
    <definedName name="E0221_">'[17]TB APJ'!$B$129</definedName>
    <definedName name="E0222_">'[17]TB APJ'!$B$130</definedName>
    <definedName name="E0225_">'[17]TB APJ'!$B$131</definedName>
    <definedName name="E0226_">'[17]TB APJ'!$B$132</definedName>
    <definedName name="E0227_">'[17]TB APJ'!$B$133</definedName>
    <definedName name="E0228_">'[17]TB APJ'!$B$134</definedName>
    <definedName name="E0230_">'[17]TB APJ'!$B$135</definedName>
    <definedName name="E0231_">'[17]TB APJ'!$B$136</definedName>
    <definedName name="E0233_">'[17]TB APJ'!$B$137</definedName>
    <definedName name="E0234_">'[17]TB APJ'!$B$138</definedName>
    <definedName name="E0235_">'[17]TB APJ'!$B$139</definedName>
    <definedName name="E0237_">'[17]TB APJ'!#REF!</definedName>
    <definedName name="E0238_">'[17]TB APJ'!$B$140</definedName>
    <definedName name="E0239_">'[17]TB APJ'!$B$141</definedName>
    <definedName name="E0240_">'[17]TB APJ'!$B$245</definedName>
    <definedName name="E0241_">'[17]TB APJ'!$B$142</definedName>
    <definedName name="E0242_">'[17]TB APJ'!$B$143</definedName>
    <definedName name="E0243_">'[17]TB APJ'!$B$144</definedName>
    <definedName name="E0245_">'[17]TB APJ'!$B$145</definedName>
    <definedName name="E0246_">'[17]TB APJ'!$B$250</definedName>
    <definedName name="E0247_">'[17]TB APJ'!$B$146</definedName>
    <definedName name="eeeeeeee" localSheetId="11" hidden="1">{#N/A,#N/A,TRUE,"Sheet1"}</definedName>
    <definedName name="eeeeeeee" localSheetId="4" hidden="1">{#N/A,#N/A,TRUE,"Sheet1"}</definedName>
    <definedName name="eeeeeeee" localSheetId="12" hidden="1">{#N/A,#N/A,TRUE,"Sheet1"}</definedName>
    <definedName name="eeeeeeee" localSheetId="20" hidden="1">{#N/A,#N/A,TRUE,"Sheet1"}</definedName>
    <definedName name="eeeeeeee" localSheetId="17" hidden="1">{#N/A,#N/A,TRUE,"Sheet1"}</definedName>
    <definedName name="eeeeeeee" localSheetId="18" hidden="1">{#N/A,#N/A,TRUE,"Sheet1"}</definedName>
    <definedName name="eeeeeeee" localSheetId="19" hidden="1">{#N/A,#N/A,TRUE,"Sheet1"}</definedName>
    <definedName name="eeeeeeee" hidden="1">{#N/A,#N/A,TRUE,"Sheet1"}</definedName>
    <definedName name="EmployeeNIRate">0.11</definedName>
    <definedName name="EmployerNIRate">0.128</definedName>
    <definedName name="End_Bal" localSheetId="22">'[43]Loan Amortization Schedule'!$I$18:$I$377</definedName>
    <definedName name="End_Bal" localSheetId="28">'[43]Loan Amortization Schedule'!$I$18:$I$377</definedName>
    <definedName name="End_Bal" localSheetId="21">'[43]Loan Amortization Schedule'!$I$18:$I$377</definedName>
    <definedName name="End_Bal" localSheetId="29">'[43]Loan Amortization Schedule'!$I$18:$I$377</definedName>
    <definedName name="End_Bal">'[44]Loan Amortization Schedule'!$I$18:$I$377</definedName>
    <definedName name="Equipment" localSheetId="22">#REF!</definedName>
    <definedName name="Equipment" localSheetId="28">#REF!</definedName>
    <definedName name="Equipment" localSheetId="17">#REF!</definedName>
    <definedName name="Equipment" localSheetId="18">#REF!</definedName>
    <definedName name="Equipment" localSheetId="21">#REF!</definedName>
    <definedName name="Equipment" localSheetId="29">#REF!</definedName>
    <definedName name="Equipment">#REF!</definedName>
    <definedName name="ewrdwe">'[37]TB APJ'!$B$196</definedName>
    <definedName name="ExcelData\Tax\Tax3cd.xls" localSheetId="11">#REF!</definedName>
    <definedName name="ExcelData\Tax\Tax3cd.xls" localSheetId="4">#REF!</definedName>
    <definedName name="ExcelData\Tax\Tax3cd.xls" localSheetId="12">#REF!</definedName>
    <definedName name="ExcelData\Tax\Tax3cd.xls" localSheetId="20">#REF!</definedName>
    <definedName name="ExcelData\Tax\Tax3cd.xls" localSheetId="17">#REF!</definedName>
    <definedName name="ExcelData\Tax\Tax3cd.xls" localSheetId="18">#REF!</definedName>
    <definedName name="ExcelData\Tax\Tax3cd.xls" localSheetId="19">#REF!</definedName>
    <definedName name="ExcelData\Tax\Tax3cd.xls">#REF!</definedName>
    <definedName name="exchange">'[45]exchange fluctuation'!$U$178:$AA$212</definedName>
    <definedName name="ExemptSection">"249A(1)"</definedName>
    <definedName name="exp_rec_99">#REF!</definedName>
    <definedName name="f" localSheetId="22">#REF!</definedName>
    <definedName name="f" localSheetId="28">#REF!</definedName>
    <definedName name="f" localSheetId="17">#REF!</definedName>
    <definedName name="f" localSheetId="18">#REF!</definedName>
    <definedName name="f" localSheetId="21">#REF!</definedName>
    <definedName name="f" localSheetId="29">#REF!</definedName>
    <definedName name="f">#REF!</definedName>
    <definedName name="FA">#REF!</definedName>
    <definedName name="fbt">'[2]BS 590'!$B$388:$G$427</definedName>
    <definedName name="fdsa">#REF!</definedName>
    <definedName name="FIRSTDATE">#N/A</definedName>
    <definedName name="FIRSTDAY">#N/A</definedName>
    <definedName name="FirstDays" localSheetId="22">#REF!</definedName>
    <definedName name="FirstDays" localSheetId="28">#REF!</definedName>
    <definedName name="FirstDays" localSheetId="21">#REF!</definedName>
    <definedName name="FirstDays" localSheetId="29">#REF!</definedName>
    <definedName name="FirstDays">#REF!</definedName>
    <definedName name="FirstDaysSub">OFFSET([28]Summary!$C$73:$C$84,0,0,'[28]VAT return'!$E$6,1)</definedName>
    <definedName name="FIRSTSHORT">#N/A</definedName>
    <definedName name="Frtout" localSheetId="22">[33]Volumes!#REF!</definedName>
    <definedName name="Frtout" localSheetId="28">[33]Volumes!#REF!</definedName>
    <definedName name="Frtout" localSheetId="17">[33]Volumes!#REF!</definedName>
    <definedName name="Frtout" localSheetId="18">[33]Volumes!#REF!</definedName>
    <definedName name="Frtout" localSheetId="21">[33]Volumes!#REF!</definedName>
    <definedName name="Frtout" localSheetId="29">[33]Volumes!#REF!</definedName>
    <definedName name="Frtout">[33]Volumes!#REF!</definedName>
    <definedName name="fsd" localSheetId="11">#REF!</definedName>
    <definedName name="fsd" localSheetId="4">#REF!</definedName>
    <definedName name="fsd" localSheetId="12">#REF!</definedName>
    <definedName name="fsd" localSheetId="20">#REF!</definedName>
    <definedName name="fsd" localSheetId="17">#REF!</definedName>
    <definedName name="fsd" localSheetId="18">#REF!</definedName>
    <definedName name="fsd" localSheetId="19">#REF!</definedName>
    <definedName name="fsd">#REF!</definedName>
    <definedName name="fsda" localSheetId="11">'[16]TB WORLI'!#REF!</definedName>
    <definedName name="fsda" localSheetId="4">'[16]TB WORLI'!#REF!</definedName>
    <definedName name="fsda" localSheetId="12">'[16]TB WORLI'!#REF!</definedName>
    <definedName name="fsda" localSheetId="17">'[16]TB WORLI'!#REF!</definedName>
    <definedName name="fsda" localSheetId="18">'[16]TB WORLI'!#REF!</definedName>
    <definedName name="fsda" localSheetId="19">'[16]TB WORLI'!#REF!</definedName>
    <definedName name="fsda">'[16]TB WORLI'!#REF!</definedName>
    <definedName name="FUNDFLOW" localSheetId="22">#REF!</definedName>
    <definedName name="FUNDFLOW" localSheetId="28">#REF!</definedName>
    <definedName name="FUNDFLOW" localSheetId="17">#REF!</definedName>
    <definedName name="FUNDFLOW" localSheetId="18">#REF!</definedName>
    <definedName name="FUNDFLOW" localSheetId="21">#REF!</definedName>
    <definedName name="FUNDFLOW" localSheetId="29">#REF!</definedName>
    <definedName name="FUNDFLOW">#REF!</definedName>
    <definedName name="FUNDFLOW_4" localSheetId="22">#REF!</definedName>
    <definedName name="FUNDFLOW_4" localSheetId="28">#REF!</definedName>
    <definedName name="FUNDFLOW_4" localSheetId="17">#REF!</definedName>
    <definedName name="FUNDFLOW_4" localSheetId="18">#REF!</definedName>
    <definedName name="FUNDFLOW_4" localSheetId="21">#REF!</definedName>
    <definedName name="FUNDFLOW_4" localSheetId="29">#REF!</definedName>
    <definedName name="FUNDFLOW_4">#REF!</definedName>
    <definedName name="FUNDFLOW_5" localSheetId="22">#REF!</definedName>
    <definedName name="FUNDFLOW_5" localSheetId="28">#REF!</definedName>
    <definedName name="FUNDFLOW_5" localSheetId="17">#REF!</definedName>
    <definedName name="FUNDFLOW_5" localSheetId="18">#REF!</definedName>
    <definedName name="FUNDFLOW_5" localSheetId="21">#REF!</definedName>
    <definedName name="FUNDFLOW_5" localSheetId="29">#REF!</definedName>
    <definedName name="FUNDFLOW_5">#REF!</definedName>
    <definedName name="FUNDFLOW_6" localSheetId="22">#REF!</definedName>
    <definedName name="FUNDFLOW_6" localSheetId="28">#REF!</definedName>
    <definedName name="FUNDFLOW_6" localSheetId="17">#REF!</definedName>
    <definedName name="FUNDFLOW_6" localSheetId="18">#REF!</definedName>
    <definedName name="FUNDFLOW_6" localSheetId="21">#REF!</definedName>
    <definedName name="FUNDFLOW_6" localSheetId="29">#REF!</definedName>
    <definedName name="FUNDFLOW_6">#REF!</definedName>
    <definedName name="FUNDFLOW_7" localSheetId="22">#REF!</definedName>
    <definedName name="FUNDFLOW_7" localSheetId="28">#REF!</definedName>
    <definedName name="FUNDFLOW_7" localSheetId="17">#REF!</definedName>
    <definedName name="FUNDFLOW_7" localSheetId="18">#REF!</definedName>
    <definedName name="FUNDFLOW_7" localSheetId="21">#REF!</definedName>
    <definedName name="FUNDFLOW_7" localSheetId="29">#REF!</definedName>
    <definedName name="FUNDFLOW_7">#REF!</definedName>
    <definedName name="FUNDFLOW_8" localSheetId="22">#REF!</definedName>
    <definedName name="FUNDFLOW_8" localSheetId="28">#REF!</definedName>
    <definedName name="FUNDFLOW_8" localSheetId="17">#REF!</definedName>
    <definedName name="FUNDFLOW_8" localSheetId="18">#REF!</definedName>
    <definedName name="FUNDFLOW_8" localSheetId="21">#REF!</definedName>
    <definedName name="FUNDFLOW_8" localSheetId="29">#REF!</definedName>
    <definedName name="FUNDFLOW_8">#REF!</definedName>
    <definedName name="furniture" localSheetId="22">#REF!</definedName>
    <definedName name="furniture" localSheetId="28">#REF!</definedName>
    <definedName name="furniture" localSheetId="17">#REF!</definedName>
    <definedName name="furniture" localSheetId="18">#REF!</definedName>
    <definedName name="furniture" localSheetId="21">#REF!</definedName>
    <definedName name="furniture" localSheetId="29">#REF!</definedName>
    <definedName name="furniture">#REF!</definedName>
    <definedName name="FY" localSheetId="22">#REF!</definedName>
    <definedName name="FY" localSheetId="28">#REF!</definedName>
    <definedName name="FY" localSheetId="17">#REF!</definedName>
    <definedName name="FY" localSheetId="18">#REF!</definedName>
    <definedName name="FY" localSheetId="21">#REF!</definedName>
    <definedName name="FY" localSheetId="29">#REF!</definedName>
    <definedName name="FY">#REF!</definedName>
    <definedName name="g" localSheetId="22">#REF!</definedName>
    <definedName name="g" localSheetId="28">#REF!</definedName>
    <definedName name="g" localSheetId="17">#REF!</definedName>
    <definedName name="g" localSheetId="18">#REF!</definedName>
    <definedName name="g" localSheetId="21">#REF!</definedName>
    <definedName name="g" localSheetId="29">#REF!</definedName>
    <definedName name="g">#REF!</definedName>
    <definedName name="gggfgg" localSheetId="22">#REF!</definedName>
    <definedName name="gggfgg" localSheetId="28">#REF!</definedName>
    <definedName name="gggfgg" localSheetId="17">#REF!</definedName>
    <definedName name="gggfgg" localSheetId="18">#REF!</definedName>
    <definedName name="gggfgg" localSheetId="21">#REF!</definedName>
    <definedName name="gggfgg" localSheetId="29">#REF!</definedName>
    <definedName name="gggfgg">#REF!</definedName>
    <definedName name="gggggg">#REF!</definedName>
    <definedName name="ghj">#REF!</definedName>
    <definedName name="GovtOthers" localSheetId="22">[19]Form!$V$18</definedName>
    <definedName name="GovtOthers" localSheetId="28">[19]Form!$V$18</definedName>
    <definedName name="GovtOthers" localSheetId="21">[19]Form!$V$18</definedName>
    <definedName name="GovtOthers" localSheetId="29">[19]Form!$V$18</definedName>
    <definedName name="GovtOthers">[20]Form!$V$18</definedName>
    <definedName name="Graph1">'[46]JOB WORK'!$G$4:$M$35</definedName>
    <definedName name="Graph2">'[46]JOB WORK'!$U$1253:$AA$1287</definedName>
    <definedName name="Graph3">'[46]JOB WORK'!$M$1355:$V$1402</definedName>
    <definedName name="Graph4">'[46]JOB WORK'!$P$1405:$AA$1432</definedName>
    <definedName name="gross_block_99" localSheetId="11">#REF!</definedName>
    <definedName name="gross_block_99" localSheetId="4">#REF!</definedName>
    <definedName name="gross_block_99" localSheetId="12">#REF!</definedName>
    <definedName name="gross_block_99" localSheetId="20">#REF!</definedName>
    <definedName name="gross_block_99" localSheetId="17">#REF!</definedName>
    <definedName name="gross_block_99" localSheetId="18">#REF!</definedName>
    <definedName name="gross_block_99" localSheetId="19">#REF!</definedName>
    <definedName name="gross_block_99">#REF!</definedName>
    <definedName name="Gross_Margin___Rs_M" localSheetId="11">#REF!</definedName>
    <definedName name="Gross_Margin___Rs_M" localSheetId="4">#REF!</definedName>
    <definedName name="Gross_Margin___Rs_M" localSheetId="12">#REF!</definedName>
    <definedName name="Gross_Margin___Rs_M" localSheetId="20">#REF!</definedName>
    <definedName name="Gross_Margin___Rs_M" localSheetId="17">#REF!</definedName>
    <definedName name="Gross_Margin___Rs_M" localSheetId="18">#REF!</definedName>
    <definedName name="Gross_Margin___Rs_M" localSheetId="19">#REF!</definedName>
    <definedName name="Gross_Margin___Rs_M">#REF!</definedName>
    <definedName name="gross_sales" localSheetId="11">#REF!</definedName>
    <definedName name="gross_sales" localSheetId="4">#REF!</definedName>
    <definedName name="gross_sales" localSheetId="12">#REF!</definedName>
    <definedName name="gross_sales" localSheetId="20">#REF!</definedName>
    <definedName name="gross_sales" localSheetId="17">#REF!</definedName>
    <definedName name="gross_sales" localSheetId="18">#REF!</definedName>
    <definedName name="gross_sales" localSheetId="19">#REF!</definedName>
    <definedName name="gross_sales">#REF!</definedName>
    <definedName name="gross_sales_98">#REF!</definedName>
    <definedName name="gross_sales_99">#REF!</definedName>
    <definedName name="Group1">[36]Calc!$H$174</definedName>
    <definedName name="Group10">[36]Calc!$H$183</definedName>
    <definedName name="Group2">[36]Calc!$H$175</definedName>
    <definedName name="Group3">[36]Calc!$H$176</definedName>
    <definedName name="Group4">[36]Calc!$H$177</definedName>
    <definedName name="Group5">[36]Calc!$H$178</definedName>
    <definedName name="Group6">[36]Calc!$H$179</definedName>
    <definedName name="Group7">[36]Calc!$H$180</definedName>
    <definedName name="Group8">[36]Calc!$H$181</definedName>
    <definedName name="Group9">[36]Calc!$H$182</definedName>
    <definedName name="GRPI" localSheetId="22">'[4]BS&amp;PLA'!#REF!</definedName>
    <definedName name="GRPI" localSheetId="28">'[4]BS&amp;PLA'!#REF!</definedName>
    <definedName name="GRPI" localSheetId="17">'[4]BS&amp;PLA'!#REF!</definedName>
    <definedName name="GRPI" localSheetId="18">'[4]BS&amp;PLA'!#REF!</definedName>
    <definedName name="GRPI" localSheetId="21">'[4]BS&amp;PLA'!#REF!</definedName>
    <definedName name="GRPI" localSheetId="29">'[4]BS&amp;PLA'!#REF!</definedName>
    <definedName name="GRPI">'[4]BS&amp;PLA'!#REF!</definedName>
    <definedName name="grrp2">'[47]BS &amp; Pr &amp; Loss'!$B$434:$D$554</definedName>
    <definedName name="h" localSheetId="22">#REF!</definedName>
    <definedName name="h" localSheetId="28">#REF!</definedName>
    <definedName name="h" localSheetId="17">#REF!</definedName>
    <definedName name="h" localSheetId="18">#REF!</definedName>
    <definedName name="h" localSheetId="21">#REF!</definedName>
    <definedName name="h" localSheetId="29">#REF!</definedName>
    <definedName name="h">#REF!</definedName>
    <definedName name="Header_Row" localSheetId="22">ROW('[43]Loan Amortization Schedule'!$17:$17)</definedName>
    <definedName name="Header_Row" localSheetId="28">ROW('[43]Loan Amortization Schedule'!$17:$17)</definedName>
    <definedName name="Header_Row" localSheetId="21">ROW('[43]Loan Amortization Schedule'!$17:$17)</definedName>
    <definedName name="Header_Row" localSheetId="29">ROW('[43]Loan Amortization Schedule'!$17:$17)</definedName>
    <definedName name="Header_Row">ROW('[44]Loan Amortization Schedule'!$17:$17)</definedName>
    <definedName name="hh" localSheetId="11" hidden="1">{#N/A,#N/A,TRUE,"Sheet1"}</definedName>
    <definedName name="hh" localSheetId="4" hidden="1">{#N/A,#N/A,TRUE,"Sheet1"}</definedName>
    <definedName name="hh" localSheetId="12" hidden="1">{#N/A,#N/A,TRUE,"Sheet1"}</definedName>
    <definedName name="hh" localSheetId="20" hidden="1">{#N/A,#N/A,TRUE,"Sheet1"}</definedName>
    <definedName name="hh" localSheetId="17" hidden="1">{#N/A,#N/A,TRUE,"Sheet1"}</definedName>
    <definedName name="hh" localSheetId="18" hidden="1">{#N/A,#N/A,TRUE,"Sheet1"}</definedName>
    <definedName name="hh" localSheetId="19" hidden="1">{#N/A,#N/A,TRUE,"Sheet1"}</definedName>
    <definedName name="hh" hidden="1">{#N/A,#N/A,TRUE,"Sheet1"}</definedName>
    <definedName name="HHC">'[48]80HHC- final'!$B$3:$I$70</definedName>
    <definedName name="hhh" localSheetId="1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hh" localSheetId="4"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hh" localSheetId="12"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hh" localSheetId="20"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hh" localSheetId="17"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hh" localSheetId="18"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hh" localSheetId="19"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hh"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igherRate">0.4</definedName>
    <definedName name="HigherRateThreshold">29900</definedName>
    <definedName name="HTML_CodePage" hidden="1">1252</definedName>
    <definedName name="HTML_OBDlg2" hidden="1">FALSE</definedName>
    <definedName name="HTML_OBDlg3" hidden="1">TRUE</definedName>
    <definedName name="HTML_OBDlg4" hidden="1">TRUE</definedName>
    <definedName name="HTML_OS" hidden="1">0</definedName>
    <definedName name="HTML_PathFile" hidden="1">"C:\infac\pricewth\Aug99\Page06e.htm"</definedName>
    <definedName name="HTML_PathTemplate" hidden="1">"C:\infac\pricewth\Aug99\Page06e.htm"</definedName>
    <definedName name="I" localSheetId="22">#REF!</definedName>
    <definedName name="I" localSheetId="28">#REF!</definedName>
    <definedName name="I" localSheetId="17">#REF!</definedName>
    <definedName name="I" localSheetId="18">#REF!</definedName>
    <definedName name="I" localSheetId="21">#REF!</definedName>
    <definedName name="I" localSheetId="29">#REF!</definedName>
    <definedName name="I">#REF!</definedName>
    <definedName name="I00292_">'[17]TB APJ'!#REF!</definedName>
    <definedName name="I00294_">'[17]TB APJ'!$B$372</definedName>
    <definedName name="I00295_">'[17]TB APJ'!$B$373</definedName>
    <definedName name="I00296_">'[17]TB APJ'!$B$374</definedName>
    <definedName name="I00297_">'[17]TB APJ'!$B$375</definedName>
    <definedName name="I00298_">'[17]TB APJ'!#REF!</definedName>
    <definedName name="I00299_">'[17]TB APJ'!#REF!</definedName>
    <definedName name="I00300_">'[17]TB APJ'!#REF!</definedName>
    <definedName name="I00301_">'[17]TB APJ'!$B$147</definedName>
    <definedName name="I00302_">'[17]TB APJ'!$B$148</definedName>
    <definedName name="I00313_">'[17]TB APJ'!#REF!</definedName>
    <definedName name="I00316_">'[17]TB APJ'!#REF!</definedName>
    <definedName name="I00318_">'[17]TB APJ'!$B$149</definedName>
    <definedName name="I00319_">'[17]TB APJ'!$B$376</definedName>
    <definedName name="I00320_">'[17]TB APJ'!#REF!</definedName>
    <definedName name="I00321_">'[17]TB APJ'!$B$150</definedName>
    <definedName name="I00322_">'[17]TB APJ'!$B$378</definedName>
    <definedName name="I00324_">'[17]TB APJ'!$B$379</definedName>
    <definedName name="I00326_">'[17]TB APJ'!#REF!</definedName>
    <definedName name="I00327_">'[17]TB APJ'!$B$151</definedName>
    <definedName name="I00328_">'[17]TB APJ'!$B$152</definedName>
    <definedName name="I00329_">'[17]TB APJ'!#REF!</definedName>
    <definedName name="I00330_">'[17]TB APJ'!$B$240</definedName>
    <definedName name="I00331_">'[17]TB APJ'!#REF!</definedName>
    <definedName name="I00332_">'[17]TB APJ'!#REF!</definedName>
    <definedName name="I00333_">'[17]TB APJ'!$B$153</definedName>
    <definedName name="I00334_">'[17]TB APJ'!#REF!</definedName>
    <definedName name="I00335_">'[17]TB APJ'!#REF!</definedName>
    <definedName name="I00336_">'[17]TB APJ'!$B$154</definedName>
    <definedName name="I00337_">'[17]TB APJ'!#REF!</definedName>
    <definedName name="I00338_">'[17]TB APJ'!$B$234</definedName>
    <definedName name="I00340_">'[17]TB APJ'!#REF!</definedName>
    <definedName name="I00341_">'[17]TB APJ'!#REF!</definedName>
    <definedName name="I00342_">'[17]TB APJ'!#REF!</definedName>
    <definedName name="I00343_">'[17]TB APJ'!$B$236</definedName>
    <definedName name="I00344_">'[17]TB APJ'!$B$237</definedName>
    <definedName name="I00345_">'[17]TB APJ'!$B$155</definedName>
    <definedName name="I00348_">'[17]TB APJ'!$B$156</definedName>
    <definedName name="I00349_">'[17]TB APJ'!$B$157</definedName>
    <definedName name="I00350_">'[17]TB APJ'!$B$158</definedName>
    <definedName name="I00351_">'[17]TB APJ'!$B$159</definedName>
    <definedName name="I00363_">'[17]TB APJ'!$B$160</definedName>
    <definedName name="I00364_">'[17]TB APJ'!$B$161</definedName>
    <definedName name="I00365_">'[16]TB APJ'!$B$109</definedName>
    <definedName name="I0250_">'[17]TB APJ'!$B$162</definedName>
    <definedName name="I0251_">'[17]TB APJ'!$B$163</definedName>
    <definedName name="I0254_">'[17]TB APJ'!$B$164</definedName>
    <definedName name="I0260_">'[17]TB APJ'!$B$165</definedName>
    <definedName name="I0261_">'[17]TB APJ'!$B$383</definedName>
    <definedName name="I0263_">'[17]TB APJ'!$B$166</definedName>
    <definedName name="I0264_">'[17]TB APJ'!$B$238</definedName>
    <definedName name="I0265_">'[17]TB APJ'!$B$167</definedName>
    <definedName name="I0267_">'[17]TB APJ'!$B$168</definedName>
    <definedName name="I0268_">'[17]TB APJ'!#REF!</definedName>
    <definedName name="I0269_">'[17]TB APJ'!$B$385</definedName>
    <definedName name="I0270_">'[17]TB APJ'!$B$169</definedName>
    <definedName name="I0274_">'[17]TB APJ'!#REF!</definedName>
    <definedName name="I0275_">'[17]TB APJ'!$B$170</definedName>
    <definedName name="I0276_">'[17]TB APJ'!$B$171</definedName>
    <definedName name="I0277_">'[17]TB APJ'!$B$386</definedName>
    <definedName name="I0281_">'[17]TB APJ'!$B$387</definedName>
    <definedName name="I0282_">'[17]TB APJ'!$B$172</definedName>
    <definedName name="I0283_">'[17]TB APJ'!$B$389</definedName>
    <definedName name="I0286_">'[17]TB APJ'!$B$173</definedName>
    <definedName name="I0287_">'[17]TB APJ'!$B$174</definedName>
    <definedName name="I0288_">'[17]TB APJ'!#REF!</definedName>
    <definedName name="I0289_">'[17]TB APJ'!$B$175</definedName>
    <definedName name="I0291_">'[17]TB APJ'!$B$176</definedName>
    <definedName name="IMMPRO" localSheetId="11">#REF!</definedName>
    <definedName name="IMMPRO" localSheetId="4">#REF!</definedName>
    <definedName name="IMMPRO" localSheetId="12">#REF!</definedName>
    <definedName name="IMMPRO" localSheetId="20">#REF!</definedName>
    <definedName name="IMMPRO" localSheetId="17">#REF!</definedName>
    <definedName name="IMMPRO" localSheetId="18">#REF!</definedName>
    <definedName name="IMMPRO" localSheetId="19">#REF!</definedName>
    <definedName name="IMMPRO">#REF!</definedName>
    <definedName name="imprim1" localSheetId="1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mprim1" localSheetId="4"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mprim1" localSheetId="12"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mprim1" localSheetId="20"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mprim1" localSheetId="17"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mprim1" localSheetId="18"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mprim1" localSheetId="19"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mprim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NCOME">#REF!</definedName>
    <definedName name="INDIA_PLASTIC_in_KUSD">#REF!</definedName>
    <definedName name="indian" localSheetId="22">#REF!</definedName>
    <definedName name="indian" localSheetId="28">#REF!</definedName>
    <definedName name="indian" localSheetId="17">#REF!</definedName>
    <definedName name="indian" localSheetId="18">#REF!</definedName>
    <definedName name="indian" localSheetId="21">#REF!</definedName>
    <definedName name="indian" localSheetId="29">#REF!</definedName>
    <definedName name="indian">#REF!</definedName>
    <definedName name="INDIAN_RAYON_AND_INDUSTRIES_LIMITED">"ANNX1"</definedName>
    <definedName name="int_99">#REF!</definedName>
    <definedName name="Interest_Rate" localSheetId="22">'[43]Loan Amortization Schedule'!$D$6</definedName>
    <definedName name="Interest_Rate" localSheetId="28">'[43]Loan Amortization Schedule'!$D$6</definedName>
    <definedName name="Interest_Rate" localSheetId="21">'[43]Loan Amortization Schedule'!$D$6</definedName>
    <definedName name="Interest_Rate" localSheetId="29">'[43]Loan Amortization Schedule'!$D$6</definedName>
    <definedName name="Interest_Rate">'[44]Loan Amortization Schedule'!$D$6</definedName>
    <definedName name="inv" localSheetId="11">#REF!</definedName>
    <definedName name="inv" localSheetId="4">#REF!</definedName>
    <definedName name="inv" localSheetId="12">#REF!</definedName>
    <definedName name="inv" localSheetId="20">#REF!</definedName>
    <definedName name="inv" localSheetId="17">#REF!</definedName>
    <definedName name="inv" localSheetId="18">#REF!</definedName>
    <definedName name="inv" localSheetId="19">#REF!</definedName>
    <definedName name="inv">#REF!</definedName>
    <definedName name="IT_DEP1" localSheetId="22">#REF!</definedName>
    <definedName name="IT_DEP1" localSheetId="28">#REF!</definedName>
    <definedName name="IT_DEP1" localSheetId="17">#REF!</definedName>
    <definedName name="IT_DEP1" localSheetId="18">#REF!</definedName>
    <definedName name="IT_DEP1" localSheetId="21">#REF!</definedName>
    <definedName name="IT_DEP1" localSheetId="29">#REF!</definedName>
    <definedName name="IT_DEP1">#REF!</definedName>
    <definedName name="IT_DEP2" localSheetId="22">#REF!</definedName>
    <definedName name="IT_DEP2" localSheetId="28">#REF!</definedName>
    <definedName name="IT_DEP2" localSheetId="17">#REF!</definedName>
    <definedName name="IT_DEP2" localSheetId="18">#REF!</definedName>
    <definedName name="IT_DEP2" localSheetId="21">#REF!</definedName>
    <definedName name="IT_DEP2" localSheetId="29">#REF!</definedName>
    <definedName name="IT_DEP2">#REF!</definedName>
    <definedName name="J" localSheetId="22">#REF!</definedName>
    <definedName name="J" localSheetId="28">#REF!</definedName>
    <definedName name="J" localSheetId="17">#REF!</definedName>
    <definedName name="J" localSheetId="18">#REF!</definedName>
    <definedName name="J" localSheetId="21">#REF!</definedName>
    <definedName name="J" localSheetId="29">#REF!</definedName>
    <definedName name="J">#REF!</definedName>
    <definedName name="JHARKHAND" localSheetId="22">#REF!</definedName>
    <definedName name="JHARKHAND" localSheetId="28">#REF!</definedName>
    <definedName name="JHARKHAND" localSheetId="17">#REF!</definedName>
    <definedName name="JHARKHAND" localSheetId="18">#REF!</definedName>
    <definedName name="JHARKHAND" localSheetId="21">#REF!</definedName>
    <definedName name="JHARKHAND" localSheetId="29">#REF!</definedName>
    <definedName name="JHARKHAND">#REF!</definedName>
    <definedName name="k" localSheetId="22">#REF!</definedName>
    <definedName name="k" localSheetId="28">#REF!</definedName>
    <definedName name="k" localSheetId="17">#REF!</definedName>
    <definedName name="k" localSheetId="18">#REF!</definedName>
    <definedName name="k" localSheetId="21">#REF!</definedName>
    <definedName name="k" localSheetId="29">#REF!</definedName>
    <definedName name="k">#REF!</definedName>
    <definedName name="KEY_INDICATORS_4" localSheetId="22">#REF!</definedName>
    <definedName name="KEY_INDICATORS_4" localSheetId="28">#REF!</definedName>
    <definedName name="KEY_INDICATORS_4" localSheetId="17">#REF!</definedName>
    <definedName name="KEY_INDICATORS_4" localSheetId="18">#REF!</definedName>
    <definedName name="KEY_INDICATORS_4" localSheetId="21">#REF!</definedName>
    <definedName name="KEY_INDICATORS_4" localSheetId="29">#REF!</definedName>
    <definedName name="KEY_INDICATORS_4">#REF!</definedName>
    <definedName name="KEY_INDICATORS_5" localSheetId="22">#REF!</definedName>
    <definedName name="KEY_INDICATORS_5" localSheetId="28">#REF!</definedName>
    <definedName name="KEY_INDICATORS_5" localSheetId="17">#REF!</definedName>
    <definedName name="KEY_INDICATORS_5" localSheetId="18">#REF!</definedName>
    <definedName name="KEY_INDICATORS_5" localSheetId="21">#REF!</definedName>
    <definedName name="KEY_INDICATORS_5" localSheetId="29">#REF!</definedName>
    <definedName name="KEY_INDICATORS_5">#REF!</definedName>
    <definedName name="KEY_INDICATORS_6" localSheetId="22">#REF!</definedName>
    <definedName name="KEY_INDICATORS_6" localSheetId="28">#REF!</definedName>
    <definedName name="KEY_INDICATORS_6" localSheetId="17">#REF!</definedName>
    <definedName name="KEY_INDICATORS_6" localSheetId="18">#REF!</definedName>
    <definedName name="KEY_INDICATORS_6" localSheetId="21">#REF!</definedName>
    <definedName name="KEY_INDICATORS_6" localSheetId="29">#REF!</definedName>
    <definedName name="KEY_INDICATORS_6">#REF!</definedName>
    <definedName name="KEY_INDICATORS_7" localSheetId="22">#REF!</definedName>
    <definedName name="KEY_INDICATORS_7" localSheetId="28">#REF!</definedName>
    <definedName name="KEY_INDICATORS_7" localSheetId="17">#REF!</definedName>
    <definedName name="KEY_INDICATORS_7" localSheetId="18">#REF!</definedName>
    <definedName name="KEY_INDICATORS_7" localSheetId="21">#REF!</definedName>
    <definedName name="KEY_INDICATORS_7" localSheetId="29">#REF!</definedName>
    <definedName name="KEY_INDICATORS_7">#REF!</definedName>
    <definedName name="KEY_INDICATORS_8" localSheetId="22">#REF!</definedName>
    <definedName name="KEY_INDICATORS_8" localSheetId="28">#REF!</definedName>
    <definedName name="KEY_INDICATORS_8" localSheetId="17">#REF!</definedName>
    <definedName name="KEY_INDICATORS_8" localSheetId="18">#REF!</definedName>
    <definedName name="KEY_INDICATORS_8" localSheetId="21">#REF!</definedName>
    <definedName name="KEY_INDICATORS_8" localSheetId="29">#REF!</definedName>
    <definedName name="KEY_INDICATORS_8">#REF!</definedName>
    <definedName name="KOREA_PLASTIC_in_KUSD">#REF!</definedName>
    <definedName name="L" localSheetId="17">[49]rough!#REF!</definedName>
    <definedName name="L" localSheetId="18">[49]rough!#REF!</definedName>
    <definedName name="L">[49]rough!#REF!</definedName>
    <definedName name="L00380_">'[17]TB APJ'!$B$177</definedName>
    <definedName name="L00385_">'[17]TB APJ'!$B$178</definedName>
    <definedName name="L00386_">'[17]TB APJ'!$B$179</definedName>
    <definedName name="L00398_">'[17]TB APJ'!$B$390</definedName>
    <definedName name="L00406_">'[17]TB APJ'!$B$317</definedName>
    <definedName name="L00409_">'[17]TB APJ'!$B$180</definedName>
    <definedName name="L00410_">'[17]TB APJ'!#REF!</definedName>
    <definedName name="L00416_">'[17]TB APJ'!#REF!</definedName>
    <definedName name="L00417_">'[17]TB APJ'!#REF!</definedName>
    <definedName name="L00418_">'[17]TB APJ'!#REF!</definedName>
    <definedName name="L00420_">'[17]TB APJ'!$B$181</definedName>
    <definedName name="L00625_">'[17]TB APJ'!#REF!</definedName>
    <definedName name="L00626_">'[17]TB APJ'!#REF!</definedName>
    <definedName name="L00627_">'[17]TB APJ'!#REF!</definedName>
    <definedName name="L00628_">'[17]TB APJ'!#REF!</definedName>
    <definedName name="L00644_">'[17]TB APJ'!#REF!</definedName>
    <definedName name="L00646_">'[17]TB APJ'!#REF!</definedName>
    <definedName name="L00647_">'[17]TB APJ'!#REF!</definedName>
    <definedName name="L00649_">'[17]TB APJ'!$B$182</definedName>
    <definedName name="L00655_">'[17]TB APJ'!$B$392</definedName>
    <definedName name="L00656_">'[17]TB APJ'!#REF!</definedName>
    <definedName name="L00657_">'[17]TB APJ'!#REF!</definedName>
    <definedName name="L00659_">'[17]TB APJ'!#REF!</definedName>
    <definedName name="L00660_">'[17]TB APJ'!#REF!</definedName>
    <definedName name="L00665_">'[17]TB APJ'!#REF!</definedName>
    <definedName name="L00666_">'[17]TB APJ'!$B$183</definedName>
    <definedName name="L00667_">'[17]TB APJ'!$B$184</definedName>
    <definedName name="L00668_">'[16]TB APJ'!#REF!</definedName>
    <definedName name="L00669_">'[17]TB APJ'!$B$185</definedName>
    <definedName name="L00670_">'[17]TB APJ'!#REF!</definedName>
    <definedName name="L00671_">'[17]TB APJ'!#REF!</definedName>
    <definedName name="L00672_">'[17]TB APJ'!#REF!</definedName>
    <definedName name="L00673_">'[17]TB APJ'!#REF!</definedName>
    <definedName name="L00675_">'[17]TB APJ'!#REF!</definedName>
    <definedName name="L00677_">'[16]TB APJ'!#REF!</definedName>
    <definedName name="L00678_">'[17]TB APJ'!#REF!</definedName>
    <definedName name="L00681_">'[16]TB APJ'!#REF!</definedName>
    <definedName name="L00683_">'[17]TB APJ'!$B$188</definedName>
    <definedName name="L00684_">'[17]TB APJ'!$B$394</definedName>
    <definedName name="L00685_">'[17]TB APJ'!#REF!</definedName>
    <definedName name="L00686_">'[17]TB APJ'!#REF!</definedName>
    <definedName name="L00687_">'[17]TB APJ'!#REF!</definedName>
    <definedName name="L00690_">'[16]TB APJ'!#REF!</definedName>
    <definedName name="L00693_">'[17]TB APJ'!$B$275</definedName>
    <definedName name="L00697_">'[17]TB APJ'!$B$189</definedName>
    <definedName name="L00699_">'[17]TB APJ'!#REF!</definedName>
    <definedName name="L00703_">'[17]TB APJ'!#REF!</definedName>
    <definedName name="L00704_">'[17]TB APJ'!#REF!</definedName>
    <definedName name="L00705_">'[16]TB APJ'!#REF!</definedName>
    <definedName name="L00706_">'[17]TB APJ'!$B$192</definedName>
    <definedName name="L00707_">'[16]TB APJ'!$B$125</definedName>
    <definedName name="L00708_">'[17]TB APJ'!$B$194</definedName>
    <definedName name="L00714_">'[17]TB APJ'!$B$195</definedName>
    <definedName name="L00718_">'[17]TB APJ'!$B$247</definedName>
    <definedName name="L00719_">'[17]TB APJ'!$B$199</definedName>
    <definedName name="L00725_">'[17]TB APJ'!$B$304</definedName>
    <definedName name="L00728_">'[17]TB APJ'!$B$401</definedName>
    <definedName name="L00730_">'[17]TB APJ'!$B$402</definedName>
    <definedName name="L00731_">'[17]TB APJ'!$B$403</definedName>
    <definedName name="L00733_">'[17]TB APJ'!$B$200</definedName>
    <definedName name="L00735_">'[17]TB APJ'!$B$201</definedName>
    <definedName name="L00736_">'[17]TB APJ'!$B$202</definedName>
    <definedName name="L00737_">'[16]TB APJ'!$B$131</definedName>
    <definedName name="L0294_">'[17]TB APJ'!#REF!</definedName>
    <definedName name="L0295_">'[17]TB APJ'!$B$204</definedName>
    <definedName name="L0296_">'[17]TB APJ'!$B$205</definedName>
    <definedName name="L0298_">'[17]TB APJ'!$B$248</definedName>
    <definedName name="L0299_">'[17]TB APJ'!$B$207</definedName>
    <definedName name="L0300_">'[17]TB APJ'!$B$208</definedName>
    <definedName name="L0302_">'[17]TB APJ'!$B$320</definedName>
    <definedName name="L0303_">'[17]TB APJ'!$B$404</definedName>
    <definedName name="L0304_">'[17]TB APJ'!$B$209</definedName>
    <definedName name="L0305_">'[17]TB APJ'!#REF!</definedName>
    <definedName name="L0307_">'[17]TB APJ'!$B$210</definedName>
    <definedName name="L0308_">'[17]TB APJ'!#REF!</definedName>
    <definedName name="L0309_">'[17]TB APJ'!$B$211</definedName>
    <definedName name="L0310_">'[17]TB APJ'!$B$321</definedName>
    <definedName name="L0311_">'[17]TB APJ'!#REF!</definedName>
    <definedName name="L0316_">'[17]TB APJ'!$B$212</definedName>
    <definedName name="L0317_">'[17]TB APJ'!$B$213</definedName>
    <definedName name="L0318_">'[17]TB APJ'!#REF!</definedName>
    <definedName name="L0319_">'[17]TB APJ'!$B$214</definedName>
    <definedName name="L0322_">'[17]TB APJ'!$B$408</definedName>
    <definedName name="L0323_">'[17]TB APJ'!$B$215</definedName>
    <definedName name="L0326_">'[17]TB APJ'!$B$216</definedName>
    <definedName name="L0328_">'[17]TB APJ'!$B$217</definedName>
    <definedName name="L0330_">'[17]TB APJ'!#REF!</definedName>
    <definedName name="L0333_">'[17]TB APJ'!$B$218</definedName>
    <definedName name="L0337_">'[17]TB APJ'!$B$219</definedName>
    <definedName name="L0341_">'[17]TB APJ'!$B$220</definedName>
    <definedName name="L0342_">'[17]TB APJ'!$B$221</definedName>
    <definedName name="L0343_">'[17]TB APJ'!$B$222</definedName>
    <definedName name="L0344_">'[17]TB APJ'!#REF!</definedName>
    <definedName name="L0346_">'[17]TB APJ'!$B$414</definedName>
    <definedName name="L0347_">'[17]TB APJ'!$B$238</definedName>
    <definedName name="L0348_">'[16]TB APJ'!#REF!</definedName>
    <definedName name="L0349_">'[17]TB APJ'!$B$223</definedName>
    <definedName name="L0350_">'[17]TB APJ'!$B$415</definedName>
    <definedName name="L0351_">'[16]TB APJ'!#REF!</definedName>
    <definedName name="L0355_">'[17]TB APJ'!$B$225</definedName>
    <definedName name="L0356_">'[16]TB APJ'!#REF!</definedName>
    <definedName name="Labour" localSheetId="11">#REF!</definedName>
    <definedName name="Labour" localSheetId="4">#REF!</definedName>
    <definedName name="Labour" localSheetId="12">#REF!</definedName>
    <definedName name="Labour" localSheetId="20">#REF!</definedName>
    <definedName name="Labour" localSheetId="17">#REF!</definedName>
    <definedName name="Labour" localSheetId="18">#REF!</definedName>
    <definedName name="Labour" localSheetId="19">#REF!</definedName>
    <definedName name="Labour">#REF!</definedName>
    <definedName name="Labour_99" localSheetId="11">#REF!</definedName>
    <definedName name="Labour_99" localSheetId="4">#REF!</definedName>
    <definedName name="Labour_99" localSheetId="12">#REF!</definedName>
    <definedName name="Labour_99" localSheetId="20">#REF!</definedName>
    <definedName name="Labour_99" localSheetId="17">#REF!</definedName>
    <definedName name="Labour_99" localSheetId="18">#REF!</definedName>
    <definedName name="Labour_99" localSheetId="19">#REF!</definedName>
    <definedName name="Labour_99">#REF!</definedName>
    <definedName name="Labourch" localSheetId="22">#REF!</definedName>
    <definedName name="Labourch" localSheetId="28">#REF!</definedName>
    <definedName name="Labourch" localSheetId="17">#REF!</definedName>
    <definedName name="Labourch" localSheetId="18">#REF!</definedName>
    <definedName name="Labourch" localSheetId="21">#REF!</definedName>
    <definedName name="Labourch" localSheetId="29">#REF!</definedName>
    <definedName name="Labourch">#REF!</definedName>
    <definedName name="LAC">#REF!</definedName>
    <definedName name="Last_Row">#N/A</definedName>
    <definedName name="LastDays" localSheetId="22">#REF!</definedName>
    <definedName name="LastDays" localSheetId="28">#REF!</definedName>
    <definedName name="LastDays" localSheetId="21">#REF!</definedName>
    <definedName name="LastDays" localSheetId="29">#REF!</definedName>
    <definedName name="LastDays">#REF!</definedName>
    <definedName name="LIAB_4" localSheetId="22">#REF!</definedName>
    <definedName name="LIAB_4" localSheetId="28">#REF!</definedName>
    <definedName name="LIAB_4" localSheetId="17">#REF!</definedName>
    <definedName name="LIAB_4" localSheetId="18">#REF!</definedName>
    <definedName name="LIAB_4" localSheetId="21">#REF!</definedName>
    <definedName name="LIAB_4" localSheetId="29">#REF!</definedName>
    <definedName name="LIAB_4">#REF!</definedName>
    <definedName name="LIAB_5" localSheetId="22">#REF!</definedName>
    <definedName name="LIAB_5" localSheetId="28">#REF!</definedName>
    <definedName name="LIAB_5" localSheetId="17">#REF!</definedName>
    <definedName name="LIAB_5" localSheetId="18">#REF!</definedName>
    <definedName name="LIAB_5" localSheetId="21">#REF!</definedName>
    <definedName name="LIAB_5" localSheetId="29">#REF!</definedName>
    <definedName name="LIAB_5">#REF!</definedName>
    <definedName name="LIAB_6" localSheetId="22">#REF!</definedName>
    <definedName name="LIAB_6" localSheetId="28">#REF!</definedName>
    <definedName name="LIAB_6" localSheetId="17">#REF!</definedName>
    <definedName name="LIAB_6" localSheetId="18">#REF!</definedName>
    <definedName name="LIAB_6" localSheetId="21">#REF!</definedName>
    <definedName name="LIAB_6" localSheetId="29">#REF!</definedName>
    <definedName name="LIAB_6">#REF!</definedName>
    <definedName name="LIAB_7" localSheetId="22">#REF!</definedName>
    <definedName name="LIAB_7" localSheetId="28">#REF!</definedName>
    <definedName name="LIAB_7" localSheetId="17">#REF!</definedName>
    <definedName name="LIAB_7" localSheetId="18">#REF!</definedName>
    <definedName name="LIAB_7" localSheetId="21">#REF!</definedName>
    <definedName name="LIAB_7" localSheetId="29">#REF!</definedName>
    <definedName name="LIAB_7">#REF!</definedName>
    <definedName name="LIAB_8" localSheetId="22">#REF!</definedName>
    <definedName name="LIAB_8" localSheetId="28">#REF!</definedName>
    <definedName name="LIAB_8" localSheetId="17">#REF!</definedName>
    <definedName name="LIAB_8" localSheetId="18">#REF!</definedName>
    <definedName name="LIAB_8" localSheetId="21">#REF!</definedName>
    <definedName name="LIAB_8" localSheetId="29">#REF!</definedName>
    <definedName name="LIAB_8">#REF!</definedName>
    <definedName name="Loan_Amount" localSheetId="22">'[43]Loan Amortization Schedule'!$D$5</definedName>
    <definedName name="Loan_Amount" localSheetId="28">'[43]Loan Amortization Schedule'!$D$5</definedName>
    <definedName name="Loan_Amount" localSheetId="21">'[43]Loan Amortization Schedule'!$D$5</definedName>
    <definedName name="Loan_Amount" localSheetId="29">'[43]Loan Amortization Schedule'!$D$5</definedName>
    <definedName name="Loan_Amount">'[44]Loan Amortization Schedule'!$D$5</definedName>
    <definedName name="Loan_Start" localSheetId="22">'[43]Loan Amortization Schedule'!$D$9</definedName>
    <definedName name="Loan_Start" localSheetId="28">'[43]Loan Amortization Schedule'!$D$9</definedName>
    <definedName name="Loan_Start" localSheetId="21">'[43]Loan Amortization Schedule'!$D$9</definedName>
    <definedName name="Loan_Start" localSheetId="29">'[43]Loan Amortization Schedule'!$D$9</definedName>
    <definedName name="Loan_Start">'[44]Loan Amortization Schedule'!$D$9</definedName>
    <definedName name="Loan_Years" localSheetId="22">'[43]Loan Amortization Schedule'!$D$7</definedName>
    <definedName name="Loan_Years" localSheetId="28">'[43]Loan Amortization Schedule'!$D$7</definedName>
    <definedName name="Loan_Years" localSheetId="21">'[43]Loan Amortization Schedule'!$D$7</definedName>
    <definedName name="Loan_Years" localSheetId="29">'[43]Loan Amortization Schedule'!$D$7</definedName>
    <definedName name="Loan_Years">'[44]Loan Amortization Schedule'!$D$7</definedName>
    <definedName name="LowerRate">0.1</definedName>
    <definedName name="ls">#REF!</definedName>
    <definedName name="M" localSheetId="22">#REF!</definedName>
    <definedName name="M" localSheetId="28">#REF!</definedName>
    <definedName name="M" localSheetId="17">#REF!</definedName>
    <definedName name="M" localSheetId="18">#REF!</definedName>
    <definedName name="M" localSheetId="21">#REF!</definedName>
    <definedName name="M" localSheetId="29">#REF!</definedName>
    <definedName name="M">#REF!</definedName>
    <definedName name="ma" localSheetId="22">#REF!</definedName>
    <definedName name="ma" localSheetId="28">#REF!</definedName>
    <definedName name="ma" localSheetId="21">#REF!</definedName>
    <definedName name="ma" localSheetId="29">#REF!</definedName>
    <definedName name="ma">#REF!</definedName>
    <definedName name="MDEVISES" localSheetId="20">#REF!,#REF!,#REF!</definedName>
    <definedName name="MDEVISES">#REF!,#REF!,#REF!</definedName>
    <definedName name="merged2" localSheetId="22">#REF!</definedName>
    <definedName name="merged2" localSheetId="28">#REF!</definedName>
    <definedName name="merged2" localSheetId="21">#REF!</definedName>
    <definedName name="merged2" localSheetId="29">#REF!</definedName>
    <definedName name="merged2">#REF!</definedName>
    <definedName name="MethodAcc">[22]Masters!$C$46</definedName>
    <definedName name="MFRF" localSheetId="11">#REF!,#REF!,#REF!,#REF!,#REF!</definedName>
    <definedName name="MFRF" localSheetId="4">#REF!,#REF!,#REF!,#REF!,#REF!</definedName>
    <definedName name="MFRF" localSheetId="12">#REF!,#REF!,#REF!,#REF!,#REF!</definedName>
    <definedName name="MFRF" localSheetId="20">#REF!,#REF!,#REF!,#REF!,#REF!</definedName>
    <definedName name="MFRF" localSheetId="17">#REF!,#REF!,#REF!,#REF!,#REF!</definedName>
    <definedName name="MFRF" localSheetId="18">#REF!,#REF!,#REF!,#REF!,#REF!</definedName>
    <definedName name="MFRF" localSheetId="19">#REF!,#REF!,#REF!,#REF!,#REF!</definedName>
    <definedName name="MFRF">#REF!,#REF!,#REF!,#REF!,#REF!</definedName>
    <definedName name="mm" localSheetId="11" hidden="1">{#N/A,#N/A,TRUE,"Sheet1"}</definedName>
    <definedName name="mm" localSheetId="4" hidden="1">{#N/A,#N/A,TRUE,"Sheet1"}</definedName>
    <definedName name="mm" localSheetId="12" hidden="1">{#N/A,#N/A,TRUE,"Sheet1"}</definedName>
    <definedName name="mm" localSheetId="20" hidden="1">{#N/A,#N/A,TRUE,"Sheet1"}</definedName>
    <definedName name="mm" localSheetId="17" hidden="1">{#N/A,#N/A,TRUE,"Sheet1"}</definedName>
    <definedName name="mm" localSheetId="18" hidden="1">{#N/A,#N/A,TRUE,"Sheet1"}</definedName>
    <definedName name="mm" localSheetId="19" hidden="1">{#N/A,#N/A,TRUE,"Sheet1"}</definedName>
    <definedName name="mm" hidden="1">{#N/A,#N/A,TRUE,"Sheet1"}</definedName>
    <definedName name="MONTHLY_MG">#REF!</definedName>
    <definedName name="MonthsList" localSheetId="22">#REF!</definedName>
    <definedName name="MonthsList" localSheetId="28">#REF!</definedName>
    <definedName name="MonthsList" localSheetId="21">#REF!</definedName>
    <definedName name="MonthsList" localSheetId="29">#REF!</definedName>
    <definedName name="MonthsList">#REF!</definedName>
    <definedName name="MotorVehicles">[50]Useful_Life!$C$28:$C$34</definedName>
    <definedName name="MStVal">[22]Masters!$C$47</definedName>
    <definedName name="multivision" localSheetId="11">#REF!</definedName>
    <definedName name="multivision" localSheetId="4">#REF!</definedName>
    <definedName name="multivision" localSheetId="12">#REF!</definedName>
    <definedName name="multivision" localSheetId="20">#REF!</definedName>
    <definedName name="multivision" localSheetId="17">#REF!</definedName>
    <definedName name="multivision" localSheetId="18">#REF!</definedName>
    <definedName name="multivision" localSheetId="19">#REF!</definedName>
    <definedName name="multivision">#REF!</definedName>
    <definedName name="mv" localSheetId="22">#REF!</definedName>
    <definedName name="mv" localSheetId="28">#REF!</definedName>
    <definedName name="mv" localSheetId="17">#REF!</definedName>
    <definedName name="mv" localSheetId="18">#REF!</definedName>
    <definedName name="mv" localSheetId="21">#REF!</definedName>
    <definedName name="mv" localSheetId="29">#REF!</definedName>
    <definedName name="mv">#REF!</definedName>
    <definedName name="Name" localSheetId="22">#REF!</definedName>
    <definedName name="Name" localSheetId="28">#REF!</definedName>
    <definedName name="Name" localSheetId="17">#REF!</definedName>
    <definedName name="Name" localSheetId="18">#REF!</definedName>
    <definedName name="Name" localSheetId="21">#REF!</definedName>
    <definedName name="Name" localSheetId="29">#REF!</definedName>
    <definedName name="Name">#REF!</definedName>
    <definedName name="naresh" hidden="1">'[51]269T(final)'!#REF!</definedName>
    <definedName name="NatureBusiness">[22]Masters!$C$45</definedName>
    <definedName name="nhfjgf">#N/A</definedName>
    <definedName name="Note"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localSheetId="2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localSheetId="2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localSheetId="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localSheetId="1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localSheetId="2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localSheetId="1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localSheetId="1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localSheetId="2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localSheetId="1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localSheetId="2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2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2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1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2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1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1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2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1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2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S_ON_ACCT">[52]tb!#REF!</definedName>
    <definedName name="Number_of_Payments" localSheetId="11">MATCH(0.01,End_Bal,-1)+1</definedName>
    <definedName name="Number_of_Payments" localSheetId="22">MATCH(0.01,'Advance to Supplier'!End_Bal,-1)+1</definedName>
    <definedName name="Number_of_Payments" localSheetId="28">MATCH(0.01,'Bank TL &amp; Int.'!End_Bal,-1)+1</definedName>
    <definedName name="Number_of_Payments" localSheetId="4">MATCH(0.01,End_Bal,-1)+1</definedName>
    <definedName name="Number_of_Payments" localSheetId="12">MATCH(0.01,End_Bal,-1)+1</definedName>
    <definedName name="Number_of_Payments" localSheetId="20">MATCH(0.01,End_Bal,-1)+1</definedName>
    <definedName name="Number_of_Payments" localSheetId="17">MATCH(0.01,End_Bal,-1)+1</definedName>
    <definedName name="Number_of_Payments" localSheetId="18">MATCH(0.01,End_Bal,-1)+1</definedName>
    <definedName name="Number_of_Payments" localSheetId="21">MATCH(0.01,'Loans to staff'!End_Bal,-1)+1</definedName>
    <definedName name="Number_of_Payments" localSheetId="19">MATCH(0.01,End_Bal,-1)+1</definedName>
    <definedName name="Number_of_Payments" localSheetId="29">MATCH(0.01,'Unsecured Loan Int'!End_Bal,-1)+1</definedName>
    <definedName name="Number_of_Payments">MATCH(0.01,End_Bal,-1)+1</definedName>
    <definedName name="O" localSheetId="22">[53]rough!#REF!</definedName>
    <definedName name="O" localSheetId="28">[53]rough!#REF!</definedName>
    <definedName name="O" localSheetId="20">[53]rough!#REF!</definedName>
    <definedName name="O" localSheetId="17">[53]rough!#REF!</definedName>
    <definedName name="O" localSheetId="18">[53]rough!#REF!</definedName>
    <definedName name="O" localSheetId="21">[53]rough!#REF!</definedName>
    <definedName name="O" localSheetId="29">[53]rough!#REF!</definedName>
    <definedName name="O">[53]rough!#REF!</definedName>
    <definedName name="oh" localSheetId="22">#REF!</definedName>
    <definedName name="oh" localSheetId="28">#REF!</definedName>
    <definedName name="oh" localSheetId="17">#REF!</definedName>
    <definedName name="oh" localSheetId="18">#REF!</definedName>
    <definedName name="oh" localSheetId="21">#REF!</definedName>
    <definedName name="oh" localSheetId="29">#REF!</definedName>
    <definedName name="oh">#REF!</definedName>
    <definedName name="op_stk_rough_99">#REF!</definedName>
    <definedName name="operations">#REF!</definedName>
    <definedName name="os" localSheetId="22">'[19]Annexure-I'!$W$11:$W$105</definedName>
    <definedName name="os" localSheetId="28">'[19]Annexure-I'!$W$11:$W$105</definedName>
    <definedName name="os" localSheetId="21">'[19]Annexure-I'!$W$11:$W$105</definedName>
    <definedName name="os" localSheetId="29">'[19]Annexure-I'!$W$11:$W$105</definedName>
    <definedName name="os">'[20]Annexure-I'!$W$11:$W$105</definedName>
    <definedName name="other" localSheetId="22">#REF!</definedName>
    <definedName name="other" localSheetId="28">#REF!</definedName>
    <definedName name="other" localSheetId="17">#REF!</definedName>
    <definedName name="other" localSheetId="18">#REF!</definedName>
    <definedName name="other" localSheetId="21">#REF!</definedName>
    <definedName name="other" localSheetId="29">#REF!</definedName>
    <definedName name="other">#REF!</definedName>
    <definedName name="other_dep_99">#REF!</definedName>
    <definedName name="Other_exp_99">#REF!</definedName>
    <definedName name="other_labour">#REF!</definedName>
    <definedName name="othercon" localSheetId="22">#REF!</definedName>
    <definedName name="othercon" localSheetId="28">#REF!</definedName>
    <definedName name="othercon" localSheetId="17">#REF!</definedName>
    <definedName name="othercon" localSheetId="18">#REF!</definedName>
    <definedName name="othercon" localSheetId="21">#REF!</definedName>
    <definedName name="othercon" localSheetId="29">#REF!</definedName>
    <definedName name="othercon">#REF!</definedName>
    <definedName name="Others" localSheetId="17">[33]Volumes!#REF!</definedName>
    <definedName name="Others" localSheetId="18">[33]Volumes!#REF!</definedName>
    <definedName name="Others">[33]Volumes!#REF!</definedName>
    <definedName name="otr_labour" localSheetId="11">#REF!</definedName>
    <definedName name="otr_labour" localSheetId="4">#REF!</definedName>
    <definedName name="otr_labour" localSheetId="12">#REF!</definedName>
    <definedName name="otr_labour" localSheetId="20">#REF!</definedName>
    <definedName name="otr_labour" localSheetId="17">#REF!</definedName>
    <definedName name="otr_labour" localSheetId="18">#REF!</definedName>
    <definedName name="otr_labour" localSheetId="19">#REF!</definedName>
    <definedName name="otr_labour">#REF!</definedName>
    <definedName name="otr_labour_99" localSheetId="11">#REF!</definedName>
    <definedName name="otr_labour_99" localSheetId="4">#REF!</definedName>
    <definedName name="otr_labour_99" localSheetId="12">#REF!</definedName>
    <definedName name="otr_labour_99" localSheetId="20">#REF!</definedName>
    <definedName name="otr_labour_99" localSheetId="17">#REF!</definedName>
    <definedName name="otr_labour_99" localSheetId="18">#REF!</definedName>
    <definedName name="otr_labour_99" localSheetId="19">#REF!</definedName>
    <definedName name="otr_labour_99">#REF!</definedName>
    <definedName name="p" localSheetId="28">[54]rough!#REF!</definedName>
    <definedName name="p" localSheetId="17">[54]rough!#REF!</definedName>
    <definedName name="p" localSheetId="18">[54]rough!#REF!</definedName>
    <definedName name="p" localSheetId="29">[54]rough!#REF!</definedName>
    <definedName name="p">[54]rough!#REF!</definedName>
    <definedName name="P___L___Statement" localSheetId="11">#REF!</definedName>
    <definedName name="P___L___Statement" localSheetId="4">#REF!</definedName>
    <definedName name="P___L___Statement" localSheetId="12">#REF!</definedName>
    <definedName name="P___L___Statement" localSheetId="20">#REF!</definedName>
    <definedName name="P___L___Statement" localSheetId="17">#REF!</definedName>
    <definedName name="P___L___Statement" localSheetId="18">#REF!</definedName>
    <definedName name="P___L___Statement" localSheetId="19">#REF!</definedName>
    <definedName name="P___L___Statement">#REF!</definedName>
    <definedName name="P_L" localSheetId="28">'[10]final  Bsheet &amp; P&amp; L '!#REF!</definedName>
    <definedName name="P_L" localSheetId="17">'[10]final  Bsheet &amp; P&amp; L '!#REF!</definedName>
    <definedName name="P_L" localSheetId="18">'[10]final  Bsheet &amp; P&amp; L '!#REF!</definedName>
    <definedName name="P_L" localSheetId="29">'[10]final  Bsheet &amp; P&amp; L '!#REF!</definedName>
    <definedName name="P_L">'[10]final  Bsheet &amp; P&amp; L '!#REF!</definedName>
    <definedName name="PAN">[22]Masters!$C$11</definedName>
    <definedName name="PartDesignation">[22]Masters!$C$16</definedName>
    <definedName name="PARTICULARS" localSheetId="11">#REF!</definedName>
    <definedName name="PARTICULARS" localSheetId="4">#REF!</definedName>
    <definedName name="PARTICULARS" localSheetId="12">#REF!</definedName>
    <definedName name="PARTICULARS" localSheetId="20">#REF!</definedName>
    <definedName name="PARTICULARS" localSheetId="17">#REF!</definedName>
    <definedName name="PARTICULARS" localSheetId="18">#REF!</definedName>
    <definedName name="PARTICULARS" localSheetId="19">#REF!</definedName>
    <definedName name="PARTICULARS">#REF!</definedName>
    <definedName name="Partners_capital_99" localSheetId="11">#REF!</definedName>
    <definedName name="Partners_capital_99" localSheetId="4">#REF!</definedName>
    <definedName name="Partners_capital_99" localSheetId="12">#REF!</definedName>
    <definedName name="Partners_capital_99" localSheetId="20">#REF!</definedName>
    <definedName name="Partners_capital_99" localSheetId="17">#REF!</definedName>
    <definedName name="Partners_capital_99" localSheetId="18">#REF!</definedName>
    <definedName name="Partners_capital_99" localSheetId="19">#REF!</definedName>
    <definedName name="Partners_capital_99">#REF!</definedName>
    <definedName name="PaymentNL" localSheetId="22">#REF!</definedName>
    <definedName name="PaymentNL" localSheetId="28">#REF!</definedName>
    <definedName name="PaymentNL" localSheetId="21">#REF!</definedName>
    <definedName name="PaymentNL" localSheetId="29">#REF!</definedName>
    <definedName name="PaymentNL">#REF!</definedName>
    <definedName name="PaymentsNL" localSheetId="22">#REF!</definedName>
    <definedName name="PaymentsNL" localSheetId="28">#REF!</definedName>
    <definedName name="PaymentsNL" localSheetId="21">#REF!</definedName>
    <definedName name="PaymentsNL" localSheetId="29">#REF!</definedName>
    <definedName name="PaymentsNL">#REF!</definedName>
    <definedName name="PaymentsSummary" localSheetId="22">#REF!</definedName>
    <definedName name="PaymentsSummary" localSheetId="28">#REF!</definedName>
    <definedName name="PaymentsSummary" localSheetId="21">#REF!</definedName>
    <definedName name="PaymentsSummary" localSheetId="29">#REF!</definedName>
    <definedName name="PaymentsSummary">#REF!</definedName>
    <definedName name="PaymentsVAT" localSheetId="22">#REF!</definedName>
    <definedName name="PaymentsVAT" localSheetId="28">#REF!</definedName>
    <definedName name="PaymentsVAT" localSheetId="21">#REF!</definedName>
    <definedName name="PaymentsVAT" localSheetId="29">#REF!</definedName>
    <definedName name="PaymentsVAT">#REF!</definedName>
    <definedName name="PaymentsVATable" localSheetId="22">#REF!</definedName>
    <definedName name="PaymentsVATable" localSheetId="28">#REF!</definedName>
    <definedName name="PaymentsVATable" localSheetId="21">#REF!</definedName>
    <definedName name="PaymentsVATable" localSheetId="29">#REF!</definedName>
    <definedName name="PaymentsVATable">#REF!</definedName>
    <definedName name="PBIDT">#REF!</definedName>
    <definedName name="PC1_An">[28]PC1!$I$7:$I$46</definedName>
    <definedName name="PC1_Gross">[28]PC1!$F$47</definedName>
    <definedName name="PC1_Net">[28]PC1!$H$7:$H$46</definedName>
    <definedName name="PC1_VAT">[28]PC1!$G$47</definedName>
    <definedName name="PC10_An">[28]PC10!$I$7:$I$46</definedName>
    <definedName name="PC10_Gross">[28]PC10!$F$47</definedName>
    <definedName name="PC10_Net">[28]PC10!$H$7:$H$46</definedName>
    <definedName name="PC10_VAT">[28]PC10!$G$47</definedName>
    <definedName name="PC11_An">[28]PC11!$I$7:$I$46</definedName>
    <definedName name="PC11_Gross">[28]PC11!$F$47</definedName>
    <definedName name="PC11_Net">[28]PC11!$H$7:$H$46</definedName>
    <definedName name="PC11_VAT">[28]PC11!$G$47</definedName>
    <definedName name="PC12_An">[28]PC12!$I$7:$I$46</definedName>
    <definedName name="PC12_Gross">[28]PC12!$F$47</definedName>
    <definedName name="PC12_Net">[28]PC12!$H$7:$H$46</definedName>
    <definedName name="PC12_VAT">[28]PC12!$G$47</definedName>
    <definedName name="PC2_An">[28]PC2!$I$7:$I$46</definedName>
    <definedName name="PC2_Gross">[28]PC2!$F$47</definedName>
    <definedName name="PC2_Net">[28]PC2!$H$7:$H$46</definedName>
    <definedName name="PC2_VAT">[28]PC2!$G$47</definedName>
    <definedName name="PC3_An">[28]PC3!$I$7:$I$46</definedName>
    <definedName name="PC3_Gross">[28]PC3!$F$47</definedName>
    <definedName name="PC3_Net">[28]PC3!$H$7:$H$46</definedName>
    <definedName name="PC3_VAT">[28]PC3!$G$47</definedName>
    <definedName name="PC4_An">[28]PC4!$I$7:$I$46</definedName>
    <definedName name="PC4_Gross">[28]PC4!$F$47</definedName>
    <definedName name="PC4_Net">[28]PC4!$H$7:$H$46</definedName>
    <definedName name="PC4_VAT">[28]PC4!$G$47</definedName>
    <definedName name="PC5_An">[28]PC5!$I$7:$I$46</definedName>
    <definedName name="PC5_Gross">[28]PC5!$F$47</definedName>
    <definedName name="PC5_Net">[28]PC5!$H$7:$H$46</definedName>
    <definedName name="PC5_VAT">[28]PC5!$G$47</definedName>
    <definedName name="PC6_An">[28]PC6!$I$7:$I$46</definedName>
    <definedName name="PC6_Gross">[28]PC6!$F$47</definedName>
    <definedName name="PC6_Net">[28]PC6!$H$7:$H$46</definedName>
    <definedName name="PC6_VAT">[28]PC6!$G$47</definedName>
    <definedName name="PC7_An">[28]PC7!$I$7:$I$46</definedName>
    <definedName name="PC7_Gross">[28]PC7!$F$47</definedName>
    <definedName name="PC7_Net">[28]PC7!$H$7:$H$46</definedName>
    <definedName name="PC7_VAT">[28]PC7!$G$47</definedName>
    <definedName name="PC8_An">[28]PC8!$I$7:$I$46</definedName>
    <definedName name="PC8_Gross">[28]PC8!$F$47</definedName>
    <definedName name="PC8_Net">[28]PC8!$H$7:$H$46</definedName>
    <definedName name="PC8_VAT">[28]PC8!$G$47</definedName>
    <definedName name="PC9_An">[28]PC9!$I$7:$I$46</definedName>
    <definedName name="PC9_Gross">[28]PC9!$F$47</definedName>
    <definedName name="PC9_Net">[28]PC9!$H$7:$H$46</definedName>
    <definedName name="PC9_VAT">[28]PC9!$G$47</definedName>
    <definedName name="PCSA" localSheetId="22">[33]Volumes!#REF!</definedName>
    <definedName name="PCSA" localSheetId="28">[33]Volumes!#REF!</definedName>
    <definedName name="PCSA" localSheetId="17">[33]Volumes!#REF!</definedName>
    <definedName name="PCSA" localSheetId="18">[33]Volumes!#REF!</definedName>
    <definedName name="PCSA" localSheetId="21">[33]Volumes!#REF!</definedName>
    <definedName name="PCSA" localSheetId="29">[33]Volumes!#REF!</definedName>
    <definedName name="PCSA">[33]Volumes!#REF!</definedName>
    <definedName name="PCsummary" localSheetId="22">#REF!</definedName>
    <definedName name="PCsummary" localSheetId="28">#REF!</definedName>
    <definedName name="PCsummary" localSheetId="21">#REF!</definedName>
    <definedName name="PCsummary" localSheetId="29">#REF!</definedName>
    <definedName name="PCsummary">#REF!</definedName>
    <definedName name="PCVAT" localSheetId="22">#REF!</definedName>
    <definedName name="PCVAT" localSheetId="28">#REF!</definedName>
    <definedName name="PCVAT" localSheetId="21">#REF!</definedName>
    <definedName name="PCVAT" localSheetId="29">#REF!</definedName>
    <definedName name="PCVAT">#REF!</definedName>
    <definedName name="pl">'[2]BS 590'!$B$69:$H$116</definedName>
    <definedName name="PL1_4" localSheetId="22">#REF!</definedName>
    <definedName name="PL1_4" localSheetId="28">#REF!</definedName>
    <definedName name="PL1_4" localSheetId="17">#REF!</definedName>
    <definedName name="PL1_4" localSheetId="18">#REF!</definedName>
    <definedName name="PL1_4" localSheetId="21">#REF!</definedName>
    <definedName name="PL1_4" localSheetId="29">#REF!</definedName>
    <definedName name="PL1_4">#REF!</definedName>
    <definedName name="PL1_5" localSheetId="22">#REF!</definedName>
    <definedName name="PL1_5" localSheetId="28">#REF!</definedName>
    <definedName name="PL1_5" localSheetId="17">#REF!</definedName>
    <definedName name="PL1_5" localSheetId="18">#REF!</definedName>
    <definedName name="PL1_5" localSheetId="21">#REF!</definedName>
    <definedName name="PL1_5" localSheetId="29">#REF!</definedName>
    <definedName name="PL1_5">#REF!</definedName>
    <definedName name="PL1_6" localSheetId="22">#REF!</definedName>
    <definedName name="PL1_6" localSheetId="28">#REF!</definedName>
    <definedName name="PL1_6" localSheetId="17">#REF!</definedName>
    <definedName name="PL1_6" localSheetId="18">#REF!</definedName>
    <definedName name="PL1_6" localSheetId="21">#REF!</definedName>
    <definedName name="PL1_6" localSheetId="29">#REF!</definedName>
    <definedName name="PL1_6">#REF!</definedName>
    <definedName name="PL1_7" localSheetId="22">#REF!</definedName>
    <definedName name="PL1_7" localSheetId="28">#REF!</definedName>
    <definedName name="PL1_7" localSheetId="17">#REF!</definedName>
    <definedName name="PL1_7" localSheetId="18">#REF!</definedName>
    <definedName name="PL1_7" localSheetId="21">#REF!</definedName>
    <definedName name="PL1_7" localSheetId="29">#REF!</definedName>
    <definedName name="PL1_7">#REF!</definedName>
    <definedName name="PL1_8" localSheetId="22">#REF!</definedName>
    <definedName name="PL1_8" localSheetId="28">#REF!</definedName>
    <definedName name="PL1_8" localSheetId="17">#REF!</definedName>
    <definedName name="PL1_8" localSheetId="18">#REF!</definedName>
    <definedName name="PL1_8" localSheetId="21">#REF!</definedName>
    <definedName name="PL1_8" localSheetId="29">#REF!</definedName>
    <definedName name="PL1_8">#REF!</definedName>
    <definedName name="PL2_4" localSheetId="22">#REF!</definedName>
    <definedName name="PL2_4" localSheetId="28">#REF!</definedName>
    <definedName name="PL2_4" localSheetId="17">#REF!</definedName>
    <definedName name="PL2_4" localSheetId="18">#REF!</definedName>
    <definedName name="PL2_4" localSheetId="21">#REF!</definedName>
    <definedName name="PL2_4" localSheetId="29">#REF!</definedName>
    <definedName name="PL2_4">#REF!</definedName>
    <definedName name="PL2_5" localSheetId="22">#REF!</definedName>
    <definedName name="PL2_5" localSheetId="28">#REF!</definedName>
    <definedName name="PL2_5" localSheetId="17">#REF!</definedName>
    <definedName name="PL2_5" localSheetId="18">#REF!</definedName>
    <definedName name="PL2_5" localSheetId="21">#REF!</definedName>
    <definedName name="PL2_5" localSheetId="29">#REF!</definedName>
    <definedName name="PL2_5">#REF!</definedName>
    <definedName name="PL2_6" localSheetId="22">#REF!</definedName>
    <definedName name="PL2_6" localSheetId="28">#REF!</definedName>
    <definedName name="PL2_6" localSheetId="17">#REF!</definedName>
    <definedName name="PL2_6" localSheetId="18">#REF!</definedName>
    <definedName name="PL2_6" localSheetId="21">#REF!</definedName>
    <definedName name="PL2_6" localSheetId="29">#REF!</definedName>
    <definedName name="PL2_6">#REF!</definedName>
    <definedName name="PL2_7" localSheetId="22">#REF!</definedName>
    <definedName name="PL2_7" localSheetId="28">#REF!</definedName>
    <definedName name="PL2_7" localSheetId="17">#REF!</definedName>
    <definedName name="PL2_7" localSheetId="18">#REF!</definedName>
    <definedName name="PL2_7" localSheetId="21">#REF!</definedName>
    <definedName name="PL2_7" localSheetId="29">#REF!</definedName>
    <definedName name="PL2_7">#REF!</definedName>
    <definedName name="PL2_8" localSheetId="22">#REF!</definedName>
    <definedName name="PL2_8" localSheetId="28">#REF!</definedName>
    <definedName name="PL2_8" localSheetId="17">#REF!</definedName>
    <definedName name="PL2_8" localSheetId="18">#REF!</definedName>
    <definedName name="PL2_8" localSheetId="21">#REF!</definedName>
    <definedName name="PL2_8" localSheetId="29">#REF!</definedName>
    <definedName name="PL2_8">#REF!</definedName>
    <definedName name="plfull_4" localSheetId="22">#REF!</definedName>
    <definedName name="plfull_4" localSheetId="28">#REF!</definedName>
    <definedName name="plfull_4" localSheetId="17">#REF!</definedName>
    <definedName name="plfull_4" localSheetId="18">#REF!</definedName>
    <definedName name="plfull_4" localSheetId="21">#REF!</definedName>
    <definedName name="plfull_4" localSheetId="29">#REF!</definedName>
    <definedName name="plfull_4">#REF!</definedName>
    <definedName name="plfull_5" localSheetId="22">#REF!</definedName>
    <definedName name="plfull_5" localSheetId="28">#REF!</definedName>
    <definedName name="plfull_5" localSheetId="17">#REF!</definedName>
    <definedName name="plfull_5" localSheetId="18">#REF!</definedName>
    <definedName name="plfull_5" localSheetId="21">#REF!</definedName>
    <definedName name="plfull_5" localSheetId="29">#REF!</definedName>
    <definedName name="plfull_5">#REF!</definedName>
    <definedName name="plfull_6" localSheetId="22">#REF!</definedName>
    <definedName name="plfull_6" localSheetId="28">#REF!</definedName>
    <definedName name="plfull_6" localSheetId="17">#REF!</definedName>
    <definedName name="plfull_6" localSheetId="18">#REF!</definedName>
    <definedName name="plfull_6" localSheetId="21">#REF!</definedName>
    <definedName name="plfull_6" localSheetId="29">#REF!</definedName>
    <definedName name="plfull_6">#REF!</definedName>
    <definedName name="plfull_7" localSheetId="22">#REF!</definedName>
    <definedName name="plfull_7" localSheetId="28">#REF!</definedName>
    <definedName name="plfull_7" localSheetId="17">#REF!</definedName>
    <definedName name="plfull_7" localSheetId="18">#REF!</definedName>
    <definedName name="plfull_7" localSheetId="21">#REF!</definedName>
    <definedName name="plfull_7" localSheetId="29">#REF!</definedName>
    <definedName name="plfull_7">#REF!</definedName>
    <definedName name="plfull_8" localSheetId="22">#REF!</definedName>
    <definedName name="plfull_8" localSheetId="28">#REF!</definedName>
    <definedName name="plfull_8" localSheetId="17">#REF!</definedName>
    <definedName name="plfull_8" localSheetId="18">#REF!</definedName>
    <definedName name="plfull_8" localSheetId="21">#REF!</definedName>
    <definedName name="plfull_8" localSheetId="29">#REF!</definedName>
    <definedName name="plfull_8">#REF!</definedName>
    <definedName name="plumbing" localSheetId="22">#REF!</definedName>
    <definedName name="plumbing" localSheetId="28">#REF!</definedName>
    <definedName name="plumbing" localSheetId="17">#REF!</definedName>
    <definedName name="plumbing" localSheetId="18">#REF!</definedName>
    <definedName name="plumbing" localSheetId="21">#REF!</definedName>
    <definedName name="plumbing" localSheetId="29">#REF!</definedName>
    <definedName name="plumbing">#REF!</definedName>
    <definedName name="Polish_cl_99">#REF!</definedName>
    <definedName name="Polish_op_99">#REF!</definedName>
    <definedName name="Power">#REF!</definedName>
    <definedName name="Power_99">#REF!</definedName>
    <definedName name="prash">#REF!</definedName>
    <definedName name="Praveen" localSheetId="1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aveen" localSheetId="4"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aveen" localSheetId="12"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aveen" localSheetId="20"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aveen" localSheetId="17"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aveen" localSheetId="18"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aveen" localSheetId="19"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aveen"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_xlnm.Print_Area" localSheetId="11">#REF!</definedName>
    <definedName name="_xlnm.Print_Area" localSheetId="22">#REF!</definedName>
    <definedName name="_xlnm.Print_Area" localSheetId="5">BSPL!$C$2:$I$982</definedName>
    <definedName name="_xlnm.Print_Area" localSheetId="4">'Cash Flow'!$A$1:$AQ$89</definedName>
    <definedName name="_xlnm.Print_Area" localSheetId="7">'CLOSING STOCK21-22'!$A$1:$Q$47</definedName>
    <definedName name="_xlnm.Print_Area" localSheetId="12">COI!$A$1:$L$76</definedName>
    <definedName name="_xlnm.Print_Area" localSheetId="20">#REF!</definedName>
    <definedName name="_xlnm.Print_Area" localSheetId="16">'DEBTORS AGEING 21-22'!$A$2:$M$459</definedName>
    <definedName name="_xlnm.Print_Area" localSheetId="6">Depreciation!$A$1:$J$56</definedName>
    <definedName name="_xlnm.Print_Area" localSheetId="17">DT!$C$2:$J$39</definedName>
    <definedName name="_xlnm.Print_Area" localSheetId="0">Extract!$A$1:$G$29</definedName>
    <definedName name="_xlnm.Print_Area" localSheetId="18">'IT Dep'!$B$4:$Q$61</definedName>
    <definedName name="_xlnm.Print_Area" localSheetId="27">'Leave encashment'!$A$1:$X$58</definedName>
    <definedName name="_xlnm.Print_Area" localSheetId="21">#REF!</definedName>
    <definedName name="_xlnm.Print_Area" localSheetId="9">'Ratio Analysis'!$A$1:$J$58</definedName>
    <definedName name="_xlnm.Print_Area" localSheetId="19">#REF!</definedName>
    <definedName name="_xlnm.Print_Area" localSheetId="1">'Result 1 P&amp;L'!$A$3:$F$58</definedName>
    <definedName name="_xlnm.Print_Area" localSheetId="2">'Result 2 B&amp;S'!$B$2:$D$51</definedName>
    <definedName name="_xlnm.Print_Area" localSheetId="3">'Result 3 CF'!$B$3:$F$53</definedName>
    <definedName name="_xlnm.Print_Area" localSheetId="29">#REF!</definedName>
    <definedName name="_xlnm.Print_Area">#REF!</definedName>
    <definedName name="PRINT_AREA_MI" localSheetId="22">#REF!</definedName>
    <definedName name="PRINT_AREA_MI" localSheetId="28">#REF!</definedName>
    <definedName name="PRINT_AREA_MI" localSheetId="17">#REF!</definedName>
    <definedName name="PRINT_AREA_MI" localSheetId="18">#REF!</definedName>
    <definedName name="PRINT_AREA_MI" localSheetId="21">#REF!</definedName>
    <definedName name="PRINT_AREA_MI" localSheetId="29">#REF!</definedName>
    <definedName name="PRINT_AREA_MI">#REF!</definedName>
    <definedName name="_xlnm.Print_Titles" localSheetId="16">'DEBTORS AGEING 21-22'!$4:$5</definedName>
    <definedName name="_xlnm.Print_Titles" localSheetId="13">Pivot!$3:$3</definedName>
    <definedName name="_xlnm.Print_Titles">#N/A</definedName>
    <definedName name="PROFIT" localSheetId="22">#REF!</definedName>
    <definedName name="PROFIT" localSheetId="28">#REF!</definedName>
    <definedName name="PROFIT" localSheetId="17">#REF!</definedName>
    <definedName name="PROFIT" localSheetId="18">#REF!</definedName>
    <definedName name="PROFIT" localSheetId="21">#REF!</definedName>
    <definedName name="PROFIT" localSheetId="29">#REF!</definedName>
    <definedName name="PROFIT">#REF!</definedName>
    <definedName name="profitloss">[55]working!$A$540:$C$813</definedName>
    <definedName name="queries" localSheetId="22">#REF!</definedName>
    <definedName name="queries" localSheetId="28">#REF!</definedName>
    <definedName name="queries" localSheetId="17">#REF!</definedName>
    <definedName name="queries" localSheetId="18">#REF!</definedName>
    <definedName name="queries" localSheetId="21">#REF!</definedName>
    <definedName name="queries" localSheetId="29">#REF!</definedName>
    <definedName name="queries">#REF!</definedName>
    <definedName name="QWW" localSheetId="22">[54]rough!#REF!</definedName>
    <definedName name="QWW" localSheetId="28">[54]rough!#REF!</definedName>
    <definedName name="QWW" localSheetId="21">[54]rough!#REF!</definedName>
    <definedName name="QWW" localSheetId="29">[54]rough!#REF!</definedName>
    <definedName name="QWW">[54]rough!#REF!</definedName>
    <definedName name="Ranalysis" localSheetId="22">#REF!</definedName>
    <definedName name="Ranalysis" localSheetId="28">#REF!</definedName>
    <definedName name="Ranalysis" localSheetId="17">#REF!</definedName>
    <definedName name="Ranalysis" localSheetId="18">#REF!</definedName>
    <definedName name="Ranalysis" localSheetId="21">#REF!</definedName>
    <definedName name="Ranalysis" localSheetId="29">#REF!</definedName>
    <definedName name="Ranalysis">#REF!</definedName>
    <definedName name="RATIO" localSheetId="22">#REF!</definedName>
    <definedName name="RATIO" localSheetId="28">#REF!</definedName>
    <definedName name="RATIO" localSheetId="17">#REF!</definedName>
    <definedName name="RATIO" localSheetId="18">#REF!</definedName>
    <definedName name="RATIO" localSheetId="21">#REF!</definedName>
    <definedName name="RATIO" localSheetId="29">#REF!</definedName>
    <definedName name="RATIO">#REF!</definedName>
    <definedName name="RATIOS_4" localSheetId="22">#REF!</definedName>
    <definedName name="RATIOS_4" localSheetId="28">#REF!</definedName>
    <definedName name="RATIOS_4" localSheetId="17">#REF!</definedName>
    <definedName name="RATIOS_4" localSheetId="18">#REF!</definedName>
    <definedName name="RATIOS_4" localSheetId="21">#REF!</definedName>
    <definedName name="RATIOS_4" localSheetId="29">#REF!</definedName>
    <definedName name="RATIOS_4">#REF!</definedName>
    <definedName name="RATIOS_5" localSheetId="22">#REF!</definedName>
    <definedName name="RATIOS_5" localSheetId="28">#REF!</definedName>
    <definedName name="RATIOS_5" localSheetId="17">#REF!</definedName>
    <definedName name="RATIOS_5" localSheetId="18">#REF!</definedName>
    <definedName name="RATIOS_5" localSheetId="21">#REF!</definedName>
    <definedName name="RATIOS_5" localSheetId="29">#REF!</definedName>
    <definedName name="RATIOS_5">#REF!</definedName>
    <definedName name="RATIOS_6" localSheetId="22">#REF!</definedName>
    <definedName name="RATIOS_6" localSheetId="28">#REF!</definedName>
    <definedName name="RATIOS_6" localSheetId="17">#REF!</definedName>
    <definedName name="RATIOS_6" localSheetId="18">#REF!</definedName>
    <definedName name="RATIOS_6" localSheetId="21">#REF!</definedName>
    <definedName name="RATIOS_6" localSheetId="29">#REF!</definedName>
    <definedName name="RATIOS_6">#REF!</definedName>
    <definedName name="RATIOS_7" localSheetId="22">#REF!</definedName>
    <definedName name="RATIOS_7" localSheetId="28">#REF!</definedName>
    <definedName name="RATIOS_7" localSheetId="17">#REF!</definedName>
    <definedName name="RATIOS_7" localSheetId="18">#REF!</definedName>
    <definedName name="RATIOS_7" localSheetId="21">#REF!</definedName>
    <definedName name="RATIOS_7" localSheetId="29">#REF!</definedName>
    <definedName name="RATIOS_7">#REF!</definedName>
    <definedName name="RATIOS_8" localSheetId="22">#REF!</definedName>
    <definedName name="RATIOS_8" localSheetId="28">#REF!</definedName>
    <definedName name="RATIOS_8" localSheetId="17">#REF!</definedName>
    <definedName name="RATIOS_8" localSheetId="18">#REF!</definedName>
    <definedName name="RATIOS_8" localSheetId="21">#REF!</definedName>
    <definedName name="RATIOS_8" localSheetId="29">#REF!</definedName>
    <definedName name="RATIOS_8">#REF!</definedName>
    <definedName name="Raw_material">#REF!</definedName>
    <definedName name="Raw_material_99">#REF!</definedName>
    <definedName name="RE_ADDITIONS" localSheetId="22">#REF!</definedName>
    <definedName name="RE_ADDITIONS" localSheetId="28">#REF!</definedName>
    <definedName name="RE_ADDITIONS" localSheetId="17">#REF!</definedName>
    <definedName name="RE_ADDITIONS" localSheetId="18">#REF!</definedName>
    <definedName name="RE_ADDITIONS" localSheetId="21">#REF!</definedName>
    <definedName name="RE_ADDITIONS" localSheetId="29">#REF!</definedName>
    <definedName name="RE_ADDITIONS">#REF!</definedName>
    <definedName name="RE_SLM" localSheetId="22">#REF!</definedName>
    <definedName name="RE_SLM" localSheetId="28">#REF!</definedName>
    <definedName name="RE_SLM" localSheetId="17">#REF!</definedName>
    <definedName name="RE_SLM" localSheetId="18">#REF!</definedName>
    <definedName name="RE_SLM" localSheetId="21">#REF!</definedName>
    <definedName name="RE_SLM" localSheetId="29">#REF!</definedName>
    <definedName name="RE_SLM">#REF!</definedName>
    <definedName name="RE_SLM10" localSheetId="22">#REF!</definedName>
    <definedName name="RE_SLM10" localSheetId="28">#REF!</definedName>
    <definedName name="RE_SLM10" localSheetId="17">#REF!</definedName>
    <definedName name="RE_SLM10" localSheetId="18">#REF!</definedName>
    <definedName name="RE_SLM10" localSheetId="21">#REF!</definedName>
    <definedName name="RE_SLM10" localSheetId="29">#REF!</definedName>
    <definedName name="RE_SLM10">#REF!</definedName>
    <definedName name="RE_SLM15" localSheetId="22">#REF!</definedName>
    <definedName name="RE_SLM15" localSheetId="28">#REF!</definedName>
    <definedName name="RE_SLM15" localSheetId="17">#REF!</definedName>
    <definedName name="RE_SLM15" localSheetId="18">#REF!</definedName>
    <definedName name="RE_SLM15" localSheetId="21">#REF!</definedName>
    <definedName name="RE_SLM15" localSheetId="29">#REF!</definedName>
    <definedName name="RE_SLM15">#REF!</definedName>
    <definedName name="RE_WDV" localSheetId="22">#REF!</definedName>
    <definedName name="RE_WDV" localSheetId="28">#REF!</definedName>
    <definedName name="RE_WDV" localSheetId="17">#REF!</definedName>
    <definedName name="RE_WDV" localSheetId="18">#REF!</definedName>
    <definedName name="RE_WDV" localSheetId="21">#REF!</definedName>
    <definedName name="RE_WDV" localSheetId="29">#REF!</definedName>
    <definedName name="RE_WDV">#REF!</definedName>
    <definedName name="Realisations_salevalue">#REF!</definedName>
    <definedName name="ReceiptsNL" localSheetId="22">#REF!</definedName>
    <definedName name="ReceiptsNL" localSheetId="28">#REF!</definedName>
    <definedName name="ReceiptsNL" localSheetId="21">#REF!</definedName>
    <definedName name="ReceiptsNL" localSheetId="29">#REF!</definedName>
    <definedName name="ReceiptsNL">#REF!</definedName>
    <definedName name="ReceiptsSummary" localSheetId="22">#REF!</definedName>
    <definedName name="ReceiptsSummary" localSheetId="28">#REF!</definedName>
    <definedName name="ReceiptsSummary" localSheetId="21">#REF!</definedName>
    <definedName name="ReceiptsSummary" localSheetId="29">#REF!</definedName>
    <definedName name="ReceiptsSummary">#REF!</definedName>
    <definedName name="ReceiptsVAT" localSheetId="22">#REF!</definedName>
    <definedName name="ReceiptsVAT" localSheetId="28">#REF!</definedName>
    <definedName name="ReceiptsVAT" localSheetId="21">#REF!</definedName>
    <definedName name="ReceiptsVAT" localSheetId="29">#REF!</definedName>
    <definedName name="ReceiptsVAT">#REF!</definedName>
    <definedName name="ReceiptsVATable" localSheetId="22">#REF!</definedName>
    <definedName name="ReceiptsVATable" localSheetId="28">#REF!</definedName>
    <definedName name="ReceiptsVATable" localSheetId="21">#REF!</definedName>
    <definedName name="ReceiptsVATable" localSheetId="29">#REF!</definedName>
    <definedName name="ReceiptsVATable">#REF!</definedName>
    <definedName name="REIMB" localSheetId="17">[33]Volumes!#REF!</definedName>
    <definedName name="REIMB" localSheetId="18">[33]Volumes!#REF!</definedName>
    <definedName name="REIMB">[33]Volumes!#REF!</definedName>
    <definedName name="RMB">[56]Data!$D$10</definedName>
    <definedName name="ro">[57]Master!$N$2</definedName>
    <definedName name="roshan" localSheetId="22">#REF!</definedName>
    <definedName name="roshan" localSheetId="28">#REF!</definedName>
    <definedName name="roshan" localSheetId="17">#REF!</definedName>
    <definedName name="roshan" localSheetId="18">#REF!</definedName>
    <definedName name="roshan" localSheetId="21">#REF!</definedName>
    <definedName name="roshan" localSheetId="29">#REF!</definedName>
    <definedName name="roshan">#REF!</definedName>
    <definedName name="S" localSheetId="22">'[58]pharma - TB'!#REF!</definedName>
    <definedName name="S" localSheetId="28">'[58]pharma - TB'!#REF!</definedName>
    <definedName name="S" localSheetId="17">'[59]pharma - TB'!#REF!</definedName>
    <definedName name="S" localSheetId="18">'[59]pharma - TB'!#REF!</definedName>
    <definedName name="S" localSheetId="21">'[58]pharma - TB'!#REF!</definedName>
    <definedName name="S" localSheetId="29">'[58]pharma - TB'!#REF!</definedName>
    <definedName name="S">'[58]pharma - TB'!#REF!</definedName>
    <definedName name="S_5" localSheetId="11">#REF!</definedName>
    <definedName name="S_5" localSheetId="4">#REF!</definedName>
    <definedName name="S_5" localSheetId="12">#REF!</definedName>
    <definedName name="S_5" localSheetId="20">#REF!</definedName>
    <definedName name="S_5" localSheetId="17">#REF!</definedName>
    <definedName name="S_5" localSheetId="18">#REF!</definedName>
    <definedName name="S_5" localSheetId="19">#REF!</definedName>
    <definedName name="S_5">#REF!</definedName>
    <definedName name="SA" localSheetId="22">MATCH(0.01,[39]!End_Bal,-1)+1</definedName>
    <definedName name="SA" localSheetId="28">MATCH(0.01,[39]!End_Bal,-1)+1</definedName>
    <definedName name="sa" localSheetId="17">'[37]TB APJ'!$B$97</definedName>
    <definedName name="sa" localSheetId="18">'[37]TB APJ'!$B$97</definedName>
    <definedName name="SA" localSheetId="21">MATCH(0.01,[39]!End_Bal,-1)+1</definedName>
    <definedName name="SA" localSheetId="29">MATCH(0.01,[39]!End_Bal,-1)+1</definedName>
    <definedName name="SA">MATCH(0.01,[40]!End_Bal,-1)+1</definedName>
    <definedName name="SADFDSADFSADFD" localSheetId="11">#REF!</definedName>
    <definedName name="SADFDSADFSADFD" localSheetId="4">#REF!</definedName>
    <definedName name="SADFDSADFSADFD" localSheetId="7">#REF!</definedName>
    <definedName name="SADFDSADFSADFD" localSheetId="12">#REF!</definedName>
    <definedName name="SADFDSADFSADFD" localSheetId="20">#REF!</definedName>
    <definedName name="SADFDSADFSADFD" localSheetId="17">#REF!</definedName>
    <definedName name="SADFDSADFSADFD" localSheetId="18">#REF!</definedName>
    <definedName name="SADFDSADFSADFD" localSheetId="19">#REF!</definedName>
    <definedName name="SADFDSADFSADFD">#REF!</definedName>
    <definedName name="SALES" localSheetId="20">#REF!</definedName>
    <definedName name="SALES">#REF!</definedName>
    <definedName name="salestax">[36]M_T!$H$6</definedName>
    <definedName name="sbi_facility_99" localSheetId="11">#REF!</definedName>
    <definedName name="sbi_facility_99" localSheetId="4">#REF!</definedName>
    <definedName name="sbi_facility_99" localSheetId="12">#REF!</definedName>
    <definedName name="sbi_facility_99" localSheetId="20">#REF!</definedName>
    <definedName name="sbi_facility_99" localSheetId="17">#REF!</definedName>
    <definedName name="sbi_facility_99" localSheetId="18">#REF!</definedName>
    <definedName name="sbi_facility_99" localSheetId="19">#REF!</definedName>
    <definedName name="sbi_facility_99">#REF!</definedName>
    <definedName name="Sc">[57]Master!$M$6</definedName>
    <definedName name="sch_131415" localSheetId="11">#REF!</definedName>
    <definedName name="sch_131415" localSheetId="4">#REF!</definedName>
    <definedName name="sch_131415" localSheetId="12">#REF!</definedName>
    <definedName name="sch_131415" localSheetId="20">#REF!</definedName>
    <definedName name="sch_131415" localSheetId="17">#REF!</definedName>
    <definedName name="sch_131415" localSheetId="18">#REF!</definedName>
    <definedName name="sch_131415" localSheetId="19">#REF!</definedName>
    <definedName name="sch_131415">#REF!</definedName>
    <definedName name="sch_13141516" localSheetId="11">#REF!</definedName>
    <definedName name="sch_13141516" localSheetId="4">#REF!</definedName>
    <definedName name="sch_13141516" localSheetId="12">#REF!</definedName>
    <definedName name="sch_13141516" localSheetId="20">#REF!</definedName>
    <definedName name="sch_13141516" localSheetId="17">#REF!</definedName>
    <definedName name="sch_13141516" localSheetId="18">#REF!</definedName>
    <definedName name="sch_13141516" localSheetId="19">#REF!</definedName>
    <definedName name="sch_13141516">#REF!</definedName>
    <definedName name="Sch_191" localSheetId="11">#REF!</definedName>
    <definedName name="Sch_191" localSheetId="4">#REF!</definedName>
    <definedName name="Sch_191" localSheetId="12">#REF!</definedName>
    <definedName name="Sch_191" localSheetId="20">#REF!</definedName>
    <definedName name="Sch_191" localSheetId="17">#REF!</definedName>
    <definedName name="Sch_191" localSheetId="18">#REF!</definedName>
    <definedName name="Sch_191" localSheetId="19">#REF!</definedName>
    <definedName name="Sch_191">#REF!</definedName>
    <definedName name="sch_192">#REF!</definedName>
    <definedName name="sch_193">#REF!</definedName>
    <definedName name="sch_194">#REF!</definedName>
    <definedName name="sch_195">#REF!</definedName>
    <definedName name="sch_196">#REF!</definedName>
    <definedName name="Sch_1a">#REF!</definedName>
    <definedName name="sch_2">#REF!</definedName>
    <definedName name="Sch_61">#REF!</definedName>
    <definedName name="Sch_62">#REF!</definedName>
    <definedName name="sch_63">#REF!</definedName>
    <definedName name="sch_789">#REF!</definedName>
    <definedName name="SCH1_3">#REF!</definedName>
    <definedName name="SCH1_TO_3">[52]tb!#REF!</definedName>
    <definedName name="SCH4_5" localSheetId="11">#REF!</definedName>
    <definedName name="SCH4_5" localSheetId="4">#REF!</definedName>
    <definedName name="SCH4_5" localSheetId="12">#REF!</definedName>
    <definedName name="SCH4_5" localSheetId="20">#REF!</definedName>
    <definedName name="SCH4_5" localSheetId="17">#REF!</definedName>
    <definedName name="SCH4_5" localSheetId="18">#REF!</definedName>
    <definedName name="SCH4_5" localSheetId="19">#REF!</definedName>
    <definedName name="SCH4_5">#REF!</definedName>
    <definedName name="SCH4_T0_5" localSheetId="11">[52]tb!#REF!</definedName>
    <definedName name="SCH4_T0_5" localSheetId="4">[52]tb!#REF!</definedName>
    <definedName name="SCH4_T0_5" localSheetId="12">[52]tb!#REF!</definedName>
    <definedName name="SCH4_T0_5" localSheetId="17">[52]tb!#REF!</definedName>
    <definedName name="SCH4_T0_5" localSheetId="18">[52]tb!#REF!</definedName>
    <definedName name="SCH4_T0_5" localSheetId="19">[52]tb!#REF!</definedName>
    <definedName name="SCH4_T0_5">[52]tb!#REF!</definedName>
    <definedName name="SCHE" localSheetId="22">#REF!</definedName>
    <definedName name="SCHE" localSheetId="28">#REF!</definedName>
    <definedName name="SCHE" localSheetId="17">#REF!</definedName>
    <definedName name="SCHE" localSheetId="18">#REF!</definedName>
    <definedName name="SCHE" localSheetId="21">#REF!</definedName>
    <definedName name="SCHE" localSheetId="29">#REF!</definedName>
    <definedName name="SCHE">#REF!</definedName>
    <definedName name="SDAFASFASFSAFSFSAFSAF">#REF!</definedName>
    <definedName name="sdfdsadfs">#REF!</definedName>
    <definedName name="SEctionCode" localSheetId="22">[19]Challan!$IV$819:$IV$832</definedName>
    <definedName name="SEctionCode" localSheetId="28">[19]Challan!$IV$819:$IV$832</definedName>
    <definedName name="SEctionCode" localSheetId="21">[19]Challan!$IV$819:$IV$832</definedName>
    <definedName name="SEctionCode" localSheetId="29">[19]Challan!$IV$819:$IV$832</definedName>
    <definedName name="SEctionCode">[20]Challan!$IV$819:$IV$832</definedName>
    <definedName name="SECURITY" localSheetId="22">#REF!</definedName>
    <definedName name="SECURITY" localSheetId="28">#REF!</definedName>
    <definedName name="SECURITY" localSheetId="17">#REF!</definedName>
    <definedName name="SECURITY" localSheetId="18">#REF!</definedName>
    <definedName name="SECURITY" localSheetId="21">#REF!</definedName>
    <definedName name="SECURITY" localSheetId="29">#REF!</definedName>
    <definedName name="SECURITY">#REF!</definedName>
    <definedName name="Security_4" localSheetId="22">#REF!</definedName>
    <definedName name="Security_4" localSheetId="28">#REF!</definedName>
    <definedName name="Security_4" localSheetId="17">#REF!</definedName>
    <definedName name="Security_4" localSheetId="18">#REF!</definedName>
    <definedName name="Security_4" localSheetId="21">#REF!</definedName>
    <definedName name="Security_4" localSheetId="29">#REF!</definedName>
    <definedName name="Security_4">#REF!</definedName>
    <definedName name="SECURITY_5" localSheetId="22">#REF!</definedName>
    <definedName name="SECURITY_5" localSheetId="28">#REF!</definedName>
    <definedName name="SECURITY_5" localSheetId="17">#REF!</definedName>
    <definedName name="SECURITY_5" localSheetId="18">#REF!</definedName>
    <definedName name="SECURITY_5" localSheetId="21">#REF!</definedName>
    <definedName name="SECURITY_5" localSheetId="29">#REF!</definedName>
    <definedName name="SECURITY_5">#REF!</definedName>
    <definedName name="SECURITY_6" localSheetId="22">#REF!</definedName>
    <definedName name="SECURITY_6" localSheetId="28">#REF!</definedName>
    <definedName name="SECURITY_6" localSheetId="17">#REF!</definedName>
    <definedName name="SECURITY_6" localSheetId="18">#REF!</definedName>
    <definedName name="SECURITY_6" localSheetId="21">#REF!</definedName>
    <definedName name="SECURITY_6" localSheetId="29">#REF!</definedName>
    <definedName name="SECURITY_6">#REF!</definedName>
    <definedName name="SECURITY_7" localSheetId="22">#REF!</definedName>
    <definedName name="SECURITY_7" localSheetId="28">#REF!</definedName>
    <definedName name="SECURITY_7" localSheetId="17">#REF!</definedName>
    <definedName name="SECURITY_7" localSheetId="18">#REF!</definedName>
    <definedName name="SECURITY_7" localSheetId="21">#REF!</definedName>
    <definedName name="SECURITY_7" localSheetId="29">#REF!</definedName>
    <definedName name="SECURITY_7">#REF!</definedName>
    <definedName name="SECURITY_8" localSheetId="22">#REF!</definedName>
    <definedName name="SECURITY_8" localSheetId="28">#REF!</definedName>
    <definedName name="SECURITY_8" localSheetId="17">#REF!</definedName>
    <definedName name="SECURITY_8" localSheetId="18">#REF!</definedName>
    <definedName name="SECURITY_8" localSheetId="21">#REF!</definedName>
    <definedName name="SECURITY_8" localSheetId="29">#REF!</definedName>
    <definedName name="SECURITY_8">#REF!</definedName>
    <definedName name="SFDSAFSDAFSADFA">#REF!</definedName>
    <definedName name="SJLN" localSheetId="22">#REF!</definedName>
    <definedName name="SJLN" localSheetId="28">#REF!</definedName>
    <definedName name="SJLN" localSheetId="21">#REF!</definedName>
    <definedName name="SJLN" localSheetId="29">#REF!</definedName>
    <definedName name="SJLN">#REF!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s" localSheetId="1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ss" localSheetId="4"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ss" localSheetId="12"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ss" localSheetId="20"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ss" localSheetId="17"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ss" localSheetId="18"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ss" localSheetId="19"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ss"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sss" localSheetId="11">#REF!</definedName>
    <definedName name="sss" localSheetId="4">#REF!</definedName>
    <definedName name="sss" localSheetId="7">#REF!</definedName>
    <definedName name="sss" localSheetId="12">#REF!</definedName>
    <definedName name="sss" localSheetId="20">#REF!</definedName>
    <definedName name="sss" localSheetId="17">#REF!</definedName>
    <definedName name="sss" localSheetId="18">#REF!</definedName>
    <definedName name="sss" localSheetId="19">#REF!</definedName>
    <definedName name="sss">#REF!</definedName>
    <definedName name="st" localSheetId="22">[33]Volumes!#REF!</definedName>
    <definedName name="st" localSheetId="28">[33]Volumes!#REF!</definedName>
    <definedName name="st" localSheetId="17">[33]Volumes!#REF!</definedName>
    <definedName name="st" localSheetId="18">[33]Volumes!#REF!</definedName>
    <definedName name="st" localSheetId="21">[33]Volumes!#REF!</definedName>
    <definedName name="st" localSheetId="29">[33]Volumes!#REF!</definedName>
    <definedName name="st">[33]Volumes!#REF!</definedName>
    <definedName name="STATES" localSheetId="22">#REF!</definedName>
    <definedName name="STATES" localSheetId="28">#REF!</definedName>
    <definedName name="STATES" localSheetId="17">#REF!</definedName>
    <definedName name="STATES" localSheetId="18">#REF!</definedName>
    <definedName name="STATES" localSheetId="21">#REF!</definedName>
    <definedName name="STATES" localSheetId="29">#REF!</definedName>
    <definedName name="STATES">#REF!</definedName>
    <definedName name="STATES1" localSheetId="22">#REF!</definedName>
    <definedName name="STATES1" localSheetId="28">#REF!</definedName>
    <definedName name="STATES1" localSheetId="17">#REF!</definedName>
    <definedName name="STATES1" localSheetId="18">#REF!</definedName>
    <definedName name="STATES1" localSheetId="21">#REF!</definedName>
    <definedName name="STATES1" localSheetId="29">#REF!</definedName>
    <definedName name="STATES1">#REF!</definedName>
    <definedName name="Steel" localSheetId="22">#REF!</definedName>
    <definedName name="Steel" localSheetId="28">#REF!</definedName>
    <definedName name="Steel" localSheetId="17">#REF!</definedName>
    <definedName name="Steel" localSheetId="18">#REF!</definedName>
    <definedName name="Steel" localSheetId="21">#REF!</definedName>
    <definedName name="Steel" localSheetId="29">#REF!</definedName>
    <definedName name="Steel">#REF!</definedName>
    <definedName name="Stocks">#REF!</definedName>
    <definedName name="SUMM" localSheetId="7">#REF!</definedName>
    <definedName name="SUMM" localSheetId="17">#REF!</definedName>
    <definedName name="SUMM" localSheetId="18">#REF!</definedName>
    <definedName name="SUMM">#REF!</definedName>
    <definedName name="SUMM_BILL_AMT" localSheetId="7">#REF!</definedName>
    <definedName name="SUMM_BILL_AMT" localSheetId="17">#REF!</definedName>
    <definedName name="SUMM_BILL_AMT" localSheetId="18">#REF!</definedName>
    <definedName name="SUMM_BILL_AMT">#REF!</definedName>
    <definedName name="SUMM_CD" localSheetId="7">#REF!</definedName>
    <definedName name="SUMM_CD" localSheetId="17">#REF!</definedName>
    <definedName name="SUMM_CD" localSheetId="18">#REF!</definedName>
    <definedName name="SUMM_CD">#REF!</definedName>
    <definedName name="SUMM_CF" localSheetId="7">#REF!</definedName>
    <definedName name="SUMM_CF" localSheetId="17">#REF!</definedName>
    <definedName name="SUMM_CF" localSheetId="18">#REF!</definedName>
    <definedName name="SUMM_CF">#REF!</definedName>
    <definedName name="SUMM_DATE" localSheetId="7">#REF!</definedName>
    <definedName name="SUMM_DATE" localSheetId="17">#REF!</definedName>
    <definedName name="SUMM_DATE" localSheetId="18">#REF!</definedName>
    <definedName name="SUMM_DATE">#REF!</definedName>
    <definedName name="SUMM_DET" localSheetId="7">#REF!</definedName>
    <definedName name="SUMM_DET" localSheetId="17">#REF!</definedName>
    <definedName name="SUMM_DET" localSheetId="18">#REF!</definedName>
    <definedName name="SUMM_DET">#REF!</definedName>
    <definedName name="SUMM_FRT" localSheetId="7">#REF!</definedName>
    <definedName name="SUMM_FRT" localSheetId="17">#REF!</definedName>
    <definedName name="SUMM_FRT" localSheetId="18">#REF!</definedName>
    <definedName name="SUMM_FRT">#REF!</definedName>
    <definedName name="SUMM_QTY" localSheetId="7">#REF!</definedName>
    <definedName name="SUMM_QTY" localSheetId="17">#REF!</definedName>
    <definedName name="SUMM_QTY" localSheetId="18">#REF!</definedName>
    <definedName name="SUMM_QTY">#REF!</definedName>
    <definedName name="SUMM_TOT" localSheetId="7">#REF!</definedName>
    <definedName name="SUMM_TOT" localSheetId="17">#REF!</definedName>
    <definedName name="SUMM_TOT" localSheetId="18">#REF!</definedName>
    <definedName name="SUMM_TOT">#REF!</definedName>
    <definedName name="SUMM_VAL" localSheetId="7">#REF!</definedName>
    <definedName name="SUMM_VAL" localSheetId="17">#REF!</definedName>
    <definedName name="SUMM_VAL" localSheetId="18">#REF!</definedName>
    <definedName name="SUMM_VAL">#REF!</definedName>
    <definedName name="summary">#REF!</definedName>
    <definedName name="SUN_D" localSheetId="7">#REF!</definedName>
    <definedName name="SUN_D" localSheetId="17">#REF!</definedName>
    <definedName name="SUN_D" localSheetId="18">#REF!</definedName>
    <definedName name="SUN_D">#REF!</definedName>
    <definedName name="SWM">#REF!</definedName>
    <definedName name="SYSSSS" localSheetId="7">#REF!</definedName>
    <definedName name="SYSSSS" localSheetId="17">#REF!</definedName>
    <definedName name="SYSSSS" localSheetId="18">#REF!</definedName>
    <definedName name="SYSSSS">#REF!</definedName>
    <definedName name="T" localSheetId="22">#REF!</definedName>
    <definedName name="T" localSheetId="28">#REF!</definedName>
    <definedName name="T" localSheetId="21">#REF!</definedName>
    <definedName name="T" localSheetId="29">#REF!</definedName>
    <definedName name="T">#REF!</definedName>
    <definedName name="TADes">[23]Masters!$C$22</definedName>
    <definedName name="TAFName">[22]Masters!$C$19</definedName>
    <definedName name="TAMNo">[22]Masters!$C$23</definedName>
    <definedName name="TAName">[22]Masters!$C$20</definedName>
    <definedName name="TAPlace">[22]Masters!$C$43</definedName>
    <definedName name="TAQua">[23]Masters!$C$21</definedName>
    <definedName name="Target" localSheetId="11">#REF!</definedName>
    <definedName name="Target" localSheetId="4">#REF!</definedName>
    <definedName name="Target" localSheetId="12">#REF!</definedName>
    <definedName name="Target" localSheetId="20">#REF!</definedName>
    <definedName name="Target" localSheetId="17">#REF!</definedName>
    <definedName name="Target" localSheetId="18">#REF!</definedName>
    <definedName name="Target" localSheetId="19">#REF!</definedName>
    <definedName name="Target">#REF!</definedName>
    <definedName name="tax">'[60]BS&amp;PLA'!$B$578:$H$664</definedName>
    <definedName name="Tax_MAT" localSheetId="11">#REF!</definedName>
    <definedName name="Tax_MAT" localSheetId="4">#REF!</definedName>
    <definedName name="Tax_MAT" localSheetId="12">#REF!</definedName>
    <definedName name="Tax_MAT" localSheetId="20">#REF!</definedName>
    <definedName name="Tax_MAT" localSheetId="17">#REF!</definedName>
    <definedName name="Tax_MAT" localSheetId="18">#REF!</definedName>
    <definedName name="Tax_MAT" localSheetId="19">#REF!</definedName>
    <definedName name="Tax_MAT">#REF!</definedName>
    <definedName name="TaxAudAdd">[22]Masters!$C$24</definedName>
    <definedName name="TaxAuditDate">[22]Masters!$C$40</definedName>
    <definedName name="TaxFreeAllowance" localSheetId="22">#REF!</definedName>
    <definedName name="TaxFreeAllowance" localSheetId="28">#REF!</definedName>
    <definedName name="TaxFreeAllowance" localSheetId="21">#REF!</definedName>
    <definedName name="TaxFreeAllowance" localSheetId="29">#REF!</definedName>
    <definedName name="TaxFreeAllowance">#REF!</definedName>
    <definedName name="TEST0" localSheetId="22">#REF!</definedName>
    <definedName name="TEST0" localSheetId="28">#REF!</definedName>
    <definedName name="TEST0" localSheetId="17">#REF!</definedName>
    <definedName name="TEST0" localSheetId="18">#REF!</definedName>
    <definedName name="TEST0" localSheetId="21">#REF!</definedName>
    <definedName name="TEST0" localSheetId="29">#REF!</definedName>
    <definedName name="TEST0">#REF!</definedName>
    <definedName name="TEST1">#REF!</definedName>
    <definedName name="TESTHKEY" localSheetId="22">#REF!</definedName>
    <definedName name="TESTHKEY" localSheetId="28">#REF!</definedName>
    <definedName name="TESTHKEY" localSheetId="17">#REF!</definedName>
    <definedName name="TESTHKEY" localSheetId="18">#REF!</definedName>
    <definedName name="TESTHKEY" localSheetId="21">#REF!</definedName>
    <definedName name="TESTHKEY" localSheetId="29">#REF!</definedName>
    <definedName name="TESTHKEY">#REF!</definedName>
    <definedName name="TESTKEYS" localSheetId="22">#REF!</definedName>
    <definedName name="TESTKEYS" localSheetId="28">#REF!</definedName>
    <definedName name="TESTKEYS" localSheetId="17">#REF!</definedName>
    <definedName name="TESTKEYS" localSheetId="18">#REF!</definedName>
    <definedName name="TESTKEYS" localSheetId="21">#REF!</definedName>
    <definedName name="TESTKEYS" localSheetId="29">#REF!</definedName>
    <definedName name="TESTKEYS">#REF!</definedName>
    <definedName name="TESTVKEY" localSheetId="22">#REF!</definedName>
    <definedName name="TESTVKEY" localSheetId="28">#REF!</definedName>
    <definedName name="TESTVKEY" localSheetId="17">#REF!</definedName>
    <definedName name="TESTVKEY" localSheetId="18">#REF!</definedName>
    <definedName name="TESTVKEY" localSheetId="21">#REF!</definedName>
    <definedName name="TESTVKEY" localSheetId="29">#REF!</definedName>
    <definedName name="TESTVKEY">#REF!</definedName>
    <definedName name="THAI_PLASTIC_in_KUSD">#REF!</definedName>
    <definedName name="TNW_4" localSheetId="22">#REF!</definedName>
    <definedName name="TNW_4" localSheetId="28">#REF!</definedName>
    <definedName name="TNW_4" localSheetId="17">#REF!</definedName>
    <definedName name="TNW_4" localSheetId="18">#REF!</definedName>
    <definedName name="TNW_4" localSheetId="21">#REF!</definedName>
    <definedName name="TNW_4" localSheetId="29">#REF!</definedName>
    <definedName name="TNW_4">#REF!</definedName>
    <definedName name="TNW_5" localSheetId="22">#REF!</definedName>
    <definedName name="TNW_5" localSheetId="28">#REF!</definedName>
    <definedName name="TNW_5" localSheetId="17">#REF!</definedName>
    <definedName name="TNW_5" localSheetId="18">#REF!</definedName>
    <definedName name="TNW_5" localSheetId="21">#REF!</definedName>
    <definedName name="TNW_5" localSheetId="29">#REF!</definedName>
    <definedName name="TNW_5">#REF!</definedName>
    <definedName name="TNW_6" localSheetId="22">#REF!</definedName>
    <definedName name="TNW_6" localSheetId="28">#REF!</definedName>
    <definedName name="TNW_6" localSheetId="17">#REF!</definedName>
    <definedName name="TNW_6" localSheetId="18">#REF!</definedName>
    <definedName name="TNW_6" localSheetId="21">#REF!</definedName>
    <definedName name="TNW_6" localSheetId="29">#REF!</definedName>
    <definedName name="TNW_6">#REF!</definedName>
    <definedName name="TNW_7" localSheetId="22">#REF!</definedName>
    <definedName name="TNW_7" localSheetId="28">#REF!</definedName>
    <definedName name="TNW_7" localSheetId="17">#REF!</definedName>
    <definedName name="TNW_7" localSheetId="18">#REF!</definedName>
    <definedName name="TNW_7" localSheetId="21">#REF!</definedName>
    <definedName name="TNW_7" localSheetId="29">#REF!</definedName>
    <definedName name="TNW_7">#REF!</definedName>
    <definedName name="TNW_8" localSheetId="22">#REF!</definedName>
    <definedName name="TNW_8" localSheetId="28">#REF!</definedName>
    <definedName name="TNW_8" localSheetId="17">#REF!</definedName>
    <definedName name="TNW_8" localSheetId="18">#REF!</definedName>
    <definedName name="TNW_8" localSheetId="21">#REF!</definedName>
    <definedName name="TNW_8" localSheetId="29">#REF!</definedName>
    <definedName name="TNW_8">#REF!</definedName>
    <definedName name="transport" localSheetId="22">#REF!</definedName>
    <definedName name="transport" localSheetId="28">#REF!</definedName>
    <definedName name="transport" localSheetId="17">#REF!</definedName>
    <definedName name="transport" localSheetId="18">#REF!</definedName>
    <definedName name="transport" localSheetId="21">#REF!</definedName>
    <definedName name="transport" localSheetId="29">#REF!</definedName>
    <definedName name="transport">#REF!</definedName>
    <definedName name="tt" localSheetId="1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 localSheetId="4"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 localSheetId="12"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 localSheetId="20"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 localSheetId="17"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 localSheetId="18"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 localSheetId="19"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 localSheetId="1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 localSheetId="4"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 localSheetId="12"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 localSheetId="20"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 localSheetId="17"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 localSheetId="18"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 localSheetId="19"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unitwise">#REF!</definedName>
    <definedName name="unsecured_Loans_99">#REF!</definedName>
    <definedName name="USD.A">#REF!</definedName>
    <definedName name="USD.E">#REF!</definedName>
    <definedName name="USD_B">#REF!</definedName>
    <definedName name="Values_Entered" localSheetId="11">IF(Loan_Amount*Interest_Rate*Loan_Years*Loan_Start&gt;0,1,0)</definedName>
    <definedName name="Values_Entered" localSheetId="22">IF('Advance to Supplier'!Loan_Amount*'Advance to Supplier'!Interest_Rate*'Advance to Supplier'!Loan_Years*'Advance to Supplier'!Loan_Start&gt;0,1,0)</definedName>
    <definedName name="Values_Entered" localSheetId="28">IF('Bank TL &amp; Int.'!Loan_Amount*'Bank TL &amp; Int.'!Interest_Rate*'Bank TL &amp; Int.'!Loan_Years*'Bank TL &amp; Int.'!Loan_Start&gt;0,1,0)</definedName>
    <definedName name="Values_Entered" localSheetId="4">IF(Loan_Amount*Interest_Rate*Loan_Years*Loan_Start&gt;0,1,0)</definedName>
    <definedName name="Values_Entered" localSheetId="12">IF(Loan_Amount*Interest_Rate*Loan_Years*Loan_Start&gt;0,1,0)</definedName>
    <definedName name="Values_Entered" localSheetId="20">IF(Loan_Amount*Interest_Rate*Loan_Years*Loan_Start&gt;0,1,0)</definedName>
    <definedName name="Values_Entered" localSheetId="17">IF(Loan_Amount*Interest_Rate*Loan_Years*Loan_Start&gt;0,1,0)</definedName>
    <definedName name="Values_Entered" localSheetId="18">IF(Loan_Amount*Interest_Rate*Loan_Years*Loan_Start&gt;0,1,0)</definedName>
    <definedName name="Values_Entered" localSheetId="21">IF('Loans to staff'!Loan_Amount*'Loans to staff'!Interest_Rate*'Loans to staff'!Loan_Years*'Loans to staff'!Loan_Start&gt;0,1,0)</definedName>
    <definedName name="Values_Entered" localSheetId="19">IF(Loan_Amount*Interest_Rate*Loan_Years*Loan_Start&gt;0,1,0)</definedName>
    <definedName name="Values_Entered" localSheetId="29">IF('Unsecured Loan Int'!Loan_Amount*'Unsecured Loan Int'!Interest_Rate*'Unsecured Loan Int'!Loan_Years*'Unsecured Loan Int'!Loan_Start&gt;0,1,0)</definedName>
    <definedName name="Values_Entered">IF(Loan_Amount*Interest_Rate*Loan_Years*Loan_Start&gt;0,1,0)</definedName>
    <definedName name="Variance" localSheetId="11">#REF!</definedName>
    <definedName name="Variance" localSheetId="4">#REF!</definedName>
    <definedName name="Variance" localSheetId="12">#REF!</definedName>
    <definedName name="Variance" localSheetId="20">#REF!</definedName>
    <definedName name="Variance" localSheetId="17">#REF!</definedName>
    <definedName name="Variance" localSheetId="18">#REF!</definedName>
    <definedName name="Variance" localSheetId="19">#REF!</definedName>
    <definedName name="Variance">#REF!</definedName>
    <definedName name="VATQuarter" localSheetId="22">'[28]Company information'!#REF!</definedName>
    <definedName name="VATQuarter" localSheetId="28">'[28]Company information'!#REF!</definedName>
    <definedName name="VATQuarter" localSheetId="20">'[28]Company information'!#REF!</definedName>
    <definedName name="VATQuarter" localSheetId="21">'[28]Company information'!#REF!</definedName>
    <definedName name="VATQuarter" localSheetId="29">'[28]Company information'!#REF!</definedName>
    <definedName name="VATQuarter">'[28]Company information'!#REF!</definedName>
    <definedName name="vt_autohide">[25]Settings!$C$14</definedName>
    <definedName name="vt_comphidden">[25]Settings!$C$25</definedName>
    <definedName name="vt_showcontents">[25]Settings!$C$27</definedName>
    <definedName name="vt_versionid" localSheetId="22">[26]Settings!$C$16</definedName>
    <definedName name="vt_versionid" localSheetId="28">[26]Settings!$C$16</definedName>
    <definedName name="vt_versionid" localSheetId="21">[26]Settings!$C$16</definedName>
    <definedName name="vt_versionid" localSheetId="29">[26]Settings!$C$16</definedName>
    <definedName name="vt_versionid">[27]Settings!$C$16</definedName>
    <definedName name="vv" localSheetId="11" hidden="1">{#N/A,#N/A,TRUE,"Sheet1"}</definedName>
    <definedName name="vv" localSheetId="4" hidden="1">{#N/A,#N/A,TRUE,"Sheet1"}</definedName>
    <definedName name="vv" localSheetId="12" hidden="1">{#N/A,#N/A,TRUE,"Sheet1"}</definedName>
    <definedName name="vv" localSheetId="20" hidden="1">{#N/A,#N/A,TRUE,"Sheet1"}</definedName>
    <definedName name="vv" localSheetId="17" hidden="1">{#N/A,#N/A,TRUE,"Sheet1"}</definedName>
    <definedName name="vv" localSheetId="18" hidden="1">{#N/A,#N/A,TRUE,"Sheet1"}</definedName>
    <definedName name="vv" localSheetId="19" hidden="1">{#N/A,#N/A,TRUE,"Sheet1"}</definedName>
    <definedName name="vv" hidden="1">{#N/A,#N/A,TRUE,"Sheet1"}</definedName>
    <definedName name="vvvv" localSheetId="11">IF(Loan_Amount*Interest_Rate*Loan_Years*Loan_Start&gt;0,1,0)</definedName>
    <definedName name="vvvv" localSheetId="22">IF('Advance to Supplier'!Loan_Amount*'Advance to Supplier'!Interest_Rate*'Advance to Supplier'!Loan_Years*'Advance to Supplier'!Loan_Start&gt;0,1,0)</definedName>
    <definedName name="vvvv" localSheetId="28">IF('Bank TL &amp; Int.'!Loan_Amount*'Bank TL &amp; Int.'!Interest_Rate*'Bank TL &amp; Int.'!Loan_Years*'Bank TL &amp; Int.'!Loan_Start&gt;0,1,0)</definedName>
    <definedName name="vvvv" localSheetId="4">IF(Loan_Amount*Interest_Rate*Loan_Years*Loan_Start&gt;0,1,0)</definedName>
    <definedName name="vvvv" localSheetId="12">IF(Loan_Amount*Interest_Rate*Loan_Years*Loan_Start&gt;0,1,0)</definedName>
    <definedName name="vvvv" localSheetId="20">IF(Loan_Amount*Interest_Rate*Loan_Years*Loan_Start&gt;0,1,0)</definedName>
    <definedName name="vvvv" localSheetId="17">IF(Loan_Amount*Interest_Rate*Loan_Years*Loan_Start&gt;0,1,0)</definedName>
    <definedName name="vvvv" localSheetId="18">IF(Loan_Amount*Interest_Rate*Loan_Years*Loan_Start&gt;0,1,0)</definedName>
    <definedName name="vvvv" localSheetId="21">IF('Loans to staff'!Loan_Amount*'Loans to staff'!Interest_Rate*'Loans to staff'!Loan_Years*'Loans to staff'!Loan_Start&gt;0,1,0)</definedName>
    <definedName name="vvvv" localSheetId="19">IF(Loan_Amount*Interest_Rate*Loan_Years*Loan_Start&gt;0,1,0)</definedName>
    <definedName name="vvvv" localSheetId="29">IF('Unsecured Loan Int'!Loan_Amount*'Unsecured Loan Int'!Interest_Rate*'Unsecured Loan Int'!Loan_Years*'Unsecured Loan Int'!Loan_Start&gt;0,1,0)</definedName>
    <definedName name="vvvv">IF(Loan_Amount*Interest_Rate*Loan_Years*Loan_Start&gt;0,1,0)</definedName>
    <definedName name="w" localSheetId="11" hidden="1">'[61]TRIAL BALANCE'!#REF!</definedName>
    <definedName name="w" localSheetId="4" hidden="1">'[61]TRIAL BALANCE'!#REF!</definedName>
    <definedName name="w" localSheetId="12" hidden="1">'[61]TRIAL BALANCE'!#REF!</definedName>
    <definedName name="w" localSheetId="20" hidden="1">'[61]TRIAL BALANCE'!#REF!</definedName>
    <definedName name="w" localSheetId="17" hidden="1">'[61]TRIAL BALANCE'!#REF!</definedName>
    <definedName name="w" localSheetId="18" hidden="1">'[61]TRIAL BALANCE'!#REF!</definedName>
    <definedName name="w" localSheetId="19" hidden="1">'[61]TRIAL BALANCE'!#REF!</definedName>
    <definedName name="w" hidden="1">'[61]TRIAL BALANCE'!#REF!</definedName>
    <definedName name="WC" localSheetId="22">#REF!</definedName>
    <definedName name="WC" localSheetId="28">#REF!</definedName>
    <definedName name="WC" localSheetId="17">#REF!</definedName>
    <definedName name="WC" localSheetId="18">#REF!</definedName>
    <definedName name="WC" localSheetId="21">#REF!</definedName>
    <definedName name="WC" localSheetId="29">#REF!</definedName>
    <definedName name="WC">#REF!</definedName>
    <definedName name="WC_4" localSheetId="22">#REF!</definedName>
    <definedName name="WC_4" localSheetId="28">#REF!</definedName>
    <definedName name="WC_4" localSheetId="17">#REF!</definedName>
    <definedName name="WC_4" localSheetId="18">#REF!</definedName>
    <definedName name="WC_4" localSheetId="21">#REF!</definedName>
    <definedName name="WC_4" localSheetId="29">#REF!</definedName>
    <definedName name="WC_4">#REF!</definedName>
    <definedName name="WC_5" localSheetId="22">#REF!</definedName>
    <definedName name="WC_5" localSheetId="28">#REF!</definedName>
    <definedName name="WC_5" localSheetId="17">#REF!</definedName>
    <definedName name="WC_5" localSheetId="18">#REF!</definedName>
    <definedName name="WC_5" localSheetId="21">#REF!</definedName>
    <definedName name="WC_5" localSheetId="29">#REF!</definedName>
    <definedName name="WC_5">#REF!</definedName>
    <definedName name="WC_6" localSheetId="22">#REF!</definedName>
    <definedName name="WC_6" localSheetId="28">#REF!</definedName>
    <definedName name="WC_6" localSheetId="17">#REF!</definedName>
    <definedName name="WC_6" localSheetId="18">#REF!</definedName>
    <definedName name="WC_6" localSheetId="21">#REF!</definedName>
    <definedName name="WC_6" localSheetId="29">#REF!</definedName>
    <definedName name="WC_6">#REF!</definedName>
    <definedName name="WC_7" localSheetId="22">#REF!</definedName>
    <definedName name="WC_7" localSheetId="28">#REF!</definedName>
    <definedName name="WC_7" localSheetId="17">#REF!</definedName>
    <definedName name="WC_7" localSheetId="18">#REF!</definedName>
    <definedName name="WC_7" localSheetId="21">#REF!</definedName>
    <definedName name="WC_7" localSheetId="29">#REF!</definedName>
    <definedName name="WC_7">#REF!</definedName>
    <definedName name="WC_8" localSheetId="22">#REF!</definedName>
    <definedName name="WC_8" localSheetId="28">#REF!</definedName>
    <definedName name="WC_8" localSheetId="17">#REF!</definedName>
    <definedName name="WC_8" localSheetId="18">#REF!</definedName>
    <definedName name="WC_8" localSheetId="21">#REF!</definedName>
    <definedName name="WC_8" localSheetId="29">#REF!</definedName>
    <definedName name="WC_8">#REF!</definedName>
    <definedName name="Working">#REF!</definedName>
    <definedName name="wplbs">[1]wpl!$B$2:$H$82</definedName>
    <definedName name="wplpandl">[1]wpl!$B$87:$N$153</definedName>
    <definedName name="wplr1">[1]wpl!$B$176:$H$232</definedName>
    <definedName name="wplr2">[1]wpl!$B$236:$H$302</definedName>
    <definedName name="wplr3">[1]wpl!$B$331:$H$388</definedName>
    <definedName name="wrn.2." localSheetId="11" hidden="1">{#N/A,#N/A,TRUE,"Sheet1"}</definedName>
    <definedName name="wrn.2." localSheetId="4" hidden="1">{#N/A,#N/A,TRUE,"Sheet1"}</definedName>
    <definedName name="wrn.2." localSheetId="12" hidden="1">{#N/A,#N/A,TRUE,"Sheet1"}</definedName>
    <definedName name="wrn.2." localSheetId="20" hidden="1">{#N/A,#N/A,TRUE,"Sheet1"}</definedName>
    <definedName name="wrn.2." localSheetId="17" hidden="1">{#N/A,#N/A,TRUE,"Sheet1"}</definedName>
    <definedName name="wrn.2." localSheetId="18" hidden="1">{#N/A,#N/A,TRUE,"Sheet1"}</definedName>
    <definedName name="wrn.2." localSheetId="19" hidden="1">{#N/A,#N/A,TRUE,"Sheet1"}</definedName>
    <definedName name="wrn.2." hidden="1">{#N/A,#N/A,TRUE,"Sheet1"}</definedName>
    <definedName name="wrn.imprim." localSheetId="1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localSheetId="4"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localSheetId="12"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localSheetId="20"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localSheetId="17"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localSheetId="18"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localSheetId="19"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MDS1."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2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2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1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2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1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1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2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1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2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2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2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1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2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1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1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2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1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2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98." localSheetId="1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98." localSheetId="4"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98." localSheetId="12"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98." localSheetId="20"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98." localSheetId="17"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98." localSheetId="18"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98." localSheetId="19"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98."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tilbs">[1]wtil!$B$2:$H$82</definedName>
    <definedName name="wtilpandl">[1]wtil!$B$86:$N$152</definedName>
    <definedName name="wtilr1">[1]wtil!$B$174:$H$227</definedName>
    <definedName name="wtilr2">[1]wtil!$B$229:$H$286</definedName>
    <definedName name="wtilr3">[1]wtil!$B$291:$H$350</definedName>
    <definedName name="xx"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localSheetId="2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localSheetId="2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localSheetId="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localSheetId="1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localSheetId="2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localSheetId="1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localSheetId="1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localSheetId="2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localSheetId="1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localSheetId="2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localSheetId="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localSheetId="1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localSheetId="2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localSheetId="1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localSheetId="1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localSheetId="1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Year_Period" localSheetId="22">#REF!</definedName>
    <definedName name="Year_Period" localSheetId="28">#REF!</definedName>
    <definedName name="Year_Period" localSheetId="21">#REF!</definedName>
    <definedName name="Year_Period" localSheetId="29">#REF!</definedName>
    <definedName name="Year_Period">#REF!</definedName>
    <definedName name="yesno" localSheetId="22">#REF!</definedName>
    <definedName name="yesno" localSheetId="28">#REF!</definedName>
    <definedName name="yesno" localSheetId="21">#REF!</definedName>
    <definedName name="yesno" localSheetId="29">#REF!</definedName>
    <definedName name="yesno">#REF!</definedName>
    <definedName name="YesNoNA">[11]Sheet1!$A$1:$A$3</definedName>
    <definedName name="Z" localSheetId="22">[49]rough!#REF!</definedName>
    <definedName name="Z" localSheetId="28">[49]rough!#REF!</definedName>
    <definedName name="Z" localSheetId="17">[49]rough!#REF!</definedName>
    <definedName name="Z" localSheetId="18">[49]rough!#REF!</definedName>
    <definedName name="Z" localSheetId="21">[49]rough!#REF!</definedName>
    <definedName name="Z" localSheetId="29">[49]rough!#REF!</definedName>
    <definedName name="Z">[49]rough!#REF!</definedName>
    <definedName name="Z_1B1DBD0B_919D_490D_9900_670A1DB24C6B_.wvu.Cols" localSheetId="17" hidden="1">[62]Dep!$F$1:$F$65536,[62]Dep!$J$1:$K$65536</definedName>
    <definedName name="Z_1B1DBD0B_919D_490D_9900_670A1DB24C6B_.wvu.Cols" localSheetId="18" hidden="1">[62]Dep!$F$1:$F$65536,[62]Dep!$J$1:$K$65536</definedName>
    <definedName name="Z_1B1DBD0B_919D_490D_9900_670A1DB24C6B_.wvu.Cols" hidden="1">[63]Dep!$F$1:$F$65536,[63]Dep!$J$1:$K$65536</definedName>
    <definedName name="Z_1B1DBD0B_919D_490D_9900_670A1DB24C6B_.wvu.Rows" localSheetId="11" hidden="1">'[63]Ann A'!#REF!,'[63]Ann A'!#REF!,'[63]Ann A'!#REF!,'[63]Ann A'!#REF!,'[63]Ann A'!#REF!,'[63]Ann A'!#REF!</definedName>
    <definedName name="Z_1B1DBD0B_919D_490D_9900_670A1DB24C6B_.wvu.Rows" localSheetId="22" hidden="1">'[63]Ann A'!#REF!,'[63]Ann A'!#REF!,'[63]Ann A'!#REF!,'[63]Ann A'!#REF!,'[63]Ann A'!#REF!,'[63]Ann A'!#REF!</definedName>
    <definedName name="Z_1B1DBD0B_919D_490D_9900_670A1DB24C6B_.wvu.Rows" localSheetId="28" hidden="1">'[63]Ann A'!#REF!,'[63]Ann A'!#REF!,'[63]Ann A'!#REF!,'[63]Ann A'!#REF!,'[63]Ann A'!#REF!,'[63]Ann A'!#REF!</definedName>
    <definedName name="Z_1B1DBD0B_919D_490D_9900_670A1DB24C6B_.wvu.Rows" localSheetId="4" hidden="1">'[63]Ann A'!#REF!,'[63]Ann A'!#REF!,'[63]Ann A'!#REF!,'[63]Ann A'!#REF!,'[63]Ann A'!#REF!,'[63]Ann A'!#REF!</definedName>
    <definedName name="Z_1B1DBD0B_919D_490D_9900_670A1DB24C6B_.wvu.Rows" localSheetId="12" hidden="1">'[63]Ann A'!#REF!,'[63]Ann A'!#REF!,'[63]Ann A'!#REF!,'[63]Ann A'!#REF!,'[63]Ann A'!#REF!,'[63]Ann A'!#REF!</definedName>
    <definedName name="Z_1B1DBD0B_919D_490D_9900_670A1DB24C6B_.wvu.Rows" localSheetId="20" hidden="1">'[63]Ann A'!#REF!,'[63]Ann A'!#REF!,'[63]Ann A'!#REF!,'[63]Ann A'!#REF!,'[63]Ann A'!#REF!,'[63]Ann A'!#REF!</definedName>
    <definedName name="Z_1B1DBD0B_919D_490D_9900_670A1DB24C6B_.wvu.Rows" localSheetId="17" hidden="1">'[62]Ann A'!#REF!,'[62]Ann A'!#REF!,'[62]Ann A'!#REF!,'[62]Ann A'!#REF!,'[62]Ann A'!#REF!,'[62]Ann A'!#REF!</definedName>
    <definedName name="Z_1B1DBD0B_919D_490D_9900_670A1DB24C6B_.wvu.Rows" localSheetId="18" hidden="1">'[62]Ann A'!#REF!,'[62]Ann A'!#REF!,'[62]Ann A'!#REF!,'[62]Ann A'!#REF!,'[62]Ann A'!#REF!,'[62]Ann A'!#REF!</definedName>
    <definedName name="Z_1B1DBD0B_919D_490D_9900_670A1DB24C6B_.wvu.Rows" localSheetId="21" hidden="1">'[63]Ann A'!#REF!,'[63]Ann A'!#REF!,'[63]Ann A'!#REF!,'[63]Ann A'!#REF!,'[63]Ann A'!#REF!,'[63]Ann A'!#REF!</definedName>
    <definedName name="Z_1B1DBD0B_919D_490D_9900_670A1DB24C6B_.wvu.Rows" localSheetId="19" hidden="1">'[63]Ann A'!#REF!,'[63]Ann A'!#REF!,'[63]Ann A'!#REF!,'[63]Ann A'!#REF!,'[63]Ann A'!#REF!,'[63]Ann A'!#REF!</definedName>
    <definedName name="Z_1B1DBD0B_919D_490D_9900_670A1DB24C6B_.wvu.Rows" localSheetId="29" hidden="1">'[63]Ann A'!#REF!,'[63]Ann A'!#REF!,'[63]Ann A'!#REF!,'[63]Ann A'!#REF!,'[63]Ann A'!#REF!,'[63]Ann A'!#REF!</definedName>
    <definedName name="Z_1B1DBD0B_919D_490D_9900_670A1DB24C6B_.wvu.Rows" hidden="1">'[63]Ann A'!#REF!,'[63]Ann A'!#REF!,'[63]Ann A'!#REF!,'[63]Ann A'!#REF!,'[63]Ann A'!#REF!,'[63]Ann A'!#REF!</definedName>
    <definedName name="Z_25FB9C05_6AD3_4F17_B4E2_C500C61A1349_.wvu.PrintArea" localSheetId="11" hidden="1">#REF!</definedName>
    <definedName name="Z_25FB9C05_6AD3_4F17_B4E2_C500C61A1349_.wvu.PrintArea" localSheetId="4" hidden="1">#REF!</definedName>
    <definedName name="Z_25FB9C05_6AD3_4F17_B4E2_C500C61A1349_.wvu.PrintArea" localSheetId="12" hidden="1">#REF!</definedName>
    <definedName name="Z_25FB9C05_6AD3_4F17_B4E2_C500C61A1349_.wvu.PrintArea" localSheetId="20" hidden="1">#REF!</definedName>
    <definedName name="Z_25FB9C05_6AD3_4F17_B4E2_C500C61A1349_.wvu.PrintArea" localSheetId="17" hidden="1">#REF!</definedName>
    <definedName name="Z_25FB9C05_6AD3_4F17_B4E2_C500C61A1349_.wvu.PrintArea" localSheetId="18" hidden="1">#REF!</definedName>
    <definedName name="Z_25FB9C05_6AD3_4F17_B4E2_C500C61A1349_.wvu.PrintArea" localSheetId="19" hidden="1">#REF!</definedName>
    <definedName name="Z_25FB9C05_6AD3_4F17_B4E2_C500C61A1349_.wvu.PrintArea" hidden="1">#REF!</definedName>
    <definedName name="Z_25FB9C05_6AD3_4F17_B4E2_C500C61A1349_.wvu.Rows" localSheetId="11" hidden="1">#REF!</definedName>
    <definedName name="Z_25FB9C05_6AD3_4F17_B4E2_C500C61A1349_.wvu.Rows" localSheetId="4" hidden="1">#REF!</definedName>
    <definedName name="Z_25FB9C05_6AD3_4F17_B4E2_C500C61A1349_.wvu.Rows" localSheetId="12" hidden="1">#REF!</definedName>
    <definedName name="Z_25FB9C05_6AD3_4F17_B4E2_C500C61A1349_.wvu.Rows" localSheetId="20" hidden="1">#REF!</definedName>
    <definedName name="Z_25FB9C05_6AD3_4F17_B4E2_C500C61A1349_.wvu.Rows" localSheetId="17" hidden="1">#REF!</definedName>
    <definedName name="Z_25FB9C05_6AD3_4F17_B4E2_C500C61A1349_.wvu.Rows" localSheetId="18" hidden="1">#REF!</definedName>
    <definedName name="Z_25FB9C05_6AD3_4F17_B4E2_C500C61A1349_.wvu.Rows" localSheetId="19" hidden="1">#REF!</definedName>
    <definedName name="Z_25FB9C05_6AD3_4F17_B4E2_C500C61A1349_.wvu.Rows" hidden="1">#REF!</definedName>
    <definedName name="Z_334DC1DD_AD60_4D12_A532_9CEE6201A253_.wvu.Cols" localSheetId="4" hidden="1">'Cash Flow'!$D:$AU</definedName>
    <definedName name="Z_334DC1DD_AD60_4D12_A532_9CEE6201A253_.wvu.PrintArea" localSheetId="5" hidden="1">BSPL!$A$1:$I$982</definedName>
    <definedName name="Z_334DC1DD_AD60_4D12_A532_9CEE6201A253_.wvu.Rows" localSheetId="4" hidden="1">'Cash Flow'!$40:$43,'Cash Flow'!$48:$48</definedName>
    <definedName name="Z_476F5800_BE05_4E70_959A_43C436F3A307_.wvu.PrintArea" localSheetId="11" hidden="1">#REF!</definedName>
    <definedName name="Z_476F5800_BE05_4E70_959A_43C436F3A307_.wvu.PrintArea" localSheetId="4" hidden="1">#REF!</definedName>
    <definedName name="Z_476F5800_BE05_4E70_959A_43C436F3A307_.wvu.PrintArea" localSheetId="12" hidden="1">#REF!</definedName>
    <definedName name="Z_476F5800_BE05_4E70_959A_43C436F3A307_.wvu.PrintArea" localSheetId="20" hidden="1">#REF!</definedName>
    <definedName name="Z_476F5800_BE05_4E70_959A_43C436F3A307_.wvu.PrintArea" localSheetId="17" hidden="1">#REF!</definedName>
    <definedName name="Z_476F5800_BE05_4E70_959A_43C436F3A307_.wvu.PrintArea" localSheetId="18" hidden="1">#REF!</definedName>
    <definedName name="Z_476F5800_BE05_4E70_959A_43C436F3A307_.wvu.PrintArea" localSheetId="19" hidden="1">#REF!</definedName>
    <definedName name="Z_476F5800_BE05_4E70_959A_43C436F3A307_.wvu.PrintArea" hidden="1">#REF!</definedName>
    <definedName name="Z_476F5800_BE05_4E70_959A_43C436F3A307_.wvu.Rows" localSheetId="11" hidden="1">'[63]Ann A'!#REF!,'[63]Ann A'!#REF!</definedName>
    <definedName name="Z_476F5800_BE05_4E70_959A_43C436F3A307_.wvu.Rows" localSheetId="22" hidden="1">'[63]Ann A'!#REF!,'[63]Ann A'!#REF!</definedName>
    <definedName name="Z_476F5800_BE05_4E70_959A_43C436F3A307_.wvu.Rows" localSheetId="28" hidden="1">'[63]Ann A'!#REF!,'[63]Ann A'!#REF!</definedName>
    <definedName name="Z_476F5800_BE05_4E70_959A_43C436F3A307_.wvu.Rows" localSheetId="4" hidden="1">'[63]Ann A'!#REF!,'[63]Ann A'!#REF!</definedName>
    <definedName name="Z_476F5800_BE05_4E70_959A_43C436F3A307_.wvu.Rows" localSheetId="12" hidden="1">'[63]Ann A'!#REF!,'[63]Ann A'!#REF!</definedName>
    <definedName name="Z_476F5800_BE05_4E70_959A_43C436F3A307_.wvu.Rows" localSheetId="20" hidden="1">'[63]Ann A'!#REF!,'[63]Ann A'!#REF!</definedName>
    <definedName name="Z_476F5800_BE05_4E70_959A_43C436F3A307_.wvu.Rows" localSheetId="17" hidden="1">'[62]Ann A'!#REF!,'[62]Ann A'!#REF!</definedName>
    <definedName name="Z_476F5800_BE05_4E70_959A_43C436F3A307_.wvu.Rows" localSheetId="18" hidden="1">'[62]Ann A'!#REF!,'[62]Ann A'!#REF!</definedName>
    <definedName name="Z_476F5800_BE05_4E70_959A_43C436F3A307_.wvu.Rows" localSheetId="21" hidden="1">'[63]Ann A'!#REF!,'[63]Ann A'!#REF!</definedName>
    <definedName name="Z_476F5800_BE05_4E70_959A_43C436F3A307_.wvu.Rows" localSheetId="19" hidden="1">'[63]Ann A'!#REF!,'[63]Ann A'!#REF!</definedName>
    <definedName name="Z_476F5800_BE05_4E70_959A_43C436F3A307_.wvu.Rows" localSheetId="29" hidden="1">'[63]Ann A'!#REF!,'[63]Ann A'!#REF!</definedName>
    <definedName name="Z_476F5800_BE05_4E70_959A_43C436F3A307_.wvu.Rows" hidden="1">'[63]Ann A'!#REF!,'[63]Ann A'!#REF!</definedName>
    <definedName name="Z_68181020_4927_4299_A478_E9569D3AE9C1_.wvu.Cols" localSheetId="11" hidden="1">[63]COI!#REF!,[63]COI!#REF!</definedName>
    <definedName name="Z_68181020_4927_4299_A478_E9569D3AE9C1_.wvu.Cols" localSheetId="22" hidden="1">[63]COI!#REF!,[63]COI!#REF!</definedName>
    <definedName name="Z_68181020_4927_4299_A478_E9569D3AE9C1_.wvu.Cols" localSheetId="28" hidden="1">[63]COI!#REF!,[63]COI!#REF!</definedName>
    <definedName name="Z_68181020_4927_4299_A478_E9569D3AE9C1_.wvu.Cols" localSheetId="4" hidden="1">[63]COI!#REF!,[63]COI!#REF!</definedName>
    <definedName name="Z_68181020_4927_4299_A478_E9569D3AE9C1_.wvu.Cols" localSheetId="12" hidden="1">[63]COI!#REF!,[63]COI!#REF!</definedName>
    <definedName name="Z_68181020_4927_4299_A478_E9569D3AE9C1_.wvu.Cols" localSheetId="20" hidden="1">[63]COI!#REF!,[63]COI!#REF!</definedName>
    <definedName name="Z_68181020_4927_4299_A478_E9569D3AE9C1_.wvu.Cols" localSheetId="17" hidden="1">[62]COI!#REF!,[62]COI!#REF!</definedName>
    <definedName name="Z_68181020_4927_4299_A478_E9569D3AE9C1_.wvu.Cols" localSheetId="18" hidden="1">[62]COI!#REF!,[62]COI!#REF!</definedName>
    <definedName name="Z_68181020_4927_4299_A478_E9569D3AE9C1_.wvu.Cols" localSheetId="21" hidden="1">[63]COI!#REF!,[63]COI!#REF!</definedName>
    <definedName name="Z_68181020_4927_4299_A478_E9569D3AE9C1_.wvu.Cols" localSheetId="19" hidden="1">[63]COI!#REF!,[63]COI!#REF!</definedName>
    <definedName name="Z_68181020_4927_4299_A478_E9569D3AE9C1_.wvu.Cols" localSheetId="29" hidden="1">[63]COI!#REF!,[63]COI!#REF!</definedName>
    <definedName name="Z_68181020_4927_4299_A478_E9569D3AE9C1_.wvu.Cols" hidden="1">[63]COI!#REF!,[63]COI!#REF!</definedName>
    <definedName name="Z_68181020_4927_4299_A478_E9569D3AE9C1_.wvu.PrintArea" localSheetId="11" hidden="1">#REF!</definedName>
    <definedName name="Z_68181020_4927_4299_A478_E9569D3AE9C1_.wvu.PrintArea" localSheetId="4" hidden="1">#REF!</definedName>
    <definedName name="Z_68181020_4927_4299_A478_E9569D3AE9C1_.wvu.PrintArea" localSheetId="12" hidden="1">#REF!</definedName>
    <definedName name="Z_68181020_4927_4299_A478_E9569D3AE9C1_.wvu.PrintArea" localSheetId="20" hidden="1">#REF!</definedName>
    <definedName name="Z_68181020_4927_4299_A478_E9569D3AE9C1_.wvu.PrintArea" localSheetId="17" hidden="1">#REF!</definedName>
    <definedName name="Z_68181020_4927_4299_A478_E9569D3AE9C1_.wvu.PrintArea" localSheetId="18" hidden="1">#REF!</definedName>
    <definedName name="Z_68181020_4927_4299_A478_E9569D3AE9C1_.wvu.PrintArea" localSheetId="19" hidden="1">#REF!</definedName>
    <definedName name="Z_68181020_4927_4299_A478_E9569D3AE9C1_.wvu.PrintArea" hidden="1">#REF!</definedName>
    <definedName name="Z_68181020_4927_4299_A478_E9569D3AE9C1_.wvu.Rows" localSheetId="11" hidden="1">[63]COI!#REF!,[63]COI!#REF!,[63]COI!#REF!,[63]COI!#REF!,[63]COI!#REF!,[63]COI!$A$76:$IV$76,[63]COI!$A$78:$IV$92,[63]COI!$A$94:$IV$94,[63]COI!$A$178:$IV$178,[63]COI!$A$181:$IV$183,[63]COI!$A$192:$IV$192,[63]COI!$A$219:$IV$219</definedName>
    <definedName name="Z_68181020_4927_4299_A478_E9569D3AE9C1_.wvu.Rows" localSheetId="22" hidden="1">[63]COI!#REF!,[63]COI!#REF!,[63]COI!#REF!,[63]COI!#REF!,[63]COI!#REF!,[63]COI!$A$76:$IV$76,[63]COI!$A$78:$IV$92,[63]COI!$A$94:$IV$94,[63]COI!$A$178:$IV$178,[63]COI!$A$181:$IV$183,[63]COI!$A$192:$IV$192,[63]COI!$A$219:$IV$219</definedName>
    <definedName name="Z_68181020_4927_4299_A478_E9569D3AE9C1_.wvu.Rows" localSheetId="28" hidden="1">[63]COI!#REF!,[63]COI!#REF!,[63]COI!#REF!,[63]COI!#REF!,[63]COI!#REF!,[63]COI!$A$76:$IV$76,[63]COI!$A$78:$IV$92,[63]COI!$A$94:$IV$94,[63]COI!$A$178:$IV$178,[63]COI!$A$181:$IV$183,[63]COI!$A$192:$IV$192,[63]COI!$A$219:$IV$219</definedName>
    <definedName name="Z_68181020_4927_4299_A478_E9569D3AE9C1_.wvu.Rows" localSheetId="4" hidden="1">[63]COI!#REF!,[63]COI!#REF!,[63]COI!#REF!,[63]COI!#REF!,[63]COI!#REF!,[63]COI!$A$76:$IV$76,[63]COI!$A$78:$IV$92,[63]COI!$A$94:$IV$94,[63]COI!$A$178:$IV$178,[63]COI!$A$181:$IV$183,[63]COI!$A$192:$IV$192,[63]COI!$A$219:$IV$219</definedName>
    <definedName name="Z_68181020_4927_4299_A478_E9569D3AE9C1_.wvu.Rows" localSheetId="12" hidden="1">[63]COI!#REF!,[63]COI!#REF!,[63]COI!#REF!,[63]COI!#REF!,[63]COI!#REF!,[63]COI!$A$76:$IV$76,[63]COI!$A$78:$IV$92,[63]COI!$A$94:$IV$94,[63]COI!$A$178:$IV$178,[63]COI!$A$181:$IV$183,[63]COI!$A$192:$IV$192,[63]COI!$A$219:$IV$219</definedName>
    <definedName name="Z_68181020_4927_4299_A478_E9569D3AE9C1_.wvu.Rows" localSheetId="20" hidden="1">[63]COI!#REF!,[63]COI!#REF!,[63]COI!#REF!,[63]COI!#REF!,[63]COI!#REF!,[63]COI!$A$76:$IV$76,[63]COI!$A$78:$IV$92,[63]COI!$A$94:$IV$94,[63]COI!$A$178:$IV$178,[63]COI!$A$181:$IV$183,[63]COI!$A$192:$IV$192,[63]COI!$A$219:$IV$219</definedName>
    <definedName name="Z_68181020_4927_4299_A478_E9569D3AE9C1_.wvu.Rows" localSheetId="17" hidden="1">[62]COI!#REF!,[62]COI!#REF!,[62]COI!#REF!,[62]COI!#REF!,[62]COI!#REF!,[62]COI!$A$74:$IV$74,[62]COI!$A$76:$IV$90,[62]COI!$A$92:$IV$92,[62]COI!$A$176:$IV$176,[62]COI!$A$179:$IV$181,[62]COI!$A$190:$IV$190,[62]COI!$A$217:$IV$217</definedName>
    <definedName name="Z_68181020_4927_4299_A478_E9569D3AE9C1_.wvu.Rows" localSheetId="18" hidden="1">[62]COI!#REF!,[62]COI!#REF!,[62]COI!#REF!,[62]COI!#REF!,[62]COI!#REF!,[62]COI!$A$74:$IV$74,[62]COI!$A$76:$IV$90,[62]COI!$A$92:$IV$92,[62]COI!$A$176:$IV$176,[62]COI!$A$179:$IV$181,[62]COI!$A$190:$IV$190,[62]COI!$A$217:$IV$217</definedName>
    <definedName name="Z_68181020_4927_4299_A478_E9569D3AE9C1_.wvu.Rows" localSheetId="21" hidden="1">[63]COI!#REF!,[63]COI!#REF!,[63]COI!#REF!,[63]COI!#REF!,[63]COI!#REF!,[63]COI!$A$76:$IV$76,[63]COI!$A$78:$IV$92,[63]COI!$A$94:$IV$94,[63]COI!$A$178:$IV$178,[63]COI!$A$181:$IV$183,[63]COI!$A$192:$IV$192,[63]COI!$A$219:$IV$219</definedName>
    <definedName name="Z_68181020_4927_4299_A478_E9569D3AE9C1_.wvu.Rows" localSheetId="19" hidden="1">[63]COI!#REF!,[63]COI!#REF!,[63]COI!#REF!,[63]COI!#REF!,[63]COI!#REF!,[63]COI!$A$76:$IV$76,[63]COI!$A$78:$IV$92,[63]COI!$A$94:$IV$94,[63]COI!$A$178:$IV$178,[63]COI!$A$181:$IV$183,[63]COI!$A$192:$IV$192,[63]COI!$A$219:$IV$219</definedName>
    <definedName name="Z_68181020_4927_4299_A478_E9569D3AE9C1_.wvu.Rows" localSheetId="29" hidden="1">[63]COI!#REF!,[63]COI!#REF!,[63]COI!#REF!,[63]COI!#REF!,[63]COI!#REF!,[63]COI!$A$76:$IV$76,[63]COI!$A$78:$IV$92,[63]COI!$A$94:$IV$94,[63]COI!$A$178:$IV$178,[63]COI!$A$181:$IV$183,[63]COI!$A$192:$IV$192,[63]COI!$A$219:$IV$219</definedName>
    <definedName name="Z_68181020_4927_4299_A478_E9569D3AE9C1_.wvu.Rows" hidden="1">[63]COI!#REF!,[63]COI!#REF!,[63]COI!#REF!,[63]COI!#REF!,[63]COI!#REF!,[63]COI!$A$76:$IV$76,[63]COI!$A$78:$IV$92,[63]COI!$A$94:$IV$94,[63]COI!$A$178:$IV$178,[63]COI!$A$181:$IV$183,[63]COI!$A$192:$IV$192,[63]COI!$A$219:$IV$219</definedName>
    <definedName name="Z_6FC40E20_2DF7_11D6_B0CE_0050BF1228E5_.wvu.Rows" localSheetId="22" hidden="1">[63]Dep!#REF!</definedName>
    <definedName name="Z_6FC40E20_2DF7_11D6_B0CE_0050BF1228E5_.wvu.Rows" localSheetId="28" hidden="1">[63]Dep!#REF!</definedName>
    <definedName name="Z_6FC40E20_2DF7_11D6_B0CE_0050BF1228E5_.wvu.Rows" localSheetId="20" hidden="1">[63]Dep!#REF!</definedName>
    <definedName name="Z_6FC40E20_2DF7_11D6_B0CE_0050BF1228E5_.wvu.Rows" localSheetId="17" hidden="1">[62]Dep!#REF!</definedName>
    <definedName name="Z_6FC40E20_2DF7_11D6_B0CE_0050BF1228E5_.wvu.Rows" localSheetId="18" hidden="1">[62]Dep!#REF!</definedName>
    <definedName name="Z_6FC40E20_2DF7_11D6_B0CE_0050BF1228E5_.wvu.Rows" localSheetId="21" hidden="1">[63]Dep!#REF!</definedName>
    <definedName name="Z_6FC40E20_2DF7_11D6_B0CE_0050BF1228E5_.wvu.Rows" localSheetId="29" hidden="1">[63]Dep!#REF!</definedName>
    <definedName name="Z_6FC40E20_2DF7_11D6_B0CE_0050BF1228E5_.wvu.Rows" hidden="1">[63]Dep!#REF!</definedName>
    <definedName name="Z_70BF2801_4F4E_4848_9CCA_A6AE52CF77AE_.wvu.Cols" localSheetId="22" hidden="1">#REF!</definedName>
    <definedName name="Z_70BF2801_4F4E_4848_9CCA_A6AE52CF77AE_.wvu.Cols" localSheetId="28" hidden="1">#REF!</definedName>
    <definedName name="Z_70BF2801_4F4E_4848_9CCA_A6AE52CF77AE_.wvu.Cols" localSheetId="17" hidden="1">#REF!</definedName>
    <definedName name="Z_70BF2801_4F4E_4848_9CCA_A6AE52CF77AE_.wvu.Cols" localSheetId="18" hidden="1">#REF!</definedName>
    <definedName name="Z_70BF2801_4F4E_4848_9CCA_A6AE52CF77AE_.wvu.Cols" localSheetId="21" hidden="1">#REF!</definedName>
    <definedName name="Z_70BF2801_4F4E_4848_9CCA_A6AE52CF77AE_.wvu.Cols" localSheetId="29" hidden="1">#REF!</definedName>
    <definedName name="Z_70BF2801_4F4E_4848_9CCA_A6AE52CF77AE_.wvu.Cols" hidden="1">#REF!</definedName>
    <definedName name="Z_70BF2801_4F4E_4848_9CCA_A6AE52CF77AE_.wvu.PrintArea" localSheetId="22" hidden="1">#REF!</definedName>
    <definedName name="Z_70BF2801_4F4E_4848_9CCA_A6AE52CF77AE_.wvu.PrintArea" localSheetId="28" hidden="1">#REF!</definedName>
    <definedName name="Z_70BF2801_4F4E_4848_9CCA_A6AE52CF77AE_.wvu.PrintArea" localSheetId="17" hidden="1">#REF!</definedName>
    <definedName name="Z_70BF2801_4F4E_4848_9CCA_A6AE52CF77AE_.wvu.PrintArea" localSheetId="18" hidden="1">#REF!</definedName>
    <definedName name="Z_70BF2801_4F4E_4848_9CCA_A6AE52CF77AE_.wvu.PrintArea" localSheetId="21" hidden="1">#REF!</definedName>
    <definedName name="Z_70BF2801_4F4E_4848_9CCA_A6AE52CF77AE_.wvu.PrintArea" localSheetId="29" hidden="1">#REF!</definedName>
    <definedName name="Z_70BF2801_4F4E_4848_9CCA_A6AE52CF77AE_.wvu.PrintArea" hidden="1">#REF!</definedName>
    <definedName name="Z_70BF2801_4F4E_4848_9CCA_A6AE52CF77AE_.wvu.Rows" localSheetId="11" hidden="1">#REF!,#REF!,#REF!,#REF!,#REF!,#REF!,#REF!,#REF!</definedName>
    <definedName name="Z_70BF2801_4F4E_4848_9CCA_A6AE52CF77AE_.wvu.Rows" localSheetId="22" hidden="1">#REF!,#REF!,#REF!,#REF!,#REF!,#REF!,#REF!,#REF!</definedName>
    <definedName name="Z_70BF2801_4F4E_4848_9CCA_A6AE52CF77AE_.wvu.Rows" localSheetId="28" hidden="1">#REF!,#REF!,#REF!,#REF!,#REF!,#REF!,#REF!,#REF!</definedName>
    <definedName name="Z_70BF2801_4F4E_4848_9CCA_A6AE52CF77AE_.wvu.Rows" localSheetId="4" hidden="1">#REF!,#REF!,#REF!,#REF!,#REF!,#REF!,#REF!,#REF!</definedName>
    <definedName name="Z_70BF2801_4F4E_4848_9CCA_A6AE52CF77AE_.wvu.Rows" localSheetId="12" hidden="1">#REF!,#REF!,#REF!,#REF!,#REF!,#REF!,#REF!,#REF!</definedName>
    <definedName name="Z_70BF2801_4F4E_4848_9CCA_A6AE52CF77AE_.wvu.Rows" localSheetId="20" hidden="1">#REF!,#REF!,#REF!,#REF!,#REF!,#REF!,#REF!,#REF!</definedName>
    <definedName name="Z_70BF2801_4F4E_4848_9CCA_A6AE52CF77AE_.wvu.Rows" localSheetId="17" hidden="1">[62]BS!#REF!,[62]BS!#REF!,[62]BS!#REF!,[62]BS!#REF!,[62]BS!#REF!,[62]BS!#REF!,[62]BS!#REF!,[62]BS!$A$1893:$IV$1904</definedName>
    <definedName name="Z_70BF2801_4F4E_4848_9CCA_A6AE52CF77AE_.wvu.Rows" localSheetId="18" hidden="1">[62]BS!#REF!,[62]BS!#REF!,[62]BS!#REF!,[62]BS!#REF!,[62]BS!#REF!,[62]BS!#REF!,[62]BS!#REF!,[62]BS!$A$1893:$IV$1904</definedName>
    <definedName name="Z_70BF2801_4F4E_4848_9CCA_A6AE52CF77AE_.wvu.Rows" localSheetId="21" hidden="1">#REF!,#REF!,#REF!,#REF!,#REF!,#REF!,#REF!,#REF!</definedName>
    <definedName name="Z_70BF2801_4F4E_4848_9CCA_A6AE52CF77AE_.wvu.Rows" localSheetId="19" hidden="1">#REF!,#REF!,#REF!,#REF!,#REF!,#REF!,#REF!,#REF!</definedName>
    <definedName name="Z_70BF2801_4F4E_4848_9CCA_A6AE52CF77AE_.wvu.Rows" localSheetId="29" hidden="1">#REF!,#REF!,#REF!,#REF!,#REF!,#REF!,#REF!,#REF!</definedName>
    <definedName name="Z_70BF2801_4F4E_4848_9CCA_A6AE52CF77AE_.wvu.Rows" hidden="1">#REF!,#REF!,#REF!,#REF!,#REF!,#REF!,#REF!,#REF!</definedName>
    <definedName name="Z_759827BE_126A_4DA8_9A48_C087589A2891_.wvu.Cols" localSheetId="11" hidden="1">[63]COI!#REF!,[63]COI!#REF!</definedName>
    <definedName name="Z_759827BE_126A_4DA8_9A48_C087589A2891_.wvu.Cols" localSheetId="22" hidden="1">[63]COI!#REF!,[63]COI!#REF!</definedName>
    <definedName name="Z_759827BE_126A_4DA8_9A48_C087589A2891_.wvu.Cols" localSheetId="28" hidden="1">[63]COI!#REF!,[63]COI!#REF!</definedName>
    <definedName name="Z_759827BE_126A_4DA8_9A48_C087589A2891_.wvu.Cols" localSheetId="4" hidden="1">[63]COI!#REF!,[63]COI!#REF!</definedName>
    <definedName name="Z_759827BE_126A_4DA8_9A48_C087589A2891_.wvu.Cols" localSheetId="12" hidden="1">[63]COI!#REF!,[63]COI!#REF!</definedName>
    <definedName name="Z_759827BE_126A_4DA8_9A48_C087589A2891_.wvu.Cols" localSheetId="20" hidden="1">[63]COI!#REF!,[63]COI!#REF!</definedName>
    <definedName name="Z_759827BE_126A_4DA8_9A48_C087589A2891_.wvu.Cols" localSheetId="17" hidden="1">[62]COI!#REF!,[62]COI!#REF!</definedName>
    <definedName name="Z_759827BE_126A_4DA8_9A48_C087589A2891_.wvu.Cols" localSheetId="18" hidden="1">[62]COI!#REF!,[62]COI!#REF!</definedName>
    <definedName name="Z_759827BE_126A_4DA8_9A48_C087589A2891_.wvu.Cols" localSheetId="21" hidden="1">[63]COI!#REF!,[63]COI!#REF!</definedName>
    <definedName name="Z_759827BE_126A_4DA8_9A48_C087589A2891_.wvu.Cols" localSheetId="19" hidden="1">[63]COI!#REF!,[63]COI!#REF!</definedName>
    <definedName name="Z_759827BE_126A_4DA8_9A48_C087589A2891_.wvu.Cols" localSheetId="29" hidden="1">[63]COI!#REF!,[63]COI!#REF!</definedName>
    <definedName name="Z_759827BE_126A_4DA8_9A48_C087589A2891_.wvu.Cols" hidden="1">[63]COI!#REF!,[63]COI!#REF!</definedName>
    <definedName name="Z_759827BE_126A_4DA8_9A48_C087589A2891_.wvu.PrintArea" localSheetId="11" hidden="1">#REF!</definedName>
    <definedName name="Z_759827BE_126A_4DA8_9A48_C087589A2891_.wvu.PrintArea" localSheetId="4" hidden="1">#REF!</definedName>
    <definedName name="Z_759827BE_126A_4DA8_9A48_C087589A2891_.wvu.PrintArea" localSheetId="12" hidden="1">#REF!</definedName>
    <definedName name="Z_759827BE_126A_4DA8_9A48_C087589A2891_.wvu.PrintArea" localSheetId="20" hidden="1">#REF!</definedName>
    <definedName name="Z_759827BE_126A_4DA8_9A48_C087589A2891_.wvu.PrintArea" localSheetId="17" hidden="1">#REF!</definedName>
    <definedName name="Z_759827BE_126A_4DA8_9A48_C087589A2891_.wvu.PrintArea" localSheetId="18" hidden="1">#REF!</definedName>
    <definedName name="Z_759827BE_126A_4DA8_9A48_C087589A2891_.wvu.PrintArea" localSheetId="19" hidden="1">#REF!</definedName>
    <definedName name="Z_759827BE_126A_4DA8_9A48_C087589A2891_.wvu.PrintArea" hidden="1">#REF!</definedName>
    <definedName name="Z_759827BE_126A_4DA8_9A48_C087589A2891_.wvu.Rows" localSheetId="11" hidden="1">[63]COI!#REF!,[63]COI!#REF!,[63]COI!#REF!,[63]COI!#REF!,[63]COI!$A$76:$IV$76,[63]COI!#REF!,[63]COI!#REF!,[63]COI!$A$94:$IV$94,[63]COI!$A$178:$IV$178,[63]COI!$A$181:$IV$183,[63]COI!$A$192:$IV$192,[63]COI!$A$219:$IV$219</definedName>
    <definedName name="Z_759827BE_126A_4DA8_9A48_C087589A2891_.wvu.Rows" localSheetId="22" hidden="1">[63]COI!#REF!,[63]COI!#REF!,[63]COI!#REF!,[63]COI!#REF!,[63]COI!$A$76:$IV$76,[63]COI!#REF!,[63]COI!#REF!,[63]COI!$A$94:$IV$94,[63]COI!$A$178:$IV$178,[63]COI!$A$181:$IV$183,[63]COI!$A$192:$IV$192,[63]COI!$A$219:$IV$219</definedName>
    <definedName name="Z_759827BE_126A_4DA8_9A48_C087589A2891_.wvu.Rows" localSheetId="28" hidden="1">[63]COI!#REF!,[63]COI!#REF!,[63]COI!#REF!,[63]COI!#REF!,[63]COI!$A$76:$IV$76,[63]COI!#REF!,[63]COI!#REF!,[63]COI!$A$94:$IV$94,[63]COI!$A$178:$IV$178,[63]COI!$A$181:$IV$183,[63]COI!$A$192:$IV$192,[63]COI!$A$219:$IV$219</definedName>
    <definedName name="Z_759827BE_126A_4DA8_9A48_C087589A2891_.wvu.Rows" localSheetId="4" hidden="1">[63]COI!#REF!,[63]COI!#REF!,[63]COI!#REF!,[63]COI!#REF!,[63]COI!$A$76:$IV$76,[63]COI!#REF!,[63]COI!#REF!,[63]COI!$A$94:$IV$94,[63]COI!$A$178:$IV$178,[63]COI!$A$181:$IV$183,[63]COI!$A$192:$IV$192,[63]COI!$A$219:$IV$219</definedName>
    <definedName name="Z_759827BE_126A_4DA8_9A48_C087589A2891_.wvu.Rows" localSheetId="12" hidden="1">[63]COI!#REF!,[63]COI!#REF!,[63]COI!#REF!,[63]COI!#REF!,[63]COI!$A$76:$IV$76,[63]COI!#REF!,[63]COI!#REF!,[63]COI!$A$94:$IV$94,[63]COI!$A$178:$IV$178,[63]COI!$A$181:$IV$183,[63]COI!$A$192:$IV$192,[63]COI!$A$219:$IV$219</definedName>
    <definedName name="Z_759827BE_126A_4DA8_9A48_C087589A2891_.wvu.Rows" localSheetId="20" hidden="1">[63]COI!#REF!,[63]COI!#REF!,[63]COI!#REF!,[63]COI!#REF!,[63]COI!$A$76:$IV$76,[63]COI!#REF!,[63]COI!#REF!,[63]COI!$A$94:$IV$94,[63]COI!$A$178:$IV$178,[63]COI!$A$181:$IV$183,[63]COI!$A$192:$IV$192,[63]COI!$A$219:$IV$219</definedName>
    <definedName name="Z_759827BE_126A_4DA8_9A48_C087589A2891_.wvu.Rows" localSheetId="17" hidden="1">[62]COI!#REF!,[62]COI!#REF!,[62]COI!#REF!,[62]COI!#REF!,[62]COI!$A$74:$IV$74,[62]COI!#REF!,[62]COI!#REF!,[62]COI!$A$92:$IV$92,[62]COI!$A$176:$IV$176,[62]COI!$A$179:$IV$181,[62]COI!$A$190:$IV$190,[62]COI!$A$217:$IV$217</definedName>
    <definedName name="Z_759827BE_126A_4DA8_9A48_C087589A2891_.wvu.Rows" localSheetId="18" hidden="1">[62]COI!#REF!,[62]COI!#REF!,[62]COI!#REF!,[62]COI!#REF!,[62]COI!$A$74:$IV$74,[62]COI!#REF!,[62]COI!#REF!,[62]COI!$A$92:$IV$92,[62]COI!$A$176:$IV$176,[62]COI!$A$179:$IV$181,[62]COI!$A$190:$IV$190,[62]COI!$A$217:$IV$217</definedName>
    <definedName name="Z_759827BE_126A_4DA8_9A48_C087589A2891_.wvu.Rows" localSheetId="21" hidden="1">[63]COI!#REF!,[63]COI!#REF!,[63]COI!#REF!,[63]COI!#REF!,[63]COI!$A$76:$IV$76,[63]COI!#REF!,[63]COI!#REF!,[63]COI!$A$94:$IV$94,[63]COI!$A$178:$IV$178,[63]COI!$A$181:$IV$183,[63]COI!$A$192:$IV$192,[63]COI!$A$219:$IV$219</definedName>
    <definedName name="Z_759827BE_126A_4DA8_9A48_C087589A2891_.wvu.Rows" localSheetId="19" hidden="1">[63]COI!#REF!,[63]COI!#REF!,[63]COI!#REF!,[63]COI!#REF!,[63]COI!$A$76:$IV$76,[63]COI!#REF!,[63]COI!#REF!,[63]COI!$A$94:$IV$94,[63]COI!$A$178:$IV$178,[63]COI!$A$181:$IV$183,[63]COI!$A$192:$IV$192,[63]COI!$A$219:$IV$219</definedName>
    <definedName name="Z_759827BE_126A_4DA8_9A48_C087589A2891_.wvu.Rows" localSheetId="29" hidden="1">[63]COI!#REF!,[63]COI!#REF!,[63]COI!#REF!,[63]COI!#REF!,[63]COI!$A$76:$IV$76,[63]COI!#REF!,[63]COI!#REF!,[63]COI!$A$94:$IV$94,[63]COI!$A$178:$IV$178,[63]COI!$A$181:$IV$183,[63]COI!$A$192:$IV$192,[63]COI!$A$219:$IV$219</definedName>
    <definedName name="Z_759827BE_126A_4DA8_9A48_C087589A2891_.wvu.Rows" hidden="1">[63]COI!#REF!,[63]COI!#REF!,[63]COI!#REF!,[63]COI!#REF!,[63]COI!$A$76:$IV$76,[63]COI!#REF!,[63]COI!#REF!,[63]COI!$A$94:$IV$94,[63]COI!$A$178:$IV$178,[63]COI!$A$181:$IV$183,[63]COI!$A$192:$IV$192,[63]COI!$A$219:$IV$219</definedName>
    <definedName name="Z_76854680_FF75_11D5_90E8_0080AD1B77C1_.wvu.Cols" localSheetId="11" hidden="1">#REF!</definedName>
    <definedName name="Z_76854680_FF75_11D5_90E8_0080AD1B77C1_.wvu.Cols" localSheetId="4" hidden="1">#REF!</definedName>
    <definedName name="Z_76854680_FF75_11D5_90E8_0080AD1B77C1_.wvu.Cols" localSheetId="12" hidden="1">#REF!</definedName>
    <definedName name="Z_76854680_FF75_11D5_90E8_0080AD1B77C1_.wvu.Cols" localSheetId="20" hidden="1">#REF!</definedName>
    <definedName name="Z_76854680_FF75_11D5_90E8_0080AD1B77C1_.wvu.Cols" localSheetId="17" hidden="1">#REF!</definedName>
    <definedName name="Z_76854680_FF75_11D5_90E8_0080AD1B77C1_.wvu.Cols" localSheetId="18" hidden="1">#REF!</definedName>
    <definedName name="Z_76854680_FF75_11D5_90E8_0080AD1B77C1_.wvu.Cols" localSheetId="19" hidden="1">#REF!</definedName>
    <definedName name="Z_76854680_FF75_11D5_90E8_0080AD1B77C1_.wvu.Cols" hidden="1">#REF!</definedName>
    <definedName name="Z_76854680_FF75_11D5_90E8_0080AD1B77C1_.wvu.PrintArea" localSheetId="11" hidden="1">#REF!</definedName>
    <definedName name="Z_76854680_FF75_11D5_90E8_0080AD1B77C1_.wvu.PrintArea" localSheetId="4" hidden="1">#REF!</definedName>
    <definedName name="Z_76854680_FF75_11D5_90E8_0080AD1B77C1_.wvu.PrintArea" localSheetId="12" hidden="1">#REF!</definedName>
    <definedName name="Z_76854680_FF75_11D5_90E8_0080AD1B77C1_.wvu.PrintArea" localSheetId="20" hidden="1">#REF!</definedName>
    <definedName name="Z_76854680_FF75_11D5_90E8_0080AD1B77C1_.wvu.PrintArea" localSheetId="17" hidden="1">#REF!</definedName>
    <definedName name="Z_76854680_FF75_11D5_90E8_0080AD1B77C1_.wvu.PrintArea" localSheetId="18" hidden="1">#REF!</definedName>
    <definedName name="Z_76854680_FF75_11D5_90E8_0080AD1B77C1_.wvu.PrintArea" localSheetId="19" hidden="1">#REF!</definedName>
    <definedName name="Z_76854680_FF75_11D5_90E8_0080AD1B77C1_.wvu.PrintArea" hidden="1">#REF!</definedName>
    <definedName name="Z_76854680_FF75_11D5_90E8_0080AD1B77C1_.wvu.Rows" localSheetId="11" hidden="1">[63]Dep!#REF!,[63]Dep!#REF!,[63]Dep!#REF!</definedName>
    <definedName name="Z_76854680_FF75_11D5_90E8_0080AD1B77C1_.wvu.Rows" localSheetId="22" hidden="1">[63]Dep!#REF!,[63]Dep!#REF!,[63]Dep!#REF!</definedName>
    <definedName name="Z_76854680_FF75_11D5_90E8_0080AD1B77C1_.wvu.Rows" localSheetId="28" hidden="1">[63]Dep!#REF!,[63]Dep!#REF!,[63]Dep!#REF!</definedName>
    <definedName name="Z_76854680_FF75_11D5_90E8_0080AD1B77C1_.wvu.Rows" localSheetId="4" hidden="1">[63]Dep!#REF!,[63]Dep!#REF!,[63]Dep!#REF!</definedName>
    <definedName name="Z_76854680_FF75_11D5_90E8_0080AD1B77C1_.wvu.Rows" localSheetId="12" hidden="1">[63]Dep!#REF!,[63]Dep!#REF!,[63]Dep!#REF!</definedName>
    <definedName name="Z_76854680_FF75_11D5_90E8_0080AD1B77C1_.wvu.Rows" localSheetId="20" hidden="1">[63]Dep!#REF!,[63]Dep!#REF!,[63]Dep!#REF!</definedName>
    <definedName name="Z_76854680_FF75_11D5_90E8_0080AD1B77C1_.wvu.Rows" localSheetId="17" hidden="1">[62]Dep!#REF!,[62]Dep!#REF!,[62]Dep!#REF!</definedName>
    <definedName name="Z_76854680_FF75_11D5_90E8_0080AD1B77C1_.wvu.Rows" localSheetId="18" hidden="1">[62]Dep!#REF!,[62]Dep!#REF!,[62]Dep!#REF!</definedName>
    <definedName name="Z_76854680_FF75_11D5_90E8_0080AD1B77C1_.wvu.Rows" localSheetId="21" hidden="1">[63]Dep!#REF!,[63]Dep!#REF!,[63]Dep!#REF!</definedName>
    <definedName name="Z_76854680_FF75_11D5_90E8_0080AD1B77C1_.wvu.Rows" localSheetId="19" hidden="1">[63]Dep!#REF!,[63]Dep!#REF!,[63]Dep!#REF!</definedName>
    <definedName name="Z_76854680_FF75_11D5_90E8_0080AD1B77C1_.wvu.Rows" localSheetId="29" hidden="1">[63]Dep!#REF!,[63]Dep!#REF!,[63]Dep!#REF!</definedName>
    <definedName name="Z_76854680_FF75_11D5_90E8_0080AD1B77C1_.wvu.Rows" hidden="1">[63]Dep!#REF!,[63]Dep!#REF!,[63]Dep!#REF!</definedName>
    <definedName name="Z_81B49422_B94B_11D7_8BE4_000795ABF7ED_.wvu.FilterData" localSheetId="22" hidden="1">#REF!</definedName>
    <definedName name="Z_81B49422_B94B_11D7_8BE4_000795ABF7ED_.wvu.FilterData" localSheetId="28" hidden="1">#REF!</definedName>
    <definedName name="Z_81B49422_B94B_11D7_8BE4_000795ABF7ED_.wvu.FilterData" localSheetId="17" hidden="1">#REF!</definedName>
    <definedName name="Z_81B49422_B94B_11D7_8BE4_000795ABF7ED_.wvu.FilterData" localSheetId="18" hidden="1">#REF!</definedName>
    <definedName name="Z_81B49422_B94B_11D7_8BE4_000795ABF7ED_.wvu.FilterData" localSheetId="21" hidden="1">#REF!</definedName>
    <definedName name="Z_81B49422_B94B_11D7_8BE4_000795ABF7ED_.wvu.FilterData" localSheetId="29" hidden="1">#REF!</definedName>
    <definedName name="Z_81B49422_B94B_11D7_8BE4_000795ABF7ED_.wvu.FilterData" hidden="1">#REF!</definedName>
    <definedName name="Z_858DCAAA_6791_11D7_9DB9_0008A14364AB_.wvu.Rows" localSheetId="11" hidden="1">[63]Dep!#REF!,[63]Dep!#REF!</definedName>
    <definedName name="Z_858DCAAA_6791_11D7_9DB9_0008A14364AB_.wvu.Rows" localSheetId="22" hidden="1">[63]Dep!#REF!,[63]Dep!#REF!</definedName>
    <definedName name="Z_858DCAAA_6791_11D7_9DB9_0008A14364AB_.wvu.Rows" localSheetId="28" hidden="1">[63]Dep!#REF!,[63]Dep!#REF!</definedName>
    <definedName name="Z_858DCAAA_6791_11D7_9DB9_0008A14364AB_.wvu.Rows" localSheetId="4" hidden="1">[63]Dep!#REF!,[63]Dep!#REF!</definedName>
    <definedName name="Z_858DCAAA_6791_11D7_9DB9_0008A14364AB_.wvu.Rows" localSheetId="12" hidden="1">[63]Dep!#REF!,[63]Dep!#REF!</definedName>
    <definedName name="Z_858DCAAA_6791_11D7_9DB9_0008A14364AB_.wvu.Rows" localSheetId="20" hidden="1">[63]Dep!#REF!,[63]Dep!#REF!</definedName>
    <definedName name="Z_858DCAAA_6791_11D7_9DB9_0008A14364AB_.wvu.Rows" localSheetId="17" hidden="1">[62]Dep!#REF!,[62]Dep!#REF!</definedName>
    <definedName name="Z_858DCAAA_6791_11D7_9DB9_0008A14364AB_.wvu.Rows" localSheetId="18" hidden="1">[62]Dep!#REF!,[62]Dep!#REF!</definedName>
    <definedName name="Z_858DCAAA_6791_11D7_9DB9_0008A14364AB_.wvu.Rows" localSheetId="21" hidden="1">[63]Dep!#REF!,[63]Dep!#REF!</definedName>
    <definedName name="Z_858DCAAA_6791_11D7_9DB9_0008A14364AB_.wvu.Rows" localSheetId="19" hidden="1">[63]Dep!#REF!,[63]Dep!#REF!</definedName>
    <definedName name="Z_858DCAAA_6791_11D7_9DB9_0008A14364AB_.wvu.Rows" localSheetId="29" hidden="1">[63]Dep!#REF!,[63]Dep!#REF!</definedName>
    <definedName name="Z_858DCAAA_6791_11D7_9DB9_0008A14364AB_.wvu.Rows" hidden="1">[63]Dep!#REF!,[63]Dep!#REF!</definedName>
    <definedName name="Z_85B100BE_7668_4BC6_8768_B14514E80945_.wvu.PrintArea" localSheetId="11" hidden="1">#REF!</definedName>
    <definedName name="Z_85B100BE_7668_4BC6_8768_B14514E80945_.wvu.PrintArea" localSheetId="4" hidden="1">#REF!</definedName>
    <definedName name="Z_85B100BE_7668_4BC6_8768_B14514E80945_.wvu.PrintArea" localSheetId="12" hidden="1">#REF!</definedName>
    <definedName name="Z_85B100BE_7668_4BC6_8768_B14514E80945_.wvu.PrintArea" localSheetId="20" hidden="1">#REF!</definedName>
    <definedName name="Z_85B100BE_7668_4BC6_8768_B14514E80945_.wvu.PrintArea" localSheetId="17" hidden="1">#REF!</definedName>
    <definedName name="Z_85B100BE_7668_4BC6_8768_B14514E80945_.wvu.PrintArea" localSheetId="18" hidden="1">#REF!</definedName>
    <definedName name="Z_85B100BE_7668_4BC6_8768_B14514E80945_.wvu.PrintArea" localSheetId="19" hidden="1">#REF!</definedName>
    <definedName name="Z_85B100BE_7668_4BC6_8768_B14514E80945_.wvu.PrintArea" hidden="1">#REF!</definedName>
    <definedName name="Z_85B100BE_7668_4BC6_8768_B14514E80945_.wvu.Rows" localSheetId="11" hidden="1">#REF!</definedName>
    <definedName name="Z_85B100BE_7668_4BC6_8768_B14514E80945_.wvu.Rows" localSheetId="4" hidden="1">#REF!</definedName>
    <definedName name="Z_85B100BE_7668_4BC6_8768_B14514E80945_.wvu.Rows" localSheetId="12" hidden="1">#REF!</definedName>
    <definedName name="Z_85B100BE_7668_4BC6_8768_B14514E80945_.wvu.Rows" localSheetId="20" hidden="1">#REF!</definedName>
    <definedName name="Z_85B100BE_7668_4BC6_8768_B14514E80945_.wvu.Rows" localSheetId="17" hidden="1">#REF!</definedName>
    <definedName name="Z_85B100BE_7668_4BC6_8768_B14514E80945_.wvu.Rows" localSheetId="18" hidden="1">#REF!</definedName>
    <definedName name="Z_85B100BE_7668_4BC6_8768_B14514E80945_.wvu.Rows" localSheetId="19" hidden="1">#REF!</definedName>
    <definedName name="Z_85B100BE_7668_4BC6_8768_B14514E80945_.wvu.Rows" hidden="1">#REF!</definedName>
    <definedName name="Z_873913D5_4C6D_4AAA_9858_E398AB45C5D4_.wvu.FilterData" localSheetId="11" hidden="1">#REF!</definedName>
    <definedName name="Z_873913D5_4C6D_4AAA_9858_E398AB45C5D4_.wvu.FilterData" localSheetId="22" hidden="1">#REF!</definedName>
    <definedName name="Z_873913D5_4C6D_4AAA_9858_E398AB45C5D4_.wvu.FilterData" localSheetId="28" hidden="1">#REF!</definedName>
    <definedName name="Z_873913D5_4C6D_4AAA_9858_E398AB45C5D4_.wvu.FilterData" localSheetId="4" hidden="1">#REF!</definedName>
    <definedName name="Z_873913D5_4C6D_4AAA_9858_E398AB45C5D4_.wvu.FilterData" localSheetId="12" hidden="1">#REF!</definedName>
    <definedName name="Z_873913D5_4C6D_4AAA_9858_E398AB45C5D4_.wvu.FilterData" localSheetId="20" hidden="1">#REF!</definedName>
    <definedName name="Z_873913D5_4C6D_4AAA_9858_E398AB45C5D4_.wvu.FilterData" localSheetId="17" hidden="1">[62]BS!#REF!</definedName>
    <definedName name="Z_873913D5_4C6D_4AAA_9858_E398AB45C5D4_.wvu.FilterData" localSheetId="18" hidden="1">[62]BS!#REF!</definedName>
    <definedName name="Z_873913D5_4C6D_4AAA_9858_E398AB45C5D4_.wvu.FilterData" localSheetId="21" hidden="1">#REF!</definedName>
    <definedName name="Z_873913D5_4C6D_4AAA_9858_E398AB45C5D4_.wvu.FilterData" localSheetId="19" hidden="1">#REF!</definedName>
    <definedName name="Z_873913D5_4C6D_4AAA_9858_E398AB45C5D4_.wvu.FilterData" localSheetId="29" hidden="1">#REF!</definedName>
    <definedName name="Z_873913D5_4C6D_4AAA_9858_E398AB45C5D4_.wvu.FilterData" hidden="1">#REF!</definedName>
    <definedName name="Z_873913D5_4C6D_4AAA_9858_E398AB45C5D4_.wvu.PrintTitles" localSheetId="22" hidden="1">#REF!</definedName>
    <definedName name="Z_873913D5_4C6D_4AAA_9858_E398AB45C5D4_.wvu.PrintTitles" localSheetId="28" hidden="1">#REF!</definedName>
    <definedName name="Z_873913D5_4C6D_4AAA_9858_E398AB45C5D4_.wvu.PrintTitles" localSheetId="17" hidden="1">#REF!</definedName>
    <definedName name="Z_873913D5_4C6D_4AAA_9858_E398AB45C5D4_.wvu.PrintTitles" localSheetId="18" hidden="1">#REF!</definedName>
    <definedName name="Z_873913D5_4C6D_4AAA_9858_E398AB45C5D4_.wvu.PrintTitles" localSheetId="21" hidden="1">#REF!</definedName>
    <definedName name="Z_873913D5_4C6D_4AAA_9858_E398AB45C5D4_.wvu.PrintTitles" localSheetId="29" hidden="1">#REF!</definedName>
    <definedName name="Z_873913D5_4C6D_4AAA_9858_E398AB45C5D4_.wvu.PrintTitles" hidden="1">#REF!</definedName>
    <definedName name="Z_92DDB144_7FBF_45E9_A47D_51FF5FBB9DD4_.wvu.PrintArea" localSheetId="1" hidden="1">'Result 1 P&amp;L'!$A$2:$G$55</definedName>
    <definedName name="Z_92DDB144_7FBF_45E9_A47D_51FF5FBB9DD4_.wvu.PrintArea" localSheetId="2" hidden="1">'Result 2 B&amp;S'!$B$2:$D$56</definedName>
    <definedName name="Z_92DDB144_7FBF_45E9_A47D_51FF5FBB9DD4_.wvu.PrintArea" localSheetId="3" hidden="1">'Result 3 CF'!$C$1:$E$52</definedName>
    <definedName name="Z_93CF68E4_41DD_43B4_81CE_AB76E39C050C_.wvu.Cols" localSheetId="17" hidden="1">[62]Dep!$F$1:$F$65536,[62]Dep!$J$1:$K$65536</definedName>
    <definedName name="Z_93CF68E4_41DD_43B4_81CE_AB76E39C050C_.wvu.Cols" localSheetId="18" hidden="1">[62]Dep!$F$1:$F$65536,[62]Dep!$J$1:$K$65536</definedName>
    <definedName name="Z_93CF68E4_41DD_43B4_81CE_AB76E39C050C_.wvu.Cols" hidden="1">[63]Dep!$F$1:$F$65536,[63]Dep!$J$1:$K$65536</definedName>
    <definedName name="Z_93CF68E4_41DD_43B4_81CE_AB76E39C050C_.wvu.Rows" localSheetId="11" hidden="1">'[63]Ann A'!#REF!,'[63]Ann A'!#REF!,'[63]Ann A'!#REF!,'[63]Ann A'!#REF!,'[63]Ann A'!#REF!,'[63]Ann A'!#REF!</definedName>
    <definedName name="Z_93CF68E4_41DD_43B4_81CE_AB76E39C050C_.wvu.Rows" localSheetId="22" hidden="1">'[63]Ann A'!#REF!,'[63]Ann A'!#REF!,'[63]Ann A'!#REF!,'[63]Ann A'!#REF!,'[63]Ann A'!#REF!,'[63]Ann A'!#REF!</definedName>
    <definedName name="Z_93CF68E4_41DD_43B4_81CE_AB76E39C050C_.wvu.Rows" localSheetId="28" hidden="1">'[63]Ann A'!#REF!,'[63]Ann A'!#REF!,'[63]Ann A'!#REF!,'[63]Ann A'!#REF!,'[63]Ann A'!#REF!,'[63]Ann A'!#REF!</definedName>
    <definedName name="Z_93CF68E4_41DD_43B4_81CE_AB76E39C050C_.wvu.Rows" localSheetId="4" hidden="1">'[63]Ann A'!#REF!,'[63]Ann A'!#REF!,'[63]Ann A'!#REF!,'[63]Ann A'!#REF!,'[63]Ann A'!#REF!,'[63]Ann A'!#REF!</definedName>
    <definedName name="Z_93CF68E4_41DD_43B4_81CE_AB76E39C050C_.wvu.Rows" localSheetId="12" hidden="1">'[63]Ann A'!#REF!,'[63]Ann A'!#REF!,'[63]Ann A'!#REF!,'[63]Ann A'!#REF!,'[63]Ann A'!#REF!,'[63]Ann A'!#REF!</definedName>
    <definedName name="Z_93CF68E4_41DD_43B4_81CE_AB76E39C050C_.wvu.Rows" localSheetId="20" hidden="1">'[63]Ann A'!#REF!,'[63]Ann A'!#REF!,'[63]Ann A'!#REF!,'[63]Ann A'!#REF!,'[63]Ann A'!#REF!,'[63]Ann A'!#REF!</definedName>
    <definedName name="Z_93CF68E4_41DD_43B4_81CE_AB76E39C050C_.wvu.Rows" localSheetId="17" hidden="1">'[62]Ann A'!#REF!,'[62]Ann A'!#REF!,'[62]Ann A'!#REF!,'[62]Ann A'!#REF!,'[62]Ann A'!#REF!,'[62]Ann A'!#REF!</definedName>
    <definedName name="Z_93CF68E4_41DD_43B4_81CE_AB76E39C050C_.wvu.Rows" localSheetId="18" hidden="1">'[62]Ann A'!#REF!,'[62]Ann A'!#REF!,'[62]Ann A'!#REF!,'[62]Ann A'!#REF!,'[62]Ann A'!#REF!,'[62]Ann A'!#REF!</definedName>
    <definedName name="Z_93CF68E4_41DD_43B4_81CE_AB76E39C050C_.wvu.Rows" localSheetId="21" hidden="1">'[63]Ann A'!#REF!,'[63]Ann A'!#REF!,'[63]Ann A'!#REF!,'[63]Ann A'!#REF!,'[63]Ann A'!#REF!,'[63]Ann A'!#REF!</definedName>
    <definedName name="Z_93CF68E4_41DD_43B4_81CE_AB76E39C050C_.wvu.Rows" localSheetId="19" hidden="1">'[63]Ann A'!#REF!,'[63]Ann A'!#REF!,'[63]Ann A'!#REF!,'[63]Ann A'!#REF!,'[63]Ann A'!#REF!,'[63]Ann A'!#REF!</definedName>
    <definedName name="Z_93CF68E4_41DD_43B4_81CE_AB76E39C050C_.wvu.Rows" localSheetId="29" hidden="1">'[63]Ann A'!#REF!,'[63]Ann A'!#REF!,'[63]Ann A'!#REF!,'[63]Ann A'!#REF!,'[63]Ann A'!#REF!,'[63]Ann A'!#REF!</definedName>
    <definedName name="Z_93CF68E4_41DD_43B4_81CE_AB76E39C050C_.wvu.Rows" hidden="1">'[63]Ann A'!#REF!,'[63]Ann A'!#REF!,'[63]Ann A'!#REF!,'[63]Ann A'!#REF!,'[63]Ann A'!#REF!,'[63]Ann A'!#REF!</definedName>
    <definedName name="Z_9F6FB2C0_A861_11D6_A667_444553540000_.wvu.Rows" localSheetId="11" hidden="1">#REF!</definedName>
    <definedName name="Z_9F6FB2C0_A861_11D6_A667_444553540000_.wvu.Rows" localSheetId="4" hidden="1">#REF!</definedName>
    <definedName name="Z_9F6FB2C0_A861_11D6_A667_444553540000_.wvu.Rows" localSheetId="12" hidden="1">#REF!</definedName>
    <definedName name="Z_9F6FB2C0_A861_11D6_A667_444553540000_.wvu.Rows" localSheetId="20" hidden="1">#REF!</definedName>
    <definedName name="Z_9F6FB2C0_A861_11D6_A667_444553540000_.wvu.Rows" localSheetId="17" hidden="1">#REF!</definedName>
    <definedName name="Z_9F6FB2C0_A861_11D6_A667_444553540000_.wvu.Rows" localSheetId="18" hidden="1">#REF!</definedName>
    <definedName name="Z_9F6FB2C0_A861_11D6_A667_444553540000_.wvu.Rows" localSheetId="19" hidden="1">#REF!</definedName>
    <definedName name="Z_9F6FB2C0_A861_11D6_A667_444553540000_.wvu.Rows" hidden="1">#REF!</definedName>
    <definedName name="Z_A334CDEA_1B26_497C_9E86_391980B45166_.wvu.Cols" localSheetId="11" hidden="1">[63]COI!#REF!,[63]COI!#REF!</definedName>
    <definedName name="Z_A334CDEA_1B26_497C_9E86_391980B45166_.wvu.Cols" localSheetId="22" hidden="1">[63]COI!#REF!,[63]COI!#REF!</definedName>
    <definedName name="Z_A334CDEA_1B26_497C_9E86_391980B45166_.wvu.Cols" localSheetId="28" hidden="1">[63]COI!#REF!,[63]COI!#REF!</definedName>
    <definedName name="Z_A334CDEA_1B26_497C_9E86_391980B45166_.wvu.Cols" localSheetId="4" hidden="1">[63]COI!#REF!,[63]COI!#REF!</definedName>
    <definedName name="Z_A334CDEA_1B26_497C_9E86_391980B45166_.wvu.Cols" localSheetId="12" hidden="1">[63]COI!#REF!,[63]COI!#REF!</definedName>
    <definedName name="Z_A334CDEA_1B26_497C_9E86_391980B45166_.wvu.Cols" localSheetId="20" hidden="1">[63]COI!#REF!,[63]COI!#REF!</definedName>
    <definedName name="Z_A334CDEA_1B26_497C_9E86_391980B45166_.wvu.Cols" localSheetId="17" hidden="1">[62]COI!#REF!,[62]COI!#REF!</definedName>
    <definedName name="Z_A334CDEA_1B26_497C_9E86_391980B45166_.wvu.Cols" localSheetId="18" hidden="1">[62]COI!#REF!,[62]COI!#REF!</definedName>
    <definedName name="Z_A334CDEA_1B26_497C_9E86_391980B45166_.wvu.Cols" localSheetId="21" hidden="1">[63]COI!#REF!,[63]COI!#REF!</definedName>
    <definedName name="Z_A334CDEA_1B26_497C_9E86_391980B45166_.wvu.Cols" localSheetId="19" hidden="1">[63]COI!#REF!,[63]COI!#REF!</definedName>
    <definedName name="Z_A334CDEA_1B26_497C_9E86_391980B45166_.wvu.Cols" localSheetId="29" hidden="1">[63]COI!#REF!,[63]COI!#REF!</definedName>
    <definedName name="Z_A334CDEA_1B26_497C_9E86_391980B45166_.wvu.Cols" hidden="1">[63]COI!#REF!,[63]COI!#REF!</definedName>
    <definedName name="Z_A334CDEA_1B26_497C_9E86_391980B45166_.wvu.PrintArea" localSheetId="11" hidden="1">#REF!</definedName>
    <definedName name="Z_A334CDEA_1B26_497C_9E86_391980B45166_.wvu.PrintArea" localSheetId="4" hidden="1">#REF!</definedName>
    <definedName name="Z_A334CDEA_1B26_497C_9E86_391980B45166_.wvu.PrintArea" localSheetId="12" hidden="1">#REF!</definedName>
    <definedName name="Z_A334CDEA_1B26_497C_9E86_391980B45166_.wvu.PrintArea" localSheetId="20" hidden="1">#REF!</definedName>
    <definedName name="Z_A334CDEA_1B26_497C_9E86_391980B45166_.wvu.PrintArea" localSheetId="17" hidden="1">#REF!</definedName>
    <definedName name="Z_A334CDEA_1B26_497C_9E86_391980B45166_.wvu.PrintArea" localSheetId="18" hidden="1">#REF!</definedName>
    <definedName name="Z_A334CDEA_1B26_497C_9E86_391980B45166_.wvu.PrintArea" localSheetId="19" hidden="1">#REF!</definedName>
    <definedName name="Z_A334CDEA_1B26_497C_9E86_391980B45166_.wvu.PrintArea" hidden="1">#REF!</definedName>
    <definedName name="Z_A334CDEA_1B26_497C_9E86_391980B45166_.wvu.Rows" localSheetId="11" hidden="1">[63]COI!#REF!,[63]COI!#REF!,[63]COI!#REF!,[63]COI!#REF!,[63]COI!#REF!,[63]COI!$A$76:$IV$76,[63]COI!$A$78:$IV$92,[63]COI!$A$94:$IV$94,[63]COI!$A$178:$IV$178,[63]COI!$A$181:$IV$183,[63]COI!$A$192:$IV$192,[63]COI!$A$219:$IV$219</definedName>
    <definedName name="Z_A334CDEA_1B26_497C_9E86_391980B45166_.wvu.Rows" localSheetId="22" hidden="1">[63]COI!#REF!,[63]COI!#REF!,[63]COI!#REF!,[63]COI!#REF!,[63]COI!#REF!,[63]COI!$A$76:$IV$76,[63]COI!$A$78:$IV$92,[63]COI!$A$94:$IV$94,[63]COI!$A$178:$IV$178,[63]COI!$A$181:$IV$183,[63]COI!$A$192:$IV$192,[63]COI!$A$219:$IV$219</definedName>
    <definedName name="Z_A334CDEA_1B26_497C_9E86_391980B45166_.wvu.Rows" localSheetId="28" hidden="1">[63]COI!#REF!,[63]COI!#REF!,[63]COI!#REF!,[63]COI!#REF!,[63]COI!#REF!,[63]COI!$A$76:$IV$76,[63]COI!$A$78:$IV$92,[63]COI!$A$94:$IV$94,[63]COI!$A$178:$IV$178,[63]COI!$A$181:$IV$183,[63]COI!$A$192:$IV$192,[63]COI!$A$219:$IV$219</definedName>
    <definedName name="Z_A334CDEA_1B26_497C_9E86_391980B45166_.wvu.Rows" localSheetId="4" hidden="1">[63]COI!#REF!,[63]COI!#REF!,[63]COI!#REF!,[63]COI!#REF!,[63]COI!#REF!,[63]COI!$A$76:$IV$76,[63]COI!$A$78:$IV$92,[63]COI!$A$94:$IV$94,[63]COI!$A$178:$IV$178,[63]COI!$A$181:$IV$183,[63]COI!$A$192:$IV$192,[63]COI!$A$219:$IV$219</definedName>
    <definedName name="Z_A334CDEA_1B26_497C_9E86_391980B45166_.wvu.Rows" localSheetId="12" hidden="1">[63]COI!#REF!,[63]COI!#REF!,[63]COI!#REF!,[63]COI!#REF!,[63]COI!#REF!,[63]COI!$A$76:$IV$76,[63]COI!$A$78:$IV$92,[63]COI!$A$94:$IV$94,[63]COI!$A$178:$IV$178,[63]COI!$A$181:$IV$183,[63]COI!$A$192:$IV$192,[63]COI!$A$219:$IV$219</definedName>
    <definedName name="Z_A334CDEA_1B26_497C_9E86_391980B45166_.wvu.Rows" localSheetId="20" hidden="1">[63]COI!#REF!,[63]COI!#REF!,[63]COI!#REF!,[63]COI!#REF!,[63]COI!#REF!,[63]COI!$A$76:$IV$76,[63]COI!$A$78:$IV$92,[63]COI!$A$94:$IV$94,[63]COI!$A$178:$IV$178,[63]COI!$A$181:$IV$183,[63]COI!$A$192:$IV$192,[63]COI!$A$219:$IV$219</definedName>
    <definedName name="Z_A334CDEA_1B26_497C_9E86_391980B45166_.wvu.Rows" localSheetId="17" hidden="1">[62]COI!#REF!,[62]COI!#REF!,[62]COI!#REF!,[62]COI!#REF!,[62]COI!#REF!,[62]COI!$A$74:$IV$74,[62]COI!$A$76:$IV$90,[62]COI!$A$92:$IV$92,[62]COI!$A$176:$IV$176,[62]COI!$A$179:$IV$181,[62]COI!$A$190:$IV$190,[62]COI!$A$217:$IV$217</definedName>
    <definedName name="Z_A334CDEA_1B26_497C_9E86_391980B45166_.wvu.Rows" localSheetId="18" hidden="1">[62]COI!#REF!,[62]COI!#REF!,[62]COI!#REF!,[62]COI!#REF!,[62]COI!#REF!,[62]COI!$A$74:$IV$74,[62]COI!$A$76:$IV$90,[62]COI!$A$92:$IV$92,[62]COI!$A$176:$IV$176,[62]COI!$A$179:$IV$181,[62]COI!$A$190:$IV$190,[62]COI!$A$217:$IV$217</definedName>
    <definedName name="Z_A334CDEA_1B26_497C_9E86_391980B45166_.wvu.Rows" localSheetId="21" hidden="1">[63]COI!#REF!,[63]COI!#REF!,[63]COI!#REF!,[63]COI!#REF!,[63]COI!#REF!,[63]COI!$A$76:$IV$76,[63]COI!$A$78:$IV$92,[63]COI!$A$94:$IV$94,[63]COI!$A$178:$IV$178,[63]COI!$A$181:$IV$183,[63]COI!$A$192:$IV$192,[63]COI!$A$219:$IV$219</definedName>
    <definedName name="Z_A334CDEA_1B26_497C_9E86_391980B45166_.wvu.Rows" localSheetId="19" hidden="1">[63]COI!#REF!,[63]COI!#REF!,[63]COI!#REF!,[63]COI!#REF!,[63]COI!#REF!,[63]COI!$A$76:$IV$76,[63]COI!$A$78:$IV$92,[63]COI!$A$94:$IV$94,[63]COI!$A$178:$IV$178,[63]COI!$A$181:$IV$183,[63]COI!$A$192:$IV$192,[63]COI!$A$219:$IV$219</definedName>
    <definedName name="Z_A334CDEA_1B26_497C_9E86_391980B45166_.wvu.Rows" localSheetId="29" hidden="1">[63]COI!#REF!,[63]COI!#REF!,[63]COI!#REF!,[63]COI!#REF!,[63]COI!#REF!,[63]COI!$A$76:$IV$76,[63]COI!$A$78:$IV$92,[63]COI!$A$94:$IV$94,[63]COI!$A$178:$IV$178,[63]COI!$A$181:$IV$183,[63]COI!$A$192:$IV$192,[63]COI!$A$219:$IV$219</definedName>
    <definedName name="Z_A334CDEA_1B26_497C_9E86_391980B45166_.wvu.Rows" hidden="1">[63]COI!#REF!,[63]COI!#REF!,[63]COI!#REF!,[63]COI!#REF!,[63]COI!#REF!,[63]COI!$A$76:$IV$76,[63]COI!$A$78:$IV$92,[63]COI!$A$94:$IV$94,[63]COI!$A$178:$IV$178,[63]COI!$A$181:$IV$183,[63]COI!$A$192:$IV$192,[63]COI!$A$219:$IV$219</definedName>
    <definedName name="Z_ABF241F9_150E_41C3_9F82_17660A825266_.wvu.PrintArea" localSheetId="11" hidden="1">#REF!</definedName>
    <definedName name="Z_ABF241F9_150E_41C3_9F82_17660A825266_.wvu.PrintArea" localSheetId="4" hidden="1">#REF!</definedName>
    <definedName name="Z_ABF241F9_150E_41C3_9F82_17660A825266_.wvu.PrintArea" localSheetId="12" hidden="1">#REF!</definedName>
    <definedName name="Z_ABF241F9_150E_41C3_9F82_17660A825266_.wvu.PrintArea" localSheetId="20" hidden="1">#REF!</definedName>
    <definedName name="Z_ABF241F9_150E_41C3_9F82_17660A825266_.wvu.PrintArea" localSheetId="17" hidden="1">#REF!</definedName>
    <definedName name="Z_ABF241F9_150E_41C3_9F82_17660A825266_.wvu.PrintArea" localSheetId="18" hidden="1">#REF!</definedName>
    <definedName name="Z_ABF241F9_150E_41C3_9F82_17660A825266_.wvu.PrintArea" localSheetId="19" hidden="1">#REF!</definedName>
    <definedName name="Z_ABF241F9_150E_41C3_9F82_17660A825266_.wvu.PrintArea" hidden="1">#REF!</definedName>
    <definedName name="Z_ABF241F9_150E_41C3_9F82_17660A825266_.wvu.Rows" localSheetId="11" hidden="1">#REF!</definedName>
    <definedName name="Z_ABF241F9_150E_41C3_9F82_17660A825266_.wvu.Rows" localSheetId="4" hidden="1">#REF!</definedName>
    <definedName name="Z_ABF241F9_150E_41C3_9F82_17660A825266_.wvu.Rows" localSheetId="12" hidden="1">#REF!</definedName>
    <definedName name="Z_ABF241F9_150E_41C3_9F82_17660A825266_.wvu.Rows" localSheetId="20" hidden="1">#REF!</definedName>
    <definedName name="Z_ABF241F9_150E_41C3_9F82_17660A825266_.wvu.Rows" localSheetId="17" hidden="1">#REF!</definedName>
    <definedName name="Z_ABF241F9_150E_41C3_9F82_17660A825266_.wvu.Rows" localSheetId="18" hidden="1">#REF!</definedName>
    <definedName name="Z_ABF241F9_150E_41C3_9F82_17660A825266_.wvu.Rows" localSheetId="19" hidden="1">#REF!</definedName>
    <definedName name="Z_ABF241F9_150E_41C3_9F82_17660A825266_.wvu.Rows" hidden="1">#REF!</definedName>
    <definedName name="Z_BD120193_CED6_4E7F_9CAF_4B1A3FAB6783_.wvu.Rows" localSheetId="11" hidden="1">[63]Value!#REF!,[63]Value!#REF!,[63]Value!#REF!</definedName>
    <definedName name="Z_BD120193_CED6_4E7F_9CAF_4B1A3FAB6783_.wvu.Rows" localSheetId="22" hidden="1">[63]Value!#REF!,[63]Value!#REF!,[63]Value!#REF!</definedName>
    <definedName name="Z_BD120193_CED6_4E7F_9CAF_4B1A3FAB6783_.wvu.Rows" localSheetId="28" hidden="1">[63]Value!#REF!,[63]Value!#REF!,[63]Value!#REF!</definedName>
    <definedName name="Z_BD120193_CED6_4E7F_9CAF_4B1A3FAB6783_.wvu.Rows" localSheetId="4" hidden="1">[63]Value!#REF!,[63]Value!#REF!,[63]Value!#REF!</definedName>
    <definedName name="Z_BD120193_CED6_4E7F_9CAF_4B1A3FAB6783_.wvu.Rows" localSheetId="12" hidden="1">[63]Value!#REF!,[63]Value!#REF!,[63]Value!#REF!</definedName>
    <definedName name="Z_BD120193_CED6_4E7F_9CAF_4B1A3FAB6783_.wvu.Rows" localSheetId="20" hidden="1">[63]Value!#REF!,[63]Value!#REF!,[63]Value!#REF!</definedName>
    <definedName name="Z_BD120193_CED6_4E7F_9CAF_4B1A3FAB6783_.wvu.Rows" localSheetId="17" hidden="1">[62]Value!#REF!,[62]Value!#REF!,[62]Value!#REF!</definedName>
    <definedName name="Z_BD120193_CED6_4E7F_9CAF_4B1A3FAB6783_.wvu.Rows" localSheetId="18" hidden="1">[62]Value!#REF!,[62]Value!#REF!,[62]Value!#REF!</definedName>
    <definedName name="Z_BD120193_CED6_4E7F_9CAF_4B1A3FAB6783_.wvu.Rows" localSheetId="21" hidden="1">[63]Value!#REF!,[63]Value!#REF!,[63]Value!#REF!</definedName>
    <definedName name="Z_BD120193_CED6_4E7F_9CAF_4B1A3FAB6783_.wvu.Rows" localSheetId="19" hidden="1">[63]Value!#REF!,[63]Value!#REF!,[63]Value!#REF!</definedName>
    <definedName name="Z_BD120193_CED6_4E7F_9CAF_4B1A3FAB6783_.wvu.Rows" localSheetId="29" hidden="1">[63]Value!#REF!,[63]Value!#REF!,[63]Value!#REF!</definedName>
    <definedName name="Z_BD120193_CED6_4E7F_9CAF_4B1A3FAB6783_.wvu.Rows" hidden="1">[63]Value!#REF!,[63]Value!#REF!,[63]Value!#REF!</definedName>
    <definedName name="Z_BD5AA3B3_719E_4481_B722_8DE3E8101662_.wvu.Cols" localSheetId="4" hidden="1">'Cash Flow'!$D:$AU</definedName>
    <definedName name="Z_BD5AA3B3_719E_4481_B722_8DE3E8101662_.wvu.PrintArea" localSheetId="5" hidden="1">BSPL!$A$1:$I$982</definedName>
    <definedName name="Z_BD5AA3B3_719E_4481_B722_8DE3E8101662_.wvu.Rows" localSheetId="4" hidden="1">'Cash Flow'!$40:$43,'Cash Flow'!$48:$48</definedName>
    <definedName name="Z_C80FA4E1_1D1A_481E_8BCE_44B44A80609D_.wvu.FilterData" localSheetId="11" hidden="1">#REF!</definedName>
    <definedName name="Z_C80FA4E1_1D1A_481E_8BCE_44B44A80609D_.wvu.FilterData" localSheetId="22" hidden="1">#REF!</definedName>
    <definedName name="Z_C80FA4E1_1D1A_481E_8BCE_44B44A80609D_.wvu.FilterData" localSheetId="28" hidden="1">#REF!</definedName>
    <definedName name="Z_C80FA4E1_1D1A_481E_8BCE_44B44A80609D_.wvu.FilterData" localSheetId="4" hidden="1">#REF!</definedName>
    <definedName name="Z_C80FA4E1_1D1A_481E_8BCE_44B44A80609D_.wvu.FilterData" localSheetId="12" hidden="1">#REF!</definedName>
    <definedName name="Z_C80FA4E1_1D1A_481E_8BCE_44B44A80609D_.wvu.FilterData" localSheetId="20" hidden="1">#REF!</definedName>
    <definedName name="Z_C80FA4E1_1D1A_481E_8BCE_44B44A80609D_.wvu.FilterData" localSheetId="17" hidden="1">[62]BS!#REF!</definedName>
    <definedName name="Z_C80FA4E1_1D1A_481E_8BCE_44B44A80609D_.wvu.FilterData" localSheetId="18" hidden="1">[62]BS!#REF!</definedName>
    <definedName name="Z_C80FA4E1_1D1A_481E_8BCE_44B44A80609D_.wvu.FilterData" localSheetId="21" hidden="1">#REF!</definedName>
    <definedName name="Z_C80FA4E1_1D1A_481E_8BCE_44B44A80609D_.wvu.FilterData" localSheetId="19" hidden="1">#REF!</definedName>
    <definedName name="Z_C80FA4E1_1D1A_481E_8BCE_44B44A80609D_.wvu.FilterData" localSheetId="29" hidden="1">#REF!</definedName>
    <definedName name="Z_C80FA4E1_1D1A_481E_8BCE_44B44A80609D_.wvu.FilterData" hidden="1">#REF!</definedName>
    <definedName name="Z_D56D62A7_8091_4012_A10F_A462838BC292_.wvu.Rows" localSheetId="11" hidden="1">#REF!,#REF!,#REF!,#REF!,#REF!,#REF!,#REF!</definedName>
    <definedName name="Z_D56D62A7_8091_4012_A10F_A462838BC292_.wvu.Rows" localSheetId="22" hidden="1">#REF!,#REF!,#REF!,#REF!,#REF!,#REF!,#REF!</definedName>
    <definedName name="Z_D56D62A7_8091_4012_A10F_A462838BC292_.wvu.Rows" localSheetId="28" hidden="1">#REF!,#REF!,#REF!,#REF!,#REF!,#REF!,#REF!</definedName>
    <definedName name="Z_D56D62A7_8091_4012_A10F_A462838BC292_.wvu.Rows" localSheetId="4" hidden="1">#REF!,#REF!,#REF!,#REF!,#REF!,#REF!,#REF!</definedName>
    <definedName name="Z_D56D62A7_8091_4012_A10F_A462838BC292_.wvu.Rows" localSheetId="12" hidden="1">#REF!,#REF!,#REF!,#REF!,#REF!,#REF!,#REF!</definedName>
    <definedName name="Z_D56D62A7_8091_4012_A10F_A462838BC292_.wvu.Rows" localSheetId="20" hidden="1">#REF!,#REF!,#REF!,#REF!,#REF!,#REF!,#REF!</definedName>
    <definedName name="Z_D56D62A7_8091_4012_A10F_A462838BC292_.wvu.Rows" localSheetId="17" hidden="1">[62]BS!#REF!,[62]BS!#REF!,[62]BS!#REF!,[62]BS!#REF!,[62]BS!#REF!,[62]BS!#REF!,[62]BS!$A$1893:$IV$1904</definedName>
    <definedName name="Z_D56D62A7_8091_4012_A10F_A462838BC292_.wvu.Rows" localSheetId="18" hidden="1">[62]BS!#REF!,[62]BS!#REF!,[62]BS!#REF!,[62]BS!#REF!,[62]BS!#REF!,[62]BS!#REF!,[62]BS!$A$1893:$IV$1904</definedName>
    <definedName name="Z_D56D62A7_8091_4012_A10F_A462838BC292_.wvu.Rows" localSheetId="21" hidden="1">#REF!,#REF!,#REF!,#REF!,#REF!,#REF!,#REF!</definedName>
    <definedName name="Z_D56D62A7_8091_4012_A10F_A462838BC292_.wvu.Rows" localSheetId="19" hidden="1">#REF!,#REF!,#REF!,#REF!,#REF!,#REF!,#REF!</definedName>
    <definedName name="Z_D56D62A7_8091_4012_A10F_A462838BC292_.wvu.Rows" localSheetId="29" hidden="1">#REF!,#REF!,#REF!,#REF!,#REF!,#REF!,#REF!</definedName>
    <definedName name="Z_D56D62A7_8091_4012_A10F_A462838BC292_.wvu.Rows" hidden="1">#REF!,#REF!,#REF!,#REF!,#REF!,#REF!,#REF!</definedName>
    <definedName name="Z_DECB9532_B929_4DF0_AF97_7264233CC0D3_.wvu.Rows" localSheetId="11" hidden="1">[63]Value!#REF!,[63]Value!#REF!,[63]Value!#REF!</definedName>
    <definedName name="Z_DECB9532_B929_4DF0_AF97_7264233CC0D3_.wvu.Rows" localSheetId="22" hidden="1">[63]Value!#REF!,[63]Value!#REF!,[63]Value!#REF!</definedName>
    <definedName name="Z_DECB9532_B929_4DF0_AF97_7264233CC0D3_.wvu.Rows" localSheetId="28" hidden="1">[63]Value!#REF!,[63]Value!#REF!,[63]Value!#REF!</definedName>
    <definedName name="Z_DECB9532_B929_4DF0_AF97_7264233CC0D3_.wvu.Rows" localSheetId="4" hidden="1">[63]Value!#REF!,[63]Value!#REF!,[63]Value!#REF!</definedName>
    <definedName name="Z_DECB9532_B929_4DF0_AF97_7264233CC0D3_.wvu.Rows" localSheetId="12" hidden="1">[63]Value!#REF!,[63]Value!#REF!,[63]Value!#REF!</definedName>
    <definedName name="Z_DECB9532_B929_4DF0_AF97_7264233CC0D3_.wvu.Rows" localSheetId="20" hidden="1">[63]Value!#REF!,[63]Value!#REF!,[63]Value!#REF!</definedName>
    <definedName name="Z_DECB9532_B929_4DF0_AF97_7264233CC0D3_.wvu.Rows" localSheetId="17" hidden="1">[62]Value!#REF!,[62]Value!#REF!,[62]Value!#REF!</definedName>
    <definedName name="Z_DECB9532_B929_4DF0_AF97_7264233CC0D3_.wvu.Rows" localSheetId="18" hidden="1">[62]Value!#REF!,[62]Value!#REF!,[62]Value!#REF!</definedName>
    <definedName name="Z_DECB9532_B929_4DF0_AF97_7264233CC0D3_.wvu.Rows" localSheetId="21" hidden="1">[63]Value!#REF!,[63]Value!#REF!,[63]Value!#REF!</definedName>
    <definedName name="Z_DECB9532_B929_4DF0_AF97_7264233CC0D3_.wvu.Rows" localSheetId="19" hidden="1">[63]Value!#REF!,[63]Value!#REF!,[63]Value!#REF!</definedName>
    <definedName name="Z_DECB9532_B929_4DF0_AF97_7264233CC0D3_.wvu.Rows" localSheetId="29" hidden="1">[63]Value!#REF!,[63]Value!#REF!,[63]Value!#REF!</definedName>
    <definedName name="Z_DECB9532_B929_4DF0_AF97_7264233CC0D3_.wvu.Rows" hidden="1">[63]Value!#REF!,[63]Value!#REF!,[63]Value!#REF!</definedName>
    <definedName name="Z_F039C147_8083_49A0_B541_A610A15BA793_.wvu.Cols" localSheetId="18" hidden="1">'IT Dep'!$H:$I</definedName>
    <definedName name="Z_F039C147_8083_49A0_B541_A610A15BA793_.wvu.PrintArea" localSheetId="1" hidden="1">'Result 1 P&amp;L'!$A$2:$G$55</definedName>
    <definedName name="Z_F039C147_8083_49A0_B541_A610A15BA793_.wvu.PrintArea" localSheetId="2" hidden="1">'Result 2 B&amp;S'!$B$2:$D$56</definedName>
    <definedName name="Z_F039C147_8083_49A0_B541_A610A15BA793_.wvu.PrintArea" localSheetId="3" hidden="1">'Result 3 CF'!$C$1:$E$52</definedName>
    <definedName name="Z_F140806D_66CA_4A66_855A_CCBDE7D69760_.wvu.Cols" localSheetId="18" hidden="1">'IT Dep'!$H:$I</definedName>
    <definedName name="Z_F28CBC21_556C_11DB_93B8_0008A132C219_.wvu.Cols" localSheetId="11" hidden="1">[63]COI!#REF!,[63]COI!#REF!</definedName>
    <definedName name="Z_F28CBC21_556C_11DB_93B8_0008A132C219_.wvu.Cols" localSheetId="22" hidden="1">[63]COI!#REF!,[63]COI!#REF!</definedName>
    <definedName name="Z_F28CBC21_556C_11DB_93B8_0008A132C219_.wvu.Cols" localSheetId="28" hidden="1">[63]COI!#REF!,[63]COI!#REF!</definedName>
    <definedName name="Z_F28CBC21_556C_11DB_93B8_0008A132C219_.wvu.Cols" localSheetId="4" hidden="1">[63]COI!#REF!,[63]COI!#REF!</definedName>
    <definedName name="Z_F28CBC21_556C_11DB_93B8_0008A132C219_.wvu.Cols" localSheetId="12" hidden="1">[63]COI!#REF!,[63]COI!#REF!</definedName>
    <definedName name="Z_F28CBC21_556C_11DB_93B8_0008A132C219_.wvu.Cols" localSheetId="20" hidden="1">[63]COI!#REF!,[63]COI!#REF!</definedName>
    <definedName name="Z_F28CBC21_556C_11DB_93B8_0008A132C219_.wvu.Cols" localSheetId="17" hidden="1">[62]COI!#REF!,[62]COI!#REF!</definedName>
    <definedName name="Z_F28CBC21_556C_11DB_93B8_0008A132C219_.wvu.Cols" localSheetId="18" hidden="1">[62]COI!#REF!,[62]COI!#REF!</definedName>
    <definedName name="Z_F28CBC21_556C_11DB_93B8_0008A132C219_.wvu.Cols" localSheetId="21" hidden="1">[63]COI!#REF!,[63]COI!#REF!</definedName>
    <definedName name="Z_F28CBC21_556C_11DB_93B8_0008A132C219_.wvu.Cols" localSheetId="19" hidden="1">[63]COI!#REF!,[63]COI!#REF!</definedName>
    <definedName name="Z_F28CBC21_556C_11DB_93B8_0008A132C219_.wvu.Cols" localSheetId="29" hidden="1">[63]COI!#REF!,[63]COI!#REF!</definedName>
    <definedName name="Z_F28CBC21_556C_11DB_93B8_0008A132C219_.wvu.Cols" hidden="1">[63]COI!#REF!,[63]COI!#REF!</definedName>
    <definedName name="Z_F28CBC21_556C_11DB_93B8_0008A132C219_.wvu.PrintArea" localSheetId="11" hidden="1">#REF!</definedName>
    <definedName name="Z_F28CBC21_556C_11DB_93B8_0008A132C219_.wvu.PrintArea" localSheetId="4" hidden="1">#REF!</definedName>
    <definedName name="Z_F28CBC21_556C_11DB_93B8_0008A132C219_.wvu.PrintArea" localSheetId="12" hidden="1">#REF!</definedName>
    <definedName name="Z_F28CBC21_556C_11DB_93B8_0008A132C219_.wvu.PrintArea" localSheetId="20" hidden="1">#REF!</definedName>
    <definedName name="Z_F28CBC21_556C_11DB_93B8_0008A132C219_.wvu.PrintArea" localSheetId="17" hidden="1">#REF!</definedName>
    <definedName name="Z_F28CBC21_556C_11DB_93B8_0008A132C219_.wvu.PrintArea" localSheetId="18" hidden="1">#REF!</definedName>
    <definedName name="Z_F28CBC21_556C_11DB_93B8_0008A132C219_.wvu.PrintArea" localSheetId="19" hidden="1">#REF!</definedName>
    <definedName name="Z_F28CBC21_556C_11DB_93B8_0008A132C219_.wvu.PrintArea" hidden="1">#REF!</definedName>
    <definedName name="Z_F28CBC21_556C_11DB_93B8_0008A132C219_.wvu.Rows" localSheetId="11" hidden="1">[63]COI!#REF!,[63]COI!#REF!,[63]COI!#REF!,[63]COI!#REF!,[63]COI!$A$76:$IV$76,[63]COI!#REF!,[63]COI!#REF!,[63]COI!$A$94:$IV$94,[63]COI!$A$178:$IV$178,[63]COI!$A$181:$IV$183,[63]COI!$A$192:$IV$192,[63]COI!$A$219:$IV$219</definedName>
    <definedName name="Z_F28CBC21_556C_11DB_93B8_0008A132C219_.wvu.Rows" localSheetId="22" hidden="1">[63]COI!#REF!,[63]COI!#REF!,[63]COI!#REF!,[63]COI!#REF!,[63]COI!$A$76:$IV$76,[63]COI!#REF!,[63]COI!#REF!,[63]COI!$A$94:$IV$94,[63]COI!$A$178:$IV$178,[63]COI!$A$181:$IV$183,[63]COI!$A$192:$IV$192,[63]COI!$A$219:$IV$219</definedName>
    <definedName name="Z_F28CBC21_556C_11DB_93B8_0008A132C219_.wvu.Rows" localSheetId="28" hidden="1">[63]COI!#REF!,[63]COI!#REF!,[63]COI!#REF!,[63]COI!#REF!,[63]COI!$A$76:$IV$76,[63]COI!#REF!,[63]COI!#REF!,[63]COI!$A$94:$IV$94,[63]COI!$A$178:$IV$178,[63]COI!$A$181:$IV$183,[63]COI!$A$192:$IV$192,[63]COI!$A$219:$IV$219</definedName>
    <definedName name="Z_F28CBC21_556C_11DB_93B8_0008A132C219_.wvu.Rows" localSheetId="4" hidden="1">[63]COI!#REF!,[63]COI!#REF!,[63]COI!#REF!,[63]COI!#REF!,[63]COI!$A$76:$IV$76,[63]COI!#REF!,[63]COI!#REF!,[63]COI!$A$94:$IV$94,[63]COI!$A$178:$IV$178,[63]COI!$A$181:$IV$183,[63]COI!$A$192:$IV$192,[63]COI!$A$219:$IV$219</definedName>
    <definedName name="Z_F28CBC21_556C_11DB_93B8_0008A132C219_.wvu.Rows" localSheetId="12" hidden="1">[63]COI!#REF!,[63]COI!#REF!,[63]COI!#REF!,[63]COI!#REF!,[63]COI!$A$76:$IV$76,[63]COI!#REF!,[63]COI!#REF!,[63]COI!$A$94:$IV$94,[63]COI!$A$178:$IV$178,[63]COI!$A$181:$IV$183,[63]COI!$A$192:$IV$192,[63]COI!$A$219:$IV$219</definedName>
    <definedName name="Z_F28CBC21_556C_11DB_93B8_0008A132C219_.wvu.Rows" localSheetId="20" hidden="1">[63]COI!#REF!,[63]COI!#REF!,[63]COI!#REF!,[63]COI!#REF!,[63]COI!$A$76:$IV$76,[63]COI!#REF!,[63]COI!#REF!,[63]COI!$A$94:$IV$94,[63]COI!$A$178:$IV$178,[63]COI!$A$181:$IV$183,[63]COI!$A$192:$IV$192,[63]COI!$A$219:$IV$219</definedName>
    <definedName name="Z_F28CBC21_556C_11DB_93B8_0008A132C219_.wvu.Rows" localSheetId="17" hidden="1">[62]COI!#REF!,[62]COI!#REF!,[62]COI!#REF!,[62]COI!#REF!,[62]COI!$A$74:$IV$74,[62]COI!#REF!,[62]COI!#REF!,[62]COI!$A$92:$IV$92,[62]COI!$A$176:$IV$176,[62]COI!$A$179:$IV$181,[62]COI!$A$190:$IV$190,[62]COI!$A$217:$IV$217</definedName>
    <definedName name="Z_F28CBC21_556C_11DB_93B8_0008A132C219_.wvu.Rows" localSheetId="18" hidden="1">[62]COI!#REF!,[62]COI!#REF!,[62]COI!#REF!,[62]COI!#REF!,[62]COI!$A$74:$IV$74,[62]COI!#REF!,[62]COI!#REF!,[62]COI!$A$92:$IV$92,[62]COI!$A$176:$IV$176,[62]COI!$A$179:$IV$181,[62]COI!$A$190:$IV$190,[62]COI!$A$217:$IV$217</definedName>
    <definedName name="Z_F28CBC21_556C_11DB_93B8_0008A132C219_.wvu.Rows" localSheetId="21" hidden="1">[63]COI!#REF!,[63]COI!#REF!,[63]COI!#REF!,[63]COI!#REF!,[63]COI!$A$76:$IV$76,[63]COI!#REF!,[63]COI!#REF!,[63]COI!$A$94:$IV$94,[63]COI!$A$178:$IV$178,[63]COI!$A$181:$IV$183,[63]COI!$A$192:$IV$192,[63]COI!$A$219:$IV$219</definedName>
    <definedName name="Z_F28CBC21_556C_11DB_93B8_0008A132C219_.wvu.Rows" localSheetId="19" hidden="1">[63]COI!#REF!,[63]COI!#REF!,[63]COI!#REF!,[63]COI!#REF!,[63]COI!$A$76:$IV$76,[63]COI!#REF!,[63]COI!#REF!,[63]COI!$A$94:$IV$94,[63]COI!$A$178:$IV$178,[63]COI!$A$181:$IV$183,[63]COI!$A$192:$IV$192,[63]COI!$A$219:$IV$219</definedName>
    <definedName name="Z_F28CBC21_556C_11DB_93B8_0008A132C219_.wvu.Rows" localSheetId="29" hidden="1">[63]COI!#REF!,[63]COI!#REF!,[63]COI!#REF!,[63]COI!#REF!,[63]COI!$A$76:$IV$76,[63]COI!#REF!,[63]COI!#REF!,[63]COI!$A$94:$IV$94,[63]COI!$A$178:$IV$178,[63]COI!$A$181:$IV$183,[63]COI!$A$192:$IV$192,[63]COI!$A$219:$IV$219</definedName>
    <definedName name="Z_F28CBC21_556C_11DB_93B8_0008A132C219_.wvu.Rows" hidden="1">[63]COI!#REF!,[63]COI!#REF!,[63]COI!#REF!,[63]COI!#REF!,[63]COI!$A$76:$IV$76,[63]COI!#REF!,[63]COI!#REF!,[63]COI!$A$94:$IV$94,[63]COI!$A$178:$IV$178,[63]COI!$A$181:$IV$183,[63]COI!$A$192:$IV$192,[63]COI!$A$219:$IV$219</definedName>
    <definedName name="Z_FECDEFC0_A783_4C3E_A42B_0363B174BEE2_.wvu.FilterData" localSheetId="11" hidden="1">#REF!</definedName>
    <definedName name="Z_FECDEFC0_A783_4C3E_A42B_0363B174BEE2_.wvu.FilterData" localSheetId="22" hidden="1">#REF!</definedName>
    <definedName name="Z_FECDEFC0_A783_4C3E_A42B_0363B174BEE2_.wvu.FilterData" localSheetId="28" hidden="1">#REF!</definedName>
    <definedName name="Z_FECDEFC0_A783_4C3E_A42B_0363B174BEE2_.wvu.FilterData" localSheetId="4" hidden="1">#REF!</definedName>
    <definedName name="Z_FECDEFC0_A783_4C3E_A42B_0363B174BEE2_.wvu.FilterData" localSheetId="12" hidden="1">#REF!</definedName>
    <definedName name="Z_FECDEFC0_A783_4C3E_A42B_0363B174BEE2_.wvu.FilterData" localSheetId="20" hidden="1">#REF!</definedName>
    <definedName name="Z_FECDEFC0_A783_4C3E_A42B_0363B174BEE2_.wvu.FilterData" localSheetId="17" hidden="1">[62]BS!#REF!</definedName>
    <definedName name="Z_FECDEFC0_A783_4C3E_A42B_0363B174BEE2_.wvu.FilterData" localSheetId="18" hidden="1">[62]BS!#REF!</definedName>
    <definedName name="Z_FECDEFC0_A783_4C3E_A42B_0363B174BEE2_.wvu.FilterData" localSheetId="21" hidden="1">#REF!</definedName>
    <definedName name="Z_FECDEFC0_A783_4C3E_A42B_0363B174BEE2_.wvu.FilterData" localSheetId="19" hidden="1">#REF!</definedName>
    <definedName name="Z_FECDEFC0_A783_4C3E_A42B_0363B174BEE2_.wvu.FilterData" localSheetId="29" hidden="1">#REF!</definedName>
    <definedName name="Z_FECDEFC0_A783_4C3E_A42B_0363B174BEE2_.wvu.FilterData" hidden="1">#REF!</definedName>
    <definedName name="Z_FECDEFC0_A783_4C3E_A42B_0363B174BEE2_.wvu.PrintTitles" localSheetId="22" hidden="1">#REF!</definedName>
    <definedName name="Z_FECDEFC0_A783_4C3E_A42B_0363B174BEE2_.wvu.PrintTitles" localSheetId="28" hidden="1">#REF!</definedName>
    <definedName name="Z_FECDEFC0_A783_4C3E_A42B_0363B174BEE2_.wvu.PrintTitles" localSheetId="17" hidden="1">#REF!</definedName>
    <definedName name="Z_FECDEFC0_A783_4C3E_A42B_0363B174BEE2_.wvu.PrintTitles" localSheetId="18" hidden="1">#REF!</definedName>
    <definedName name="Z_FECDEFC0_A783_4C3E_A42B_0363B174BEE2_.wvu.PrintTitles" localSheetId="21" hidden="1">#REF!</definedName>
    <definedName name="Z_FECDEFC0_A783_4C3E_A42B_0363B174BEE2_.wvu.PrintTitles" localSheetId="29" hidden="1">#REF!</definedName>
    <definedName name="Z_FECDEFC0_A783_4C3E_A42B_0363B174BEE2_.wvu.PrintTitles" hidden="1">#REF!</definedName>
    <definedName name="zcx" localSheetId="1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zcx" localSheetId="4"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zcx" localSheetId="12"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zcx" localSheetId="20"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zcx" localSheetId="17"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zcx" localSheetId="18"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zcx" localSheetId="19"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zcx"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s>
  <calcPr calcId="181029"/>
  <pivotCaches>
    <pivotCache cacheId="0" r:id="rId113"/>
  </pivotCaches>
</workbook>
</file>

<file path=xl/calcChain.xml><?xml version="1.0" encoding="utf-8"?>
<calcChain xmlns="http://schemas.openxmlformats.org/spreadsheetml/2006/main">
  <c r="G131" i="6" l="1"/>
  <c r="J9" i="28"/>
  <c r="J8" i="28"/>
  <c r="J7" i="28"/>
  <c r="E17" i="28"/>
  <c r="H8" i="28"/>
  <c r="H18" i="28"/>
  <c r="H17" i="28"/>
  <c r="I18" i="28"/>
  <c r="I9" i="28"/>
  <c r="I8" i="28"/>
  <c r="I17" i="28"/>
  <c r="F91" i="28"/>
  <c r="I91" i="28" s="1"/>
  <c r="F90" i="28"/>
  <c r="F89" i="28"/>
  <c r="F88" i="28"/>
  <c r="F85" i="28"/>
  <c r="C16" i="28" s="1"/>
  <c r="H485" i="6"/>
  <c r="I16" i="28" l="1"/>
  <c r="I7" i="28" l="1"/>
  <c r="E43" i="28"/>
  <c r="D43" i="28"/>
  <c r="C43" i="28"/>
  <c r="B43" i="28"/>
  <c r="E55" i="28"/>
  <c r="D55" i="28"/>
  <c r="C55" i="28"/>
  <c r="B55" i="28"/>
  <c r="I627" i="6"/>
  <c r="H579" i="6" l="1"/>
  <c r="I614" i="6"/>
  <c r="I597" i="6"/>
  <c r="I745" i="6" l="1"/>
  <c r="H745" i="6"/>
  <c r="H543" i="6"/>
  <c r="H544" i="6"/>
  <c r="H545" i="6"/>
  <c r="H546" i="6"/>
  <c r="H547" i="6"/>
  <c r="H540" i="6"/>
  <c r="J8" i="39" l="1"/>
  <c r="N8" i="39" s="1"/>
  <c r="J13" i="39"/>
  <c r="N13" i="39" s="1"/>
  <c r="J11" i="39"/>
  <c r="N11" i="39" s="1"/>
  <c r="J10" i="39"/>
  <c r="N10" i="39" s="1"/>
  <c r="J7" i="39"/>
  <c r="N7" i="39" s="1"/>
  <c r="N9" i="39" s="1"/>
  <c r="N12" i="39" l="1"/>
  <c r="N14" i="39" s="1"/>
  <c r="I8" i="39"/>
  <c r="M8" i="39" s="1"/>
  <c r="I13" i="39"/>
  <c r="M13" i="39" s="1"/>
  <c r="I11" i="39"/>
  <c r="M11" i="39" s="1"/>
  <c r="I10" i="39"/>
  <c r="M10" i="39" s="1"/>
  <c r="I7" i="39"/>
  <c r="M7" i="39" s="1"/>
  <c r="M9" i="39" l="1"/>
  <c r="M12" i="39" s="1"/>
  <c r="M14" i="39" s="1"/>
  <c r="H8" i="39"/>
  <c r="L8" i="39" s="1"/>
  <c r="H13" i="39"/>
  <c r="L13" i="39" s="1"/>
  <c r="H11" i="39"/>
  <c r="L11" i="39" s="1"/>
  <c r="H10" i="39"/>
  <c r="L10" i="39" s="1"/>
  <c r="H7" i="39"/>
  <c r="L7" i="39" s="1"/>
  <c r="L9" i="39" l="1"/>
  <c r="L12" i="39" s="1"/>
  <c r="L14" i="39" s="1"/>
  <c r="J9" i="39"/>
  <c r="J12" i="39" s="1"/>
  <c r="J14" i="39" s="1"/>
  <c r="I9" i="39"/>
  <c r="I12" i="39" s="1"/>
  <c r="I14" i="39" s="1"/>
  <c r="H9" i="39"/>
  <c r="H12" i="39" s="1"/>
  <c r="H14" i="39" s="1"/>
  <c r="G9" i="39"/>
  <c r="G12" i="39" s="1"/>
  <c r="G14" i="39" s="1"/>
  <c r="F9" i="39"/>
  <c r="F12" i="39" s="1"/>
  <c r="F14" i="39" s="1"/>
  <c r="E9" i="39"/>
  <c r="E12" i="39" s="1"/>
  <c r="E14" i="39" s="1"/>
  <c r="D9" i="39"/>
  <c r="D12" i="39" s="1"/>
  <c r="D14" i="39" s="1"/>
  <c r="I76" i="6"/>
  <c r="I141" i="6"/>
  <c r="I833" i="6"/>
  <c r="H833" i="6"/>
  <c r="H624" i="6"/>
  <c r="H631" i="6" s="1"/>
  <c r="H676" i="6" s="1"/>
  <c r="H684" i="6" s="1"/>
  <c r="I505" i="6"/>
  <c r="H504" i="6"/>
  <c r="I466" i="6"/>
  <c r="I504" i="6" s="1"/>
  <c r="I538" i="6" s="1"/>
  <c r="I624" i="6" s="1"/>
  <c r="I631" i="6" s="1"/>
  <c r="I676" i="6" s="1"/>
  <c r="I684" i="6" s="1"/>
  <c r="H384" i="6"/>
  <c r="I417" i="6"/>
  <c r="H417" i="6"/>
  <c r="H341" i="6"/>
  <c r="G341" i="6"/>
  <c r="G342" i="6"/>
  <c r="G343" i="6"/>
  <c r="G344" i="6"/>
  <c r="G345" i="6"/>
  <c r="G346" i="6"/>
  <c r="G347" i="6"/>
  <c r="F53" i="28"/>
  <c r="F55" i="28" s="1"/>
  <c r="F51" i="28"/>
  <c r="F41" i="28"/>
  <c r="F39" i="28"/>
  <c r="I418" i="6"/>
  <c r="H418" i="6"/>
  <c r="F43" i="28" l="1"/>
  <c r="I438" i="6"/>
  <c r="H438" i="6"/>
  <c r="H718" i="6" l="1"/>
  <c r="H717" i="6"/>
  <c r="G54" i="30" l="1"/>
  <c r="H31" i="30"/>
  <c r="G51" i="23" l="1"/>
  <c r="G40" i="23"/>
  <c r="G29" i="23"/>
  <c r="G19" i="23"/>
  <c r="G17" i="23"/>
  <c r="G12" i="23" l="1"/>
  <c r="G13" i="23" s="1"/>
  <c r="G11" i="37" l="1"/>
  <c r="F11" i="37"/>
  <c r="E11" i="37"/>
  <c r="D11" i="37"/>
  <c r="C11" i="37"/>
  <c r="J41" i="34" l="1"/>
  <c r="F36" i="34" l="1"/>
  <c r="F30" i="34"/>
  <c r="F29" i="34"/>
  <c r="F28" i="34"/>
  <c r="F27" i="34"/>
  <c r="E29" i="34"/>
  <c r="J29" i="34" s="1"/>
  <c r="E28" i="34"/>
  <c r="J28" i="34" s="1"/>
  <c r="E45" i="36"/>
  <c r="E44" i="36"/>
  <c r="E43" i="36"/>
  <c r="E35" i="36"/>
  <c r="E28" i="36"/>
  <c r="E27" i="36"/>
  <c r="E26" i="36"/>
  <c r="E25" i="36"/>
  <c r="E24" i="36"/>
  <c r="E23" i="36"/>
  <c r="E22" i="36"/>
  <c r="E21" i="36"/>
  <c r="E20" i="36"/>
  <c r="E19" i="36"/>
  <c r="E18" i="36"/>
  <c r="E17" i="36"/>
  <c r="D19" i="35"/>
  <c r="D13" i="35"/>
  <c r="C19" i="35"/>
  <c r="C13" i="35"/>
  <c r="E50" i="36"/>
  <c r="D50" i="36"/>
  <c r="D35" i="36"/>
  <c r="E31" i="36"/>
  <c r="E37" i="34"/>
  <c r="E36" i="34"/>
  <c r="C30" i="34"/>
  <c r="D29" i="34"/>
  <c r="D31" i="34" s="1"/>
  <c r="C29" i="34"/>
  <c r="C28" i="34"/>
  <c r="E22" i="34"/>
  <c r="D20" i="34"/>
  <c r="D12" i="34"/>
  <c r="E6" i="37" s="1"/>
  <c r="E47" i="36" l="1"/>
  <c r="E29" i="36"/>
  <c r="F31" i="34"/>
  <c r="D21" i="34"/>
  <c r="C20" i="34"/>
  <c r="D25" i="34"/>
  <c r="C12" i="34"/>
  <c r="D6" i="37" s="1"/>
  <c r="D23" i="34" l="1"/>
  <c r="E7" i="37"/>
  <c r="D32" i="34"/>
  <c r="D43" i="34" s="1"/>
  <c r="E14" i="37" s="1"/>
  <c r="E8" i="37"/>
  <c r="L37" i="34"/>
  <c r="C21" i="34"/>
  <c r="C25" i="34"/>
  <c r="D8" i="37" s="1"/>
  <c r="D42" i="34" l="1"/>
  <c r="E13" i="37" s="1"/>
  <c r="D38" i="34"/>
  <c r="E10" i="37" s="1"/>
  <c r="C23" i="34"/>
  <c r="D7" i="37"/>
  <c r="E9" i="37"/>
  <c r="K37" i="34"/>
  <c r="C31" i="34"/>
  <c r="C32" i="34" s="1"/>
  <c r="D9" i="37" s="1"/>
  <c r="C42" i="34" l="1"/>
  <c r="D13" i="37" s="1"/>
  <c r="C43" i="34"/>
  <c r="D14" i="37" s="1"/>
  <c r="C38" i="34"/>
  <c r="D10" i="37" s="1"/>
  <c r="J37" i="34"/>
  <c r="K9" i="31" l="1"/>
  <c r="M25" i="11"/>
  <c r="H448" i="6" s="1"/>
  <c r="J77" i="6"/>
  <c r="C38" i="22" l="1"/>
  <c r="E34" i="36" s="1"/>
  <c r="E40" i="36" s="1"/>
  <c r="C39" i="22"/>
  <c r="K34" i="25"/>
  <c r="C67" i="28"/>
  <c r="C65" i="28"/>
  <c r="H234" i="6"/>
  <c r="K19" i="25"/>
  <c r="K68" i="25"/>
  <c r="K21" i="25"/>
  <c r="K70" i="25"/>
  <c r="K22" i="25"/>
  <c r="P9" i="31" l="1"/>
  <c r="M9" i="31" s="1"/>
  <c r="H606" i="6" s="1"/>
  <c r="I665" i="6"/>
  <c r="Z17" i="31"/>
  <c r="X17" i="31"/>
  <c r="Y17" i="31" s="1"/>
  <c r="Z16" i="31"/>
  <c r="X16" i="31"/>
  <c r="Y16" i="31" s="1"/>
  <c r="Z15" i="31"/>
  <c r="X15" i="31"/>
  <c r="Y15" i="31" s="1"/>
  <c r="Z14" i="31"/>
  <c r="X14" i="31"/>
  <c r="Y14" i="31" s="1"/>
  <c r="Z13" i="31"/>
  <c r="X13" i="31"/>
  <c r="Y13" i="31" s="1"/>
  <c r="Z12" i="31"/>
  <c r="X12" i="31"/>
  <c r="Y12" i="31" s="1"/>
  <c r="AA13" i="31" l="1"/>
  <c r="AB13" i="31" s="1"/>
  <c r="AA15" i="31"/>
  <c r="AB15" i="31" s="1"/>
  <c r="AA12" i="31"/>
  <c r="AB12" i="31" s="1"/>
  <c r="AA17" i="31"/>
  <c r="AB17" i="31" s="1"/>
  <c r="AA16" i="31"/>
  <c r="AB16" i="31" s="1"/>
  <c r="AA14" i="31"/>
  <c r="AB14" i="31" s="1"/>
  <c r="H357" i="6" l="1"/>
  <c r="G357" i="6"/>
  <c r="H356" i="6"/>
  <c r="G356" i="6"/>
  <c r="H355" i="6"/>
  <c r="G355" i="6"/>
  <c r="H354" i="6"/>
  <c r="G354" i="6"/>
  <c r="H353" i="6"/>
  <c r="G353" i="6"/>
  <c r="H352" i="6"/>
  <c r="G352" i="6"/>
  <c r="H351" i="6"/>
  <c r="G351" i="6"/>
  <c r="H347" i="6"/>
  <c r="H346" i="6"/>
  <c r="H345" i="6"/>
  <c r="H344" i="6"/>
  <c r="H343" i="6"/>
  <c r="H342" i="6"/>
  <c r="H828" i="6"/>
  <c r="G19" i="8"/>
  <c r="C130" i="6"/>
  <c r="C207" i="6" s="1"/>
  <c r="C969" i="6" s="1"/>
  <c r="C131" i="6"/>
  <c r="C208" i="6" s="1"/>
  <c r="C970" i="6" s="1"/>
  <c r="C129" i="6"/>
  <c r="C206" i="6" s="1"/>
  <c r="C968" i="6" s="1"/>
  <c r="C127" i="6"/>
  <c r="C204" i="6" s="1"/>
  <c r="C126" i="6"/>
  <c r="C203" i="6" s="1"/>
  <c r="C125" i="6"/>
  <c r="C202" i="6" s="1"/>
  <c r="C121" i="6"/>
  <c r="C198" i="6" s="1"/>
  <c r="C120" i="6"/>
  <c r="C197" i="6" s="1"/>
  <c r="C119" i="6"/>
  <c r="C196" i="6" s="1"/>
  <c r="C117" i="6"/>
  <c r="C195" i="6" s="1"/>
  <c r="H873" i="6"/>
  <c r="H875" i="6"/>
  <c r="H368" i="6"/>
  <c r="H247" i="6" l="1"/>
  <c r="C70" i="28"/>
  <c r="I11" i="28" s="1"/>
  <c r="C69" i="28"/>
  <c r="H11" i="28" s="1"/>
  <c r="C68" i="28"/>
  <c r="H495" i="2"/>
  <c r="J495" i="2" s="1"/>
  <c r="E495" i="2"/>
  <c r="G495" i="2" s="1"/>
  <c r="F1" i="2"/>
  <c r="E457" i="32"/>
  <c r="K454" i="32"/>
  <c r="J454" i="32"/>
  <c r="F454" i="32"/>
  <c r="M454" i="32" s="1"/>
  <c r="F453" i="32"/>
  <c r="L453" i="32" s="1"/>
  <c r="F452" i="32"/>
  <c r="K452" i="32" s="1"/>
  <c r="F451" i="32"/>
  <c r="L451" i="32" s="1"/>
  <c r="F450" i="32"/>
  <c r="K450" i="32" s="1"/>
  <c r="F449" i="32"/>
  <c r="F448" i="32"/>
  <c r="F447" i="32"/>
  <c r="L447" i="32" s="1"/>
  <c r="F446" i="32"/>
  <c r="K446" i="32" s="1"/>
  <c r="F445" i="32"/>
  <c r="J444" i="32"/>
  <c r="F444" i="32"/>
  <c r="M444" i="32" s="1"/>
  <c r="F443" i="32"/>
  <c r="F442" i="32"/>
  <c r="M442" i="32" s="1"/>
  <c r="F441" i="32"/>
  <c r="F440" i="32"/>
  <c r="M440" i="32" s="1"/>
  <c r="F439" i="32"/>
  <c r="L439" i="32" s="1"/>
  <c r="F438" i="32"/>
  <c r="M438" i="32" s="1"/>
  <c r="F437" i="32"/>
  <c r="L437" i="32" s="1"/>
  <c r="F436" i="32"/>
  <c r="F435" i="32"/>
  <c r="F434" i="32"/>
  <c r="I433" i="32"/>
  <c r="F433" i="32"/>
  <c r="M433" i="32" s="1"/>
  <c r="F432" i="32"/>
  <c r="F431" i="32"/>
  <c r="F430" i="32"/>
  <c r="F429" i="32"/>
  <c r="F428" i="32"/>
  <c r="M428" i="32" s="1"/>
  <c r="F427" i="32"/>
  <c r="F426" i="32"/>
  <c r="M426" i="32" s="1"/>
  <c r="F425" i="32"/>
  <c r="F424" i="32"/>
  <c r="M424" i="32" s="1"/>
  <c r="F423" i="32"/>
  <c r="L423" i="32" s="1"/>
  <c r="F422" i="32"/>
  <c r="F421" i="32"/>
  <c r="F420" i="32"/>
  <c r="M420" i="32" s="1"/>
  <c r="F419" i="32"/>
  <c r="I419" i="32" s="1"/>
  <c r="F418" i="32"/>
  <c r="M418" i="32" s="1"/>
  <c r="F417" i="32"/>
  <c r="F416" i="32"/>
  <c r="M416" i="32" s="1"/>
  <c r="F415" i="32"/>
  <c r="L415" i="32" s="1"/>
  <c r="F414" i="32"/>
  <c r="M414" i="32" s="1"/>
  <c r="F413" i="32"/>
  <c r="I413" i="32" s="1"/>
  <c r="F412" i="32"/>
  <c r="K412" i="32" s="1"/>
  <c r="F411" i="32"/>
  <c r="L411" i="32" s="1"/>
  <c r="F410" i="32"/>
  <c r="K410" i="32" s="1"/>
  <c r="F409" i="32"/>
  <c r="F408" i="32"/>
  <c r="K408" i="32" s="1"/>
  <c r="F407" i="32"/>
  <c r="M407" i="32" s="1"/>
  <c r="L406" i="32"/>
  <c r="F406" i="32"/>
  <c r="J406" i="32" s="1"/>
  <c r="F405" i="32"/>
  <c r="M405" i="32" s="1"/>
  <c r="F404" i="32"/>
  <c r="J404" i="32" s="1"/>
  <c r="F403" i="32"/>
  <c r="F402" i="32"/>
  <c r="K402" i="32" s="1"/>
  <c r="F401" i="32"/>
  <c r="F400" i="32"/>
  <c r="F399" i="32"/>
  <c r="L399" i="32" s="1"/>
  <c r="F398" i="32"/>
  <c r="J398" i="32" s="1"/>
  <c r="F397" i="32"/>
  <c r="F396" i="32"/>
  <c r="M396" i="32" s="1"/>
  <c r="F395" i="32"/>
  <c r="M395" i="32" s="1"/>
  <c r="F394" i="32"/>
  <c r="F393" i="32"/>
  <c r="L393" i="32" s="1"/>
  <c r="F392" i="32"/>
  <c r="M392" i="32" s="1"/>
  <c r="F391" i="32"/>
  <c r="F390" i="32"/>
  <c r="K390" i="32" s="1"/>
  <c r="F389" i="32"/>
  <c r="L389" i="32" s="1"/>
  <c r="F388" i="32"/>
  <c r="F387" i="32"/>
  <c r="L387" i="32" s="1"/>
  <c r="F386" i="32"/>
  <c r="J386" i="32" s="1"/>
  <c r="F385" i="32"/>
  <c r="F384" i="32"/>
  <c r="F383" i="32"/>
  <c r="F382" i="32"/>
  <c r="K382" i="32" s="1"/>
  <c r="F381" i="32"/>
  <c r="L381" i="32" s="1"/>
  <c r="M380" i="32"/>
  <c r="L380" i="32"/>
  <c r="K380" i="32"/>
  <c r="J380" i="32"/>
  <c r="E379" i="32"/>
  <c r="F377" i="32"/>
  <c r="J377" i="32" s="1"/>
  <c r="F376" i="32"/>
  <c r="K376" i="32" s="1"/>
  <c r="E374" i="32"/>
  <c r="F372" i="32"/>
  <c r="F371" i="32"/>
  <c r="L371" i="32" s="1"/>
  <c r="F370" i="32"/>
  <c r="J370" i="32" s="1"/>
  <c r="F369" i="32"/>
  <c r="M369" i="32" s="1"/>
  <c r="F368" i="32"/>
  <c r="I368" i="32" s="1"/>
  <c r="F367" i="32"/>
  <c r="E365" i="32"/>
  <c r="F363" i="32"/>
  <c r="I362" i="32"/>
  <c r="F362" i="32"/>
  <c r="M362" i="32" s="1"/>
  <c r="E360" i="32"/>
  <c r="F358" i="32"/>
  <c r="K358" i="32" s="1"/>
  <c r="J357" i="32"/>
  <c r="F357" i="32"/>
  <c r="L357" i="32" s="1"/>
  <c r="F356" i="32"/>
  <c r="I356" i="32" s="1"/>
  <c r="M355" i="32"/>
  <c r="L355" i="32"/>
  <c r="K355" i="32"/>
  <c r="J355" i="32"/>
  <c r="I355" i="32"/>
  <c r="I352" i="32"/>
  <c r="F352" i="32"/>
  <c r="K352" i="32" s="1"/>
  <c r="F351" i="32"/>
  <c r="K351" i="32" s="1"/>
  <c r="F350" i="32"/>
  <c r="M350" i="32" s="1"/>
  <c r="F349" i="32"/>
  <c r="F348" i="32"/>
  <c r="F347" i="32"/>
  <c r="J347" i="32" s="1"/>
  <c r="E347" i="32"/>
  <c r="E354" i="32" s="1"/>
  <c r="M346" i="32"/>
  <c r="L346" i="32"/>
  <c r="K346" i="32"/>
  <c r="J346" i="32"/>
  <c r="I346" i="32"/>
  <c r="E345" i="32"/>
  <c r="F343" i="32"/>
  <c r="M343" i="32" s="1"/>
  <c r="F342" i="32"/>
  <c r="F341" i="32"/>
  <c r="M341" i="32" s="1"/>
  <c r="M340" i="32"/>
  <c r="L340" i="32"/>
  <c r="K340" i="32"/>
  <c r="J340" i="32"/>
  <c r="I340" i="32"/>
  <c r="E339" i="32"/>
  <c r="M338" i="32"/>
  <c r="L338" i="32"/>
  <c r="K338" i="32"/>
  <c r="J338" i="32"/>
  <c r="I338" i="32"/>
  <c r="F337" i="32"/>
  <c r="L337" i="32" s="1"/>
  <c r="F336" i="32"/>
  <c r="I336" i="32" s="1"/>
  <c r="F335" i="32"/>
  <c r="F334" i="32"/>
  <c r="J334" i="32" s="1"/>
  <c r="J333" i="32"/>
  <c r="F333" i="32"/>
  <c r="L333" i="32" s="1"/>
  <c r="E332" i="32"/>
  <c r="F330" i="32"/>
  <c r="F329" i="32"/>
  <c r="I329" i="32" s="1"/>
  <c r="F328" i="32"/>
  <c r="I328" i="32" s="1"/>
  <c r="F327" i="32"/>
  <c r="I327" i="32" s="1"/>
  <c r="F326" i="32"/>
  <c r="L326" i="32" s="1"/>
  <c r="F325" i="32"/>
  <c r="F324" i="32"/>
  <c r="E323" i="32"/>
  <c r="F321" i="32"/>
  <c r="F320" i="32"/>
  <c r="I320" i="32" s="1"/>
  <c r="F319" i="32"/>
  <c r="I319" i="32" s="1"/>
  <c r="F318" i="32"/>
  <c r="I318" i="32" s="1"/>
  <c r="F317" i="32"/>
  <c r="I317" i="32" s="1"/>
  <c r="I316" i="32"/>
  <c r="F316" i="32"/>
  <c r="F315" i="32"/>
  <c r="I315" i="32" s="1"/>
  <c r="F314" i="32"/>
  <c r="I314" i="32" s="1"/>
  <c r="F313" i="32"/>
  <c r="I313" i="32" s="1"/>
  <c r="F312" i="32"/>
  <c r="I312" i="32" s="1"/>
  <c r="F311" i="32"/>
  <c r="F310" i="32"/>
  <c r="M310" i="32" s="1"/>
  <c r="E309" i="32"/>
  <c r="I307" i="32"/>
  <c r="I306" i="32"/>
  <c r="I305" i="32"/>
  <c r="I304" i="32"/>
  <c r="I303" i="32"/>
  <c r="I302" i="32"/>
  <c r="I301" i="32"/>
  <c r="I300" i="32"/>
  <c r="I299" i="32"/>
  <c r="I298" i="32"/>
  <c r="F297" i="32"/>
  <c r="I297" i="32" s="1"/>
  <c r="I296" i="32"/>
  <c r="F296" i="32"/>
  <c r="F295" i="32"/>
  <c r="I295" i="32" s="1"/>
  <c r="F294" i="32"/>
  <c r="I294" i="32" s="1"/>
  <c r="F293" i="32"/>
  <c r="I293" i="32" s="1"/>
  <c r="F292" i="32"/>
  <c r="I292" i="32" s="1"/>
  <c r="F291" i="32"/>
  <c r="I291" i="32" s="1"/>
  <c r="F290" i="32"/>
  <c r="I290" i="32" s="1"/>
  <c r="F289" i="32"/>
  <c r="I289" i="32" s="1"/>
  <c r="F288" i="32"/>
  <c r="I288" i="32" s="1"/>
  <c r="F287" i="32"/>
  <c r="I287" i="32" s="1"/>
  <c r="F286" i="32"/>
  <c r="I286" i="32" s="1"/>
  <c r="F285" i="32"/>
  <c r="I285" i="32" s="1"/>
  <c r="F284" i="32"/>
  <c r="I284" i="32" s="1"/>
  <c r="F283" i="32"/>
  <c r="I283" i="32" s="1"/>
  <c r="F282" i="32"/>
  <c r="I282" i="32" s="1"/>
  <c r="F281" i="32"/>
  <c r="I281" i="32" s="1"/>
  <c r="F280" i="32"/>
  <c r="I280" i="32" s="1"/>
  <c r="F279" i="32"/>
  <c r="I279" i="32" s="1"/>
  <c r="F278" i="32"/>
  <c r="I278" i="32" s="1"/>
  <c r="F277" i="32"/>
  <c r="I277" i="32" s="1"/>
  <c r="F276" i="32"/>
  <c r="I276" i="32" s="1"/>
  <c r="F275" i="32"/>
  <c r="I275" i="32" s="1"/>
  <c r="F274" i="32"/>
  <c r="I274" i="32" s="1"/>
  <c r="F273" i="32"/>
  <c r="I273" i="32" s="1"/>
  <c r="F272" i="32"/>
  <c r="I272" i="32" s="1"/>
  <c r="F271" i="32"/>
  <c r="I271" i="32" s="1"/>
  <c r="F270" i="32"/>
  <c r="I270" i="32" s="1"/>
  <c r="F269" i="32"/>
  <c r="F268" i="32"/>
  <c r="M268" i="32" s="1"/>
  <c r="F267" i="32"/>
  <c r="K267" i="32" s="1"/>
  <c r="F266" i="32"/>
  <c r="K266" i="32" s="1"/>
  <c r="F265" i="32"/>
  <c r="J265" i="32" s="1"/>
  <c r="M264" i="32"/>
  <c r="L264" i="32"/>
  <c r="K264" i="32"/>
  <c r="J264" i="32"/>
  <c r="I264" i="32"/>
  <c r="E263" i="32"/>
  <c r="F261" i="32"/>
  <c r="I260" i="32"/>
  <c r="F260" i="32"/>
  <c r="L260" i="32" s="1"/>
  <c r="F259" i="32"/>
  <c r="K259" i="32" s="1"/>
  <c r="F258" i="32"/>
  <c r="J258" i="32" s="1"/>
  <c r="M257" i="32"/>
  <c r="L257" i="32"/>
  <c r="K257" i="32"/>
  <c r="J257" i="32"/>
  <c r="I257" i="32"/>
  <c r="E256" i="32"/>
  <c r="F254" i="32"/>
  <c r="K254" i="32" s="1"/>
  <c r="F253" i="32"/>
  <c r="L253" i="32" s="1"/>
  <c r="L252" i="32"/>
  <c r="F252" i="32"/>
  <c r="K252" i="32" s="1"/>
  <c r="F251" i="32"/>
  <c r="F250" i="32"/>
  <c r="F249" i="32"/>
  <c r="I249" i="32" s="1"/>
  <c r="F248" i="32"/>
  <c r="F247" i="32"/>
  <c r="K247" i="32" s="1"/>
  <c r="F246" i="32"/>
  <c r="J246" i="32" s="1"/>
  <c r="F245" i="32"/>
  <c r="F244" i="32"/>
  <c r="F243" i="32"/>
  <c r="K243" i="32" s="1"/>
  <c r="F242" i="32"/>
  <c r="K242" i="32" s="1"/>
  <c r="F241" i="32"/>
  <c r="K241" i="32" s="1"/>
  <c r="F240" i="32"/>
  <c r="F239" i="32"/>
  <c r="L239" i="32" s="1"/>
  <c r="F238" i="32"/>
  <c r="L238" i="32" s="1"/>
  <c r="F237" i="32"/>
  <c r="F236" i="32"/>
  <c r="E235" i="32"/>
  <c r="F233" i="32"/>
  <c r="M233" i="32" s="1"/>
  <c r="F232" i="32"/>
  <c r="F231" i="32"/>
  <c r="F230" i="32"/>
  <c r="F229" i="32"/>
  <c r="M229" i="32" s="1"/>
  <c r="H228" i="32"/>
  <c r="G228" i="32"/>
  <c r="E228" i="32"/>
  <c r="F227" i="32"/>
  <c r="M227" i="32" s="1"/>
  <c r="F226" i="32"/>
  <c r="M226" i="32" s="1"/>
  <c r="F225" i="32"/>
  <c r="M225" i="32" s="1"/>
  <c r="F224" i="32"/>
  <c r="M224" i="32" s="1"/>
  <c r="F223" i="32"/>
  <c r="F222" i="32"/>
  <c r="L222" i="32" s="1"/>
  <c r="F221" i="32"/>
  <c r="K221" i="32" s="1"/>
  <c r="F220" i="32"/>
  <c r="L220" i="32" s="1"/>
  <c r="F219" i="32"/>
  <c r="F218" i="32"/>
  <c r="I218" i="32" s="1"/>
  <c r="F217" i="32"/>
  <c r="F216" i="32"/>
  <c r="L216" i="32" s="1"/>
  <c r="K215" i="32"/>
  <c r="J215" i="32"/>
  <c r="F215" i="32"/>
  <c r="M215" i="32" s="1"/>
  <c r="F214" i="32"/>
  <c r="M214" i="32" s="1"/>
  <c r="F213" i="32"/>
  <c r="F212" i="32"/>
  <c r="F211" i="32"/>
  <c r="F210" i="32"/>
  <c r="M210" i="32" s="1"/>
  <c r="F209" i="32"/>
  <c r="M209" i="32" s="1"/>
  <c r="F208" i="32"/>
  <c r="L208" i="32" s="1"/>
  <c r="F207" i="32"/>
  <c r="J207" i="32" s="1"/>
  <c r="F206" i="32"/>
  <c r="F205" i="32"/>
  <c r="K205" i="32" s="1"/>
  <c r="F204" i="32"/>
  <c r="L204" i="32" s="1"/>
  <c r="F203" i="32"/>
  <c r="F202" i="32"/>
  <c r="M202" i="32" s="1"/>
  <c r="F201" i="32"/>
  <c r="F200" i="32"/>
  <c r="L200" i="32" s="1"/>
  <c r="K199" i="32"/>
  <c r="F199" i="32"/>
  <c r="M199" i="32" s="1"/>
  <c r="M198" i="32"/>
  <c r="L198" i="32"/>
  <c r="F198" i="32"/>
  <c r="I198" i="32" s="1"/>
  <c r="F197" i="32"/>
  <c r="F196" i="32"/>
  <c r="F195" i="32"/>
  <c r="J195" i="32" s="1"/>
  <c r="F194" i="32"/>
  <c r="F193" i="32"/>
  <c r="M193" i="32" s="1"/>
  <c r="F192" i="32"/>
  <c r="J191" i="32"/>
  <c r="F191" i="32"/>
  <c r="F190" i="32"/>
  <c r="F189" i="32"/>
  <c r="F188" i="32"/>
  <c r="L188" i="32" s="1"/>
  <c r="F187" i="32"/>
  <c r="F186" i="32"/>
  <c r="I186" i="32" s="1"/>
  <c r="F185" i="32"/>
  <c r="J185" i="32" s="1"/>
  <c r="F184" i="32"/>
  <c r="F183" i="32"/>
  <c r="M183" i="32" s="1"/>
  <c r="F182" i="32"/>
  <c r="M182" i="32" s="1"/>
  <c r="F181" i="32"/>
  <c r="M181" i="32" s="1"/>
  <c r="F180" i="32"/>
  <c r="F179" i="32"/>
  <c r="M179" i="32" s="1"/>
  <c r="F178" i="32"/>
  <c r="F177" i="32"/>
  <c r="M177" i="32" s="1"/>
  <c r="F176" i="32"/>
  <c r="L176" i="32" s="1"/>
  <c r="F175" i="32"/>
  <c r="J175" i="32" s="1"/>
  <c r="F174" i="32"/>
  <c r="I174" i="32" s="1"/>
  <c r="F173" i="32"/>
  <c r="F172" i="32"/>
  <c r="F171" i="32"/>
  <c r="F170" i="32"/>
  <c r="M170" i="32" s="1"/>
  <c r="F169" i="32"/>
  <c r="F168" i="32"/>
  <c r="F167" i="32"/>
  <c r="M167" i="32" s="1"/>
  <c r="F166" i="32"/>
  <c r="L166" i="32" s="1"/>
  <c r="F165" i="32"/>
  <c r="M165" i="32" s="1"/>
  <c r="F164" i="32"/>
  <c r="L164" i="32" s="1"/>
  <c r="F163" i="32"/>
  <c r="M163" i="32" s="1"/>
  <c r="F162" i="32"/>
  <c r="F161" i="32"/>
  <c r="M161" i="32" s="1"/>
  <c r="F160" i="32"/>
  <c r="M160" i="32" s="1"/>
  <c r="F159" i="32"/>
  <c r="F158" i="32"/>
  <c r="I158" i="32" s="1"/>
  <c r="F157" i="32"/>
  <c r="F156" i="32"/>
  <c r="F155" i="32"/>
  <c r="F154" i="32"/>
  <c r="M154" i="32" s="1"/>
  <c r="F153" i="32"/>
  <c r="F152" i="32"/>
  <c r="F151" i="32"/>
  <c r="M151" i="32" s="1"/>
  <c r="F150" i="32"/>
  <c r="M150" i="32" s="1"/>
  <c r="J149" i="32"/>
  <c r="F149" i="32"/>
  <c r="M149" i="32" s="1"/>
  <c r="F148" i="32"/>
  <c r="J147" i="32"/>
  <c r="F147" i="32"/>
  <c r="M147" i="32" s="1"/>
  <c r="F146" i="32"/>
  <c r="F145" i="32"/>
  <c r="M145" i="32" s="1"/>
  <c r="F144" i="32"/>
  <c r="M144" i="32" s="1"/>
  <c r="F143" i="32"/>
  <c r="J143" i="32" s="1"/>
  <c r="F142" i="32"/>
  <c r="I142" i="32" s="1"/>
  <c r="F141" i="32"/>
  <c r="F140" i="32"/>
  <c r="L140" i="32" s="1"/>
  <c r="F139" i="32"/>
  <c r="F138" i="32"/>
  <c r="M138" i="32" s="1"/>
  <c r="F137" i="32"/>
  <c r="F136" i="32"/>
  <c r="F135" i="32"/>
  <c r="M135" i="32" s="1"/>
  <c r="L134" i="32"/>
  <c r="F134" i="32"/>
  <c r="M134" i="32" s="1"/>
  <c r="F133" i="32"/>
  <c r="M133" i="32" s="1"/>
  <c r="F132" i="32"/>
  <c r="L132" i="32" s="1"/>
  <c r="E131" i="32"/>
  <c r="F129" i="32"/>
  <c r="M129" i="32" s="1"/>
  <c r="F128" i="32"/>
  <c r="J128" i="32" s="1"/>
  <c r="F127" i="32"/>
  <c r="F126" i="32"/>
  <c r="M126" i="32" s="1"/>
  <c r="F125" i="32"/>
  <c r="M125" i="32" s="1"/>
  <c r="E123" i="32"/>
  <c r="F120" i="32"/>
  <c r="L120" i="32" s="1"/>
  <c r="F119" i="32"/>
  <c r="E117" i="32"/>
  <c r="F115" i="32"/>
  <c r="F114" i="32"/>
  <c r="F113" i="32"/>
  <c r="M113" i="32" s="1"/>
  <c r="E111" i="32"/>
  <c r="I110" i="32"/>
  <c r="F109" i="32"/>
  <c r="I109" i="32" s="1"/>
  <c r="F108" i="32"/>
  <c r="K107" i="32"/>
  <c r="F107" i="32"/>
  <c r="M107" i="32" s="1"/>
  <c r="F106" i="32"/>
  <c r="K105" i="32"/>
  <c r="F105" i="32"/>
  <c r="M105" i="32" s="1"/>
  <c r="F104" i="32"/>
  <c r="L104" i="32" s="1"/>
  <c r="F103" i="32"/>
  <c r="F102" i="32"/>
  <c r="L102" i="32" s="1"/>
  <c r="F101" i="32"/>
  <c r="K101" i="32" s="1"/>
  <c r="F100" i="32"/>
  <c r="F99" i="32"/>
  <c r="F98" i="32"/>
  <c r="I98" i="32" s="1"/>
  <c r="F97" i="32"/>
  <c r="F96" i="32"/>
  <c r="L96" i="32" s="1"/>
  <c r="F95" i="32"/>
  <c r="M95" i="32" s="1"/>
  <c r="F94" i="32"/>
  <c r="L94" i="32" s="1"/>
  <c r="F93" i="32"/>
  <c r="M93" i="32" s="1"/>
  <c r="F92" i="32"/>
  <c r="L92" i="32" s="1"/>
  <c r="F91" i="32"/>
  <c r="M91" i="32" s="1"/>
  <c r="F90" i="32"/>
  <c r="M90" i="32" s="1"/>
  <c r="F89" i="32"/>
  <c r="J89" i="32" s="1"/>
  <c r="F88" i="32"/>
  <c r="K88" i="32" s="1"/>
  <c r="F87" i="32"/>
  <c r="F86" i="32"/>
  <c r="F85" i="32"/>
  <c r="J85" i="32" s="1"/>
  <c r="F84" i="32"/>
  <c r="K84" i="32" s="1"/>
  <c r="F83" i="32"/>
  <c r="K83" i="32" s="1"/>
  <c r="F82" i="32"/>
  <c r="F81" i="32"/>
  <c r="L81" i="32" s="1"/>
  <c r="M80" i="32"/>
  <c r="L80" i="32"/>
  <c r="K80" i="32"/>
  <c r="E80" i="32"/>
  <c r="F78" i="32"/>
  <c r="F77" i="32"/>
  <c r="J77" i="32" s="1"/>
  <c r="J80" i="32" s="1"/>
  <c r="E75" i="32"/>
  <c r="F73" i="32"/>
  <c r="F72" i="32"/>
  <c r="I72" i="32" s="1"/>
  <c r="F71" i="32"/>
  <c r="I71" i="32" s="1"/>
  <c r="F70" i="32"/>
  <c r="I70" i="32" s="1"/>
  <c r="F69" i="32"/>
  <c r="G69" i="32" s="1"/>
  <c r="H69" i="32" s="1"/>
  <c r="A69" i="32"/>
  <c r="E68" i="32"/>
  <c r="F66" i="32"/>
  <c r="I66" i="32" s="1"/>
  <c r="E66" i="32"/>
  <c r="F65" i="32"/>
  <c r="I65" i="32" s="1"/>
  <c r="F64" i="32"/>
  <c r="I64" i="32" s="1"/>
  <c r="F63" i="32"/>
  <c r="J63" i="32" s="1"/>
  <c r="F62" i="32"/>
  <c r="J62" i="32" s="1"/>
  <c r="F61" i="32"/>
  <c r="I61" i="32" s="1"/>
  <c r="F60" i="32"/>
  <c r="I60" i="32" s="1"/>
  <c r="F59" i="32"/>
  <c r="J59" i="32" s="1"/>
  <c r="F58" i="32"/>
  <c r="J58" i="32" s="1"/>
  <c r="F57" i="32"/>
  <c r="I57" i="32" s="1"/>
  <c r="F56" i="32"/>
  <c r="J56" i="32" s="1"/>
  <c r="F55" i="32"/>
  <c r="I55" i="32" s="1"/>
  <c r="F54" i="32"/>
  <c r="J54" i="32" s="1"/>
  <c r="F53" i="32"/>
  <c r="I53" i="32" s="1"/>
  <c r="F52" i="32"/>
  <c r="I52" i="32" s="1"/>
  <c r="I51" i="32"/>
  <c r="F50" i="32"/>
  <c r="I50" i="32" s="1"/>
  <c r="F49" i="32"/>
  <c r="J49" i="32" s="1"/>
  <c r="F48" i="32"/>
  <c r="J48" i="32" s="1"/>
  <c r="F47" i="32"/>
  <c r="I47" i="32" s="1"/>
  <c r="F46" i="32"/>
  <c r="J46" i="32" s="1"/>
  <c r="F45" i="32"/>
  <c r="J45" i="32" s="1"/>
  <c r="F44" i="32"/>
  <c r="J44" i="32" s="1"/>
  <c r="F43" i="32"/>
  <c r="I43" i="32" s="1"/>
  <c r="F42" i="32"/>
  <c r="I42" i="32" s="1"/>
  <c r="F41" i="32"/>
  <c r="J41" i="32" s="1"/>
  <c r="F40" i="32"/>
  <c r="J40" i="32" s="1"/>
  <c r="F39" i="32"/>
  <c r="I39" i="32" s="1"/>
  <c r="F38" i="32"/>
  <c r="J38" i="32" s="1"/>
  <c r="F37" i="32"/>
  <c r="J37" i="32" s="1"/>
  <c r="F36" i="32"/>
  <c r="J36" i="32" s="1"/>
  <c r="F35" i="32"/>
  <c r="I35" i="32" s="1"/>
  <c r="F34" i="32"/>
  <c r="F33" i="32"/>
  <c r="K33" i="32" s="1"/>
  <c r="F32" i="32"/>
  <c r="K32" i="32" s="1"/>
  <c r="F31" i="32"/>
  <c r="J31" i="32" s="1"/>
  <c r="F30" i="32"/>
  <c r="K30" i="32" s="1"/>
  <c r="E28" i="32"/>
  <c r="F26" i="32"/>
  <c r="I26" i="32" s="1"/>
  <c r="F25" i="32"/>
  <c r="L25" i="32" s="1"/>
  <c r="F24" i="32"/>
  <c r="K24" i="32" s="1"/>
  <c r="F23" i="32"/>
  <c r="J23" i="32" s="1"/>
  <c r="F22" i="32"/>
  <c r="K22" i="32" s="1"/>
  <c r="F21" i="32"/>
  <c r="M20" i="32"/>
  <c r="L20" i="32"/>
  <c r="K20" i="32"/>
  <c r="J20" i="32"/>
  <c r="I20" i="32"/>
  <c r="E19" i="32"/>
  <c r="F16" i="32"/>
  <c r="F15" i="32"/>
  <c r="M15" i="32" s="1"/>
  <c r="E13" i="32"/>
  <c r="F11" i="32"/>
  <c r="F10" i="32"/>
  <c r="F9" i="32"/>
  <c r="M9" i="32" s="1"/>
  <c r="J8" i="32"/>
  <c r="F8" i="32"/>
  <c r="L8" i="32" s="1"/>
  <c r="F7" i="32"/>
  <c r="J7" i="32" s="1"/>
  <c r="H248" i="6"/>
  <c r="L24" i="32" l="1"/>
  <c r="J64" i="32"/>
  <c r="J42" i="32"/>
  <c r="J53" i="32"/>
  <c r="I56" i="32"/>
  <c r="I58" i="32"/>
  <c r="J135" i="32"/>
  <c r="K193" i="32"/>
  <c r="L233" i="32"/>
  <c r="J260" i="32"/>
  <c r="K399" i="32"/>
  <c r="I405" i="32"/>
  <c r="I407" i="32"/>
  <c r="J442" i="32"/>
  <c r="J145" i="32"/>
  <c r="K260" i="32"/>
  <c r="L351" i="32"/>
  <c r="J389" i="32"/>
  <c r="L407" i="32"/>
  <c r="J428" i="32"/>
  <c r="I437" i="32"/>
  <c r="J440" i="32"/>
  <c r="K15" i="32"/>
  <c r="L32" i="32"/>
  <c r="I125" i="32"/>
  <c r="J126" i="32"/>
  <c r="I150" i="32"/>
  <c r="J151" i="32"/>
  <c r="L160" i="32"/>
  <c r="J183" i="32"/>
  <c r="I214" i="32"/>
  <c r="L266" i="32"/>
  <c r="L343" i="32"/>
  <c r="M368" i="32"/>
  <c r="K389" i="32"/>
  <c r="J395" i="32"/>
  <c r="I398" i="32"/>
  <c r="L419" i="32"/>
  <c r="K424" i="32"/>
  <c r="M453" i="32"/>
  <c r="L125" i="32"/>
  <c r="K126" i="32"/>
  <c r="L150" i="32"/>
  <c r="K151" i="32"/>
  <c r="I182" i="32"/>
  <c r="K183" i="32"/>
  <c r="L214" i="32"/>
  <c r="I222" i="32"/>
  <c r="L224" i="32"/>
  <c r="L398" i="32"/>
  <c r="M8" i="32"/>
  <c r="J105" i="32"/>
  <c r="J107" i="32"/>
  <c r="I134" i="32"/>
  <c r="K135" i="32"/>
  <c r="K145" i="32"/>
  <c r="K147" i="32"/>
  <c r="K149" i="32"/>
  <c r="L182" i="32"/>
  <c r="J193" i="32"/>
  <c r="J199" i="32"/>
  <c r="M216" i="32"/>
  <c r="M222" i="32"/>
  <c r="I233" i="32"/>
  <c r="L265" i="32"/>
  <c r="J369" i="32"/>
  <c r="I387" i="32"/>
  <c r="I389" i="32"/>
  <c r="J418" i="32"/>
  <c r="J420" i="32"/>
  <c r="K440" i="32"/>
  <c r="K442" i="32"/>
  <c r="I451" i="32"/>
  <c r="I453" i="32"/>
  <c r="K387" i="32"/>
  <c r="K420" i="32"/>
  <c r="I40" i="32"/>
  <c r="I94" i="32"/>
  <c r="M104" i="32"/>
  <c r="J133" i="32"/>
  <c r="I166" i="32"/>
  <c r="J181" i="32"/>
  <c r="J209" i="32"/>
  <c r="J242" i="32"/>
  <c r="I243" i="32"/>
  <c r="L33" i="32"/>
  <c r="L83" i="32"/>
  <c r="M94" i="32"/>
  <c r="K113" i="32"/>
  <c r="K161" i="32"/>
  <c r="K163" i="32"/>
  <c r="K165" i="32"/>
  <c r="M166" i="32"/>
  <c r="M176" i="32"/>
  <c r="M208" i="32"/>
  <c r="K225" i="32"/>
  <c r="K227" i="32"/>
  <c r="L241" i="32"/>
  <c r="L242" i="32"/>
  <c r="L243" i="32"/>
  <c r="M253" i="32"/>
  <c r="K265" i="32"/>
  <c r="J266" i="32"/>
  <c r="K370" i="32"/>
  <c r="J371" i="32"/>
  <c r="M377" i="32"/>
  <c r="K381" i="32"/>
  <c r="L386" i="32"/>
  <c r="J393" i="32"/>
  <c r="L413" i="32"/>
  <c r="K414" i="32"/>
  <c r="M447" i="32"/>
  <c r="J351" i="32"/>
  <c r="L352" i="32"/>
  <c r="I357" i="32"/>
  <c r="L370" i="32"/>
  <c r="K371" i="32"/>
  <c r="K393" i="32"/>
  <c r="I399" i="32"/>
  <c r="M413" i="32"/>
  <c r="J424" i="32"/>
  <c r="J426" i="32"/>
  <c r="M437" i="32"/>
  <c r="I46" i="32"/>
  <c r="I48" i="32"/>
  <c r="J71" i="32"/>
  <c r="J95" i="32"/>
  <c r="J177" i="32"/>
  <c r="I38" i="32"/>
  <c r="J84" i="32"/>
  <c r="L144" i="32"/>
  <c r="J167" i="32"/>
  <c r="J179" i="32"/>
  <c r="I247" i="32"/>
  <c r="I310" i="32"/>
  <c r="L31" i="32"/>
  <c r="J55" i="32"/>
  <c r="L84" i="32"/>
  <c r="K95" i="32"/>
  <c r="J113" i="32"/>
  <c r="K133" i="32"/>
  <c r="J161" i="32"/>
  <c r="J163" i="32"/>
  <c r="J165" i="32"/>
  <c r="K167" i="32"/>
  <c r="K177" i="32"/>
  <c r="K179" i="32"/>
  <c r="K181" i="32"/>
  <c r="M186" i="32"/>
  <c r="M200" i="32"/>
  <c r="K209" i="32"/>
  <c r="M218" i="32"/>
  <c r="J225" i="32"/>
  <c r="J227" i="32"/>
  <c r="J241" i="32"/>
  <c r="J243" i="32"/>
  <c r="L247" i="32"/>
  <c r="I266" i="32"/>
  <c r="K357" i="32"/>
  <c r="I370" i="32"/>
  <c r="I371" i="32"/>
  <c r="I381" i="32"/>
  <c r="I386" i="32"/>
  <c r="I393" i="32"/>
  <c r="I396" i="32"/>
  <c r="I411" i="32"/>
  <c r="J414" i="32"/>
  <c r="J416" i="32"/>
  <c r="J438" i="32"/>
  <c r="L7" i="32"/>
  <c r="L11" i="32"/>
  <c r="I11" i="32"/>
  <c r="K34" i="32"/>
  <c r="J34" i="32"/>
  <c r="K86" i="32"/>
  <c r="I86" i="32"/>
  <c r="M97" i="32"/>
  <c r="K97" i="32"/>
  <c r="M103" i="32"/>
  <c r="K103" i="32"/>
  <c r="I106" i="32"/>
  <c r="M106" i="32"/>
  <c r="M115" i="32"/>
  <c r="K115" i="32"/>
  <c r="M119" i="32"/>
  <c r="K119" i="32"/>
  <c r="J119" i="32"/>
  <c r="M137" i="32"/>
  <c r="K137" i="32"/>
  <c r="M139" i="32"/>
  <c r="K139" i="32"/>
  <c r="J139" i="32"/>
  <c r="M173" i="32"/>
  <c r="K173" i="32"/>
  <c r="J173" i="32"/>
  <c r="M211" i="32"/>
  <c r="K211" i="32"/>
  <c r="J211" i="32"/>
  <c r="L363" i="32"/>
  <c r="I363" i="32"/>
  <c r="I365" i="32" s="1"/>
  <c r="K363" i="32"/>
  <c r="M363" i="32"/>
  <c r="J363" i="32"/>
  <c r="L391" i="32"/>
  <c r="I391" i="32"/>
  <c r="K391" i="32"/>
  <c r="M391" i="32"/>
  <c r="J394" i="32"/>
  <c r="I394" i="32"/>
  <c r="L394" i="32"/>
  <c r="K394" i="32"/>
  <c r="I425" i="32"/>
  <c r="M425" i="32"/>
  <c r="M436" i="32"/>
  <c r="J436" i="32"/>
  <c r="K436" i="32"/>
  <c r="M448" i="32"/>
  <c r="J448" i="32"/>
  <c r="L23" i="32"/>
  <c r="I45" i="32"/>
  <c r="I77" i="32"/>
  <c r="I80" i="32" s="1"/>
  <c r="J86" i="32"/>
  <c r="J103" i="32"/>
  <c r="J115" i="32"/>
  <c r="J137" i="32"/>
  <c r="M153" i="32"/>
  <c r="K153" i="32"/>
  <c r="M201" i="32"/>
  <c r="K201" i="32"/>
  <c r="M203" i="32"/>
  <c r="J203" i="32"/>
  <c r="L240" i="32"/>
  <c r="K240" i="32"/>
  <c r="L385" i="32"/>
  <c r="I385" i="32"/>
  <c r="K385" i="32"/>
  <c r="M385" i="32"/>
  <c r="J52" i="32"/>
  <c r="I63" i="32"/>
  <c r="J70" i="32"/>
  <c r="K82" i="32"/>
  <c r="L82" i="32"/>
  <c r="L86" i="32"/>
  <c r="K91" i="32"/>
  <c r="K93" i="32"/>
  <c r="M127" i="32"/>
  <c r="L127" i="32"/>
  <c r="M141" i="32"/>
  <c r="K141" i="32"/>
  <c r="J141" i="32"/>
  <c r="J153" i="32"/>
  <c r="I162" i="32"/>
  <c r="M162" i="32"/>
  <c r="M169" i="32"/>
  <c r="K169" i="32"/>
  <c r="M171" i="32"/>
  <c r="K171" i="32"/>
  <c r="J171" i="32"/>
  <c r="M184" i="32"/>
  <c r="L184" i="32"/>
  <c r="L190" i="32"/>
  <c r="M190" i="32"/>
  <c r="M192" i="32"/>
  <c r="L192" i="32"/>
  <c r="M197" i="32"/>
  <c r="K197" i="32"/>
  <c r="J201" i="32"/>
  <c r="K203" i="32"/>
  <c r="L206" i="32"/>
  <c r="M206" i="32"/>
  <c r="I206" i="32"/>
  <c r="M213" i="32"/>
  <c r="K213" i="32"/>
  <c r="J213" i="32"/>
  <c r="M223" i="32"/>
  <c r="K223" i="32"/>
  <c r="J223" i="32"/>
  <c r="L367" i="32"/>
  <c r="K367" i="32"/>
  <c r="I367" i="32"/>
  <c r="M367" i="32"/>
  <c r="J367" i="32"/>
  <c r="L383" i="32"/>
  <c r="K383" i="32"/>
  <c r="I383" i="32"/>
  <c r="M383" i="32"/>
  <c r="J385" i="32"/>
  <c r="L397" i="32"/>
  <c r="I397" i="32"/>
  <c r="K397" i="32"/>
  <c r="M397" i="32"/>
  <c r="K403" i="32"/>
  <c r="I403" i="32"/>
  <c r="L403" i="32"/>
  <c r="J403" i="32"/>
  <c r="I429" i="32"/>
  <c r="M429" i="32"/>
  <c r="M432" i="32"/>
  <c r="J432" i="32"/>
  <c r="K432" i="32"/>
  <c r="I445" i="32"/>
  <c r="M445" i="32"/>
  <c r="L445" i="32"/>
  <c r="J10" i="32"/>
  <c r="I10" i="32"/>
  <c r="M99" i="32"/>
  <c r="J99" i="32"/>
  <c r="M152" i="32"/>
  <c r="L152" i="32"/>
  <c r="M158" i="32"/>
  <c r="L158" i="32"/>
  <c r="M217" i="32"/>
  <c r="K217" i="32"/>
  <c r="J217" i="32"/>
  <c r="L321" i="32"/>
  <c r="J321" i="32"/>
  <c r="M421" i="32"/>
  <c r="I421" i="32"/>
  <c r="G7" i="32"/>
  <c r="H7" i="32" s="1"/>
  <c r="M7" i="32"/>
  <c r="G10" i="32"/>
  <c r="H10" i="32" s="1"/>
  <c r="J11" i="32"/>
  <c r="K25" i="32"/>
  <c r="L34" i="32"/>
  <c r="J60" i="32"/>
  <c r="J91" i="32"/>
  <c r="J93" i="32"/>
  <c r="J97" i="32"/>
  <c r="K99" i="32"/>
  <c r="M143" i="32"/>
  <c r="K143" i="32"/>
  <c r="I146" i="32"/>
  <c r="M146" i="32"/>
  <c r="M155" i="32"/>
  <c r="K155" i="32"/>
  <c r="J155" i="32"/>
  <c r="M168" i="32"/>
  <c r="L168" i="32"/>
  <c r="M174" i="32"/>
  <c r="L174" i="32"/>
  <c r="M189" i="32"/>
  <c r="K189" i="32"/>
  <c r="J189" i="32"/>
  <c r="M221" i="32"/>
  <c r="J221" i="32"/>
  <c r="M230" i="32"/>
  <c r="K230" i="32"/>
  <c r="J230" i="32"/>
  <c r="L254" i="32"/>
  <c r="J254" i="32"/>
  <c r="L258" i="32"/>
  <c r="I258" i="32"/>
  <c r="K258" i="32"/>
  <c r="M258" i="32"/>
  <c r="K321" i="32"/>
  <c r="J330" i="32"/>
  <c r="L330" i="32"/>
  <c r="K330" i="32"/>
  <c r="J391" i="32"/>
  <c r="M415" i="32"/>
  <c r="L421" i="32"/>
  <c r="K448" i="32"/>
  <c r="I7" i="32"/>
  <c r="L10" i="32"/>
  <c r="K11" i="32"/>
  <c r="L15" i="32"/>
  <c r="J15" i="32"/>
  <c r="J16" i="32"/>
  <c r="L16" i="32"/>
  <c r="I37" i="32"/>
  <c r="J43" i="32"/>
  <c r="K85" i="32"/>
  <c r="L89" i="32"/>
  <c r="I102" i="32"/>
  <c r="M159" i="32"/>
  <c r="K159" i="32"/>
  <c r="K7" i="32"/>
  <c r="G8" i="32"/>
  <c r="H8" i="32" s="1"/>
  <c r="K9" i="32"/>
  <c r="M10" i="32"/>
  <c r="M11" i="32"/>
  <c r="I15" i="32"/>
  <c r="J35" i="32"/>
  <c r="J50" i="32"/>
  <c r="J61" i="32"/>
  <c r="L85" i="32"/>
  <c r="M96" i="32"/>
  <c r="M98" i="32"/>
  <c r="M101" i="32"/>
  <c r="J101" i="32"/>
  <c r="M102" i="32"/>
  <c r="M114" i="32"/>
  <c r="L114" i="32"/>
  <c r="M128" i="32"/>
  <c r="M131" i="32" s="1"/>
  <c r="K128" i="32"/>
  <c r="M136" i="32"/>
  <c r="L136" i="32"/>
  <c r="M142" i="32"/>
  <c r="L142" i="32"/>
  <c r="M157" i="32"/>
  <c r="K157" i="32"/>
  <c r="J157" i="32"/>
  <c r="J159" i="32"/>
  <c r="J169" i="32"/>
  <c r="M175" i="32"/>
  <c r="K175" i="32"/>
  <c r="I178" i="32"/>
  <c r="M178" i="32"/>
  <c r="M185" i="32"/>
  <c r="K185" i="32"/>
  <c r="M187" i="32"/>
  <c r="K187" i="32"/>
  <c r="J187" i="32"/>
  <c r="I190" i="32"/>
  <c r="M195" i="32"/>
  <c r="K195" i="32"/>
  <c r="J197" i="32"/>
  <c r="M207" i="32"/>
  <c r="K207" i="32"/>
  <c r="M219" i="32"/>
  <c r="J219" i="32"/>
  <c r="K219" i="32"/>
  <c r="M232" i="32"/>
  <c r="K232" i="32"/>
  <c r="J232" i="32"/>
  <c r="K246" i="32"/>
  <c r="L246" i="32"/>
  <c r="I251" i="32"/>
  <c r="M251" i="32"/>
  <c r="L251" i="32"/>
  <c r="J358" i="32"/>
  <c r="I358" i="32"/>
  <c r="L358" i="32"/>
  <c r="J376" i="32"/>
  <c r="L376" i="32"/>
  <c r="I376" i="32"/>
  <c r="J383" i="32"/>
  <c r="J397" i="32"/>
  <c r="L429" i="32"/>
  <c r="M439" i="32"/>
  <c r="I443" i="32"/>
  <c r="L443" i="32"/>
  <c r="K334" i="32"/>
  <c r="I334" i="32"/>
  <c r="L377" i="32"/>
  <c r="K377" i="32"/>
  <c r="K379" i="32" s="1"/>
  <c r="I377" i="32"/>
  <c r="J382" i="32"/>
  <c r="L382" i="32"/>
  <c r="I382" i="32"/>
  <c r="J390" i="32"/>
  <c r="I390" i="32"/>
  <c r="L390" i="32"/>
  <c r="M422" i="32"/>
  <c r="J422" i="32"/>
  <c r="M430" i="32"/>
  <c r="J430" i="32"/>
  <c r="M434" i="32"/>
  <c r="J434" i="32"/>
  <c r="M191" i="32"/>
  <c r="K191" i="32"/>
  <c r="I194" i="32"/>
  <c r="M194" i="32"/>
  <c r="M205" i="32"/>
  <c r="J205" i="32"/>
  <c r="M365" i="32"/>
  <c r="L369" i="32"/>
  <c r="K369" i="32"/>
  <c r="I369" i="32"/>
  <c r="L395" i="32"/>
  <c r="I395" i="32"/>
  <c r="K395" i="32"/>
  <c r="J402" i="32"/>
  <c r="L402" i="32"/>
  <c r="M410" i="32"/>
  <c r="J410" i="32"/>
  <c r="M412" i="32"/>
  <c r="J412" i="32"/>
  <c r="K422" i="32"/>
  <c r="K430" i="32"/>
  <c r="K434" i="32"/>
  <c r="M446" i="32"/>
  <c r="J446" i="32"/>
  <c r="M450" i="32"/>
  <c r="J450" i="32"/>
  <c r="M452" i="32"/>
  <c r="J452" i="32"/>
  <c r="J247" i="32"/>
  <c r="M260" i="32"/>
  <c r="K333" i="32"/>
  <c r="J352" i="32"/>
  <c r="M357" i="32"/>
  <c r="M371" i="32"/>
  <c r="J381" i="32"/>
  <c r="K386" i="32"/>
  <c r="J387" i="32"/>
  <c r="M389" i="32"/>
  <c r="M393" i="32"/>
  <c r="K398" i="32"/>
  <c r="J399" i="32"/>
  <c r="J405" i="32"/>
  <c r="K416" i="32"/>
  <c r="K418" i="32"/>
  <c r="K426" i="32"/>
  <c r="K428" i="32"/>
  <c r="K438" i="32"/>
  <c r="K444" i="32"/>
  <c r="M381" i="32"/>
  <c r="M387" i="32"/>
  <c r="M399" i="32"/>
  <c r="M21" i="32"/>
  <c r="I21" i="32"/>
  <c r="M30" i="32"/>
  <c r="K69" i="32"/>
  <c r="K75" i="32" s="1"/>
  <c r="M87" i="32"/>
  <c r="I87" i="32"/>
  <c r="M88" i="32"/>
  <c r="K100" i="32"/>
  <c r="J100" i="32"/>
  <c r="K148" i="32"/>
  <c r="J148" i="32"/>
  <c r="K156" i="32"/>
  <c r="J156" i="32"/>
  <c r="K172" i="32"/>
  <c r="J172" i="32"/>
  <c r="K180" i="32"/>
  <c r="J180" i="32"/>
  <c r="K196" i="32"/>
  <c r="J196" i="32"/>
  <c r="K212" i="32"/>
  <c r="J212" i="32"/>
  <c r="K231" i="32"/>
  <c r="J231" i="32"/>
  <c r="K237" i="32"/>
  <c r="L237" i="32"/>
  <c r="J237" i="32"/>
  <c r="K245" i="32"/>
  <c r="L245" i="32"/>
  <c r="J245" i="32"/>
  <c r="L9" i="32"/>
  <c r="M16" i="32"/>
  <c r="M19" i="32" s="1"/>
  <c r="M24" i="32"/>
  <c r="M32" i="32"/>
  <c r="J66" i="32"/>
  <c r="M81" i="32"/>
  <c r="I81" i="32"/>
  <c r="M82" i="32"/>
  <c r="I88" i="32"/>
  <c r="K90" i="32"/>
  <c r="J90" i="32"/>
  <c r="I120" i="32"/>
  <c r="K129" i="32"/>
  <c r="J129" i="32"/>
  <c r="I132" i="32"/>
  <c r="K138" i="32"/>
  <c r="J138" i="32"/>
  <c r="I148" i="32"/>
  <c r="K154" i="32"/>
  <c r="J154" i="32"/>
  <c r="I164" i="32"/>
  <c r="K170" i="32"/>
  <c r="J170" i="32"/>
  <c r="I196" i="32"/>
  <c r="K202" i="32"/>
  <c r="J202" i="32"/>
  <c r="K210" i="32"/>
  <c r="J210" i="32"/>
  <c r="K226" i="32"/>
  <c r="J226" i="32"/>
  <c r="K229" i="32"/>
  <c r="J229" i="32"/>
  <c r="I237" i="32"/>
  <c r="K325" i="32"/>
  <c r="L325" i="32"/>
  <c r="J325" i="32"/>
  <c r="M325" i="32"/>
  <c r="J384" i="32"/>
  <c r="L384" i="32"/>
  <c r="K384" i="32"/>
  <c r="M384" i="32"/>
  <c r="M400" i="32"/>
  <c r="J400" i="32"/>
  <c r="L400" i="32"/>
  <c r="K400" i="32"/>
  <c r="M25" i="32"/>
  <c r="I25" i="32"/>
  <c r="J30" i="32"/>
  <c r="M33" i="32"/>
  <c r="I33" i="32"/>
  <c r="M34" i="32"/>
  <c r="I36" i="32"/>
  <c r="J39" i="32"/>
  <c r="I41" i="32"/>
  <c r="I44" i="32"/>
  <c r="J47" i="32"/>
  <c r="I49" i="32"/>
  <c r="I54" i="32"/>
  <c r="J57" i="32"/>
  <c r="I59" i="32"/>
  <c r="I62" i="32"/>
  <c r="J65" i="32"/>
  <c r="J81" i="32"/>
  <c r="I82" i="32"/>
  <c r="M83" i="32"/>
  <c r="I83" i="32"/>
  <c r="M84" i="32"/>
  <c r="K87" i="32"/>
  <c r="J88" i="32"/>
  <c r="I90" i="32"/>
  <c r="K96" i="32"/>
  <c r="J96" i="32"/>
  <c r="L100" i="32"/>
  <c r="K104" i="32"/>
  <c r="J104" i="32"/>
  <c r="K114" i="32"/>
  <c r="J114" i="32"/>
  <c r="J117" i="32" s="1"/>
  <c r="K127" i="32"/>
  <c r="J127" i="32"/>
  <c r="I129" i="32"/>
  <c r="K136" i="32"/>
  <c r="J136" i="32"/>
  <c r="I138" i="32"/>
  <c r="K144" i="32"/>
  <c r="J144" i="32"/>
  <c r="L148" i="32"/>
  <c r="K152" i="32"/>
  <c r="J152" i="32"/>
  <c r="I154" i="32"/>
  <c r="L156" i="32"/>
  <c r="K160" i="32"/>
  <c r="J160" i="32"/>
  <c r="K168" i="32"/>
  <c r="J168" i="32"/>
  <c r="I170" i="32"/>
  <c r="L172" i="32"/>
  <c r="K176" i="32"/>
  <c r="J176" i="32"/>
  <c r="L180" i="32"/>
  <c r="K184" i="32"/>
  <c r="J184" i="32"/>
  <c r="K192" i="32"/>
  <c r="J192" i="32"/>
  <c r="L196" i="32"/>
  <c r="K200" i="32"/>
  <c r="J200" i="32"/>
  <c r="I202" i="32"/>
  <c r="K208" i="32"/>
  <c r="J208" i="32"/>
  <c r="I210" i="32"/>
  <c r="L212" i="32"/>
  <c r="K216" i="32"/>
  <c r="J216" i="32"/>
  <c r="K224" i="32"/>
  <c r="J224" i="32"/>
  <c r="I226" i="32"/>
  <c r="I229" i="32"/>
  <c r="L231" i="32"/>
  <c r="M236" i="32"/>
  <c r="I236" i="32"/>
  <c r="L236" i="32"/>
  <c r="K236" i="32"/>
  <c r="M237" i="32"/>
  <c r="M244" i="32"/>
  <c r="I244" i="32"/>
  <c r="L244" i="32"/>
  <c r="K244" i="32"/>
  <c r="M245" i="32"/>
  <c r="M250" i="32"/>
  <c r="I250" i="32"/>
  <c r="K250" i="32"/>
  <c r="L250" i="32"/>
  <c r="J261" i="32"/>
  <c r="L261" i="32"/>
  <c r="K261" i="32"/>
  <c r="I261" i="32"/>
  <c r="I325" i="32"/>
  <c r="M349" i="32"/>
  <c r="I349" i="32"/>
  <c r="K349" i="32"/>
  <c r="J349" i="32"/>
  <c r="J372" i="32"/>
  <c r="L372" i="32"/>
  <c r="K372" i="32"/>
  <c r="M372" i="32"/>
  <c r="I384" i="32"/>
  <c r="I400" i="32"/>
  <c r="K435" i="32"/>
  <c r="J435" i="32"/>
  <c r="M435" i="32"/>
  <c r="L435" i="32"/>
  <c r="I435" i="32"/>
  <c r="K449" i="32"/>
  <c r="J449" i="32"/>
  <c r="L449" i="32"/>
  <c r="M449" i="32"/>
  <c r="I449" i="32"/>
  <c r="M22" i="32"/>
  <c r="M69" i="32"/>
  <c r="M75" i="32" s="1"/>
  <c r="I69" i="32"/>
  <c r="I75" i="32" s="1"/>
  <c r="K92" i="32"/>
  <c r="J92" i="32"/>
  <c r="K120" i="32"/>
  <c r="K123" i="32" s="1"/>
  <c r="J120" i="32"/>
  <c r="K132" i="32"/>
  <c r="J132" i="32"/>
  <c r="K140" i="32"/>
  <c r="J140" i="32"/>
  <c r="K164" i="32"/>
  <c r="J164" i="32"/>
  <c r="K188" i="32"/>
  <c r="J188" i="32"/>
  <c r="K204" i="32"/>
  <c r="J204" i="32"/>
  <c r="K220" i="32"/>
  <c r="J220" i="32"/>
  <c r="K249" i="32"/>
  <c r="L249" i="32"/>
  <c r="M249" i="32"/>
  <c r="J249" i="32"/>
  <c r="J356" i="32"/>
  <c r="L356" i="32"/>
  <c r="L360" i="32" s="1"/>
  <c r="K356" i="32"/>
  <c r="M356" i="32"/>
  <c r="M404" i="32"/>
  <c r="I404" i="32"/>
  <c r="L404" i="32"/>
  <c r="K404" i="32"/>
  <c r="J21" i="32"/>
  <c r="I22" i="32"/>
  <c r="M23" i="32"/>
  <c r="I23" i="32"/>
  <c r="I30" i="32"/>
  <c r="M31" i="32"/>
  <c r="I31" i="32"/>
  <c r="L69" i="32"/>
  <c r="L75" i="32" s="1"/>
  <c r="J72" i="32"/>
  <c r="J87" i="32"/>
  <c r="M89" i="32"/>
  <c r="I89" i="32"/>
  <c r="I92" i="32"/>
  <c r="K98" i="32"/>
  <c r="J98" i="32"/>
  <c r="I100" i="32"/>
  <c r="K106" i="32"/>
  <c r="J106" i="32"/>
  <c r="I140" i="32"/>
  <c r="K146" i="32"/>
  <c r="J146" i="32"/>
  <c r="I156" i="32"/>
  <c r="K162" i="32"/>
  <c r="J162" i="32"/>
  <c r="I172" i="32"/>
  <c r="K178" i="32"/>
  <c r="J178" i="32"/>
  <c r="I180" i="32"/>
  <c r="K186" i="32"/>
  <c r="J186" i="32"/>
  <c r="I188" i="32"/>
  <c r="K194" i="32"/>
  <c r="J194" i="32"/>
  <c r="I204" i="32"/>
  <c r="I212" i="32"/>
  <c r="K218" i="32"/>
  <c r="J218" i="32"/>
  <c r="I220" i="32"/>
  <c r="I231" i="32"/>
  <c r="K239" i="32"/>
  <c r="J239" i="32"/>
  <c r="I239" i="32"/>
  <c r="I245" i="32"/>
  <c r="K268" i="32"/>
  <c r="L268" i="32"/>
  <c r="J268" i="32"/>
  <c r="I268" i="32"/>
  <c r="K336" i="32"/>
  <c r="L336" i="32"/>
  <c r="J336" i="32"/>
  <c r="M336" i="32"/>
  <c r="K348" i="32"/>
  <c r="L348" i="32"/>
  <c r="J348" i="32"/>
  <c r="M348" i="32"/>
  <c r="I348" i="32"/>
  <c r="J388" i="32"/>
  <c r="L388" i="32"/>
  <c r="K388" i="32"/>
  <c r="M388" i="32"/>
  <c r="I388" i="32"/>
  <c r="G9" i="32"/>
  <c r="H9" i="32" s="1"/>
  <c r="I16" i="32"/>
  <c r="I19" i="32" s="1"/>
  <c r="K21" i="32"/>
  <c r="J22" i="32"/>
  <c r="I24" i="32"/>
  <c r="I32" i="32"/>
  <c r="K10" i="32"/>
  <c r="E459" i="32"/>
  <c r="K16" i="32"/>
  <c r="K19" i="32" s="1"/>
  <c r="L21" i="32"/>
  <c r="L22" i="32"/>
  <c r="K23" i="32"/>
  <c r="J24" i="32"/>
  <c r="J25" i="32"/>
  <c r="L30" i="32"/>
  <c r="K31" i="32"/>
  <c r="K68" i="32" s="1"/>
  <c r="J32" i="32"/>
  <c r="J33" i="32"/>
  <c r="I34" i="32"/>
  <c r="J69" i="32"/>
  <c r="K81" i="32"/>
  <c r="J82" i="32"/>
  <c r="J83" i="32"/>
  <c r="I84" i="32"/>
  <c r="M85" i="32"/>
  <c r="I85" i="32"/>
  <c r="M86" i="32"/>
  <c r="L87" i="32"/>
  <c r="L88" i="32"/>
  <c r="K89" i="32"/>
  <c r="L90" i="32"/>
  <c r="M92" i="32"/>
  <c r="K94" i="32"/>
  <c r="J94" i="32"/>
  <c r="I96" i="32"/>
  <c r="L98" i="32"/>
  <c r="M100" i="32"/>
  <c r="K102" i="32"/>
  <c r="J102" i="32"/>
  <c r="I104" i="32"/>
  <c r="L106" i="32"/>
  <c r="I114" i="32"/>
  <c r="M120" i="32"/>
  <c r="M123" i="32" s="1"/>
  <c r="K125" i="32"/>
  <c r="J125" i="32"/>
  <c r="I127" i="32"/>
  <c r="L129" i="32"/>
  <c r="M132" i="32"/>
  <c r="K134" i="32"/>
  <c r="J134" i="32"/>
  <c r="I136" i="32"/>
  <c r="L138" i="32"/>
  <c r="M140" i="32"/>
  <c r="K142" i="32"/>
  <c r="J142" i="32"/>
  <c r="I144" i="32"/>
  <c r="L146" i="32"/>
  <c r="M148" i="32"/>
  <c r="K150" i="32"/>
  <c r="J150" i="32"/>
  <c r="I152" i="32"/>
  <c r="L154" i="32"/>
  <c r="M156" i="32"/>
  <c r="K158" i="32"/>
  <c r="J158" i="32"/>
  <c r="I160" i="32"/>
  <c r="L162" i="32"/>
  <c r="M164" i="32"/>
  <c r="K166" i="32"/>
  <c r="J166" i="32"/>
  <c r="I168" i="32"/>
  <c r="L170" i="32"/>
  <c r="M172" i="32"/>
  <c r="K174" i="32"/>
  <c r="J174" i="32"/>
  <c r="I176" i="32"/>
  <c r="L178" i="32"/>
  <c r="M180" i="32"/>
  <c r="K182" i="32"/>
  <c r="J182" i="32"/>
  <c r="I184" i="32"/>
  <c r="L186" i="32"/>
  <c r="M188" i="32"/>
  <c r="K190" i="32"/>
  <c r="J190" i="32"/>
  <c r="I192" i="32"/>
  <c r="L194" i="32"/>
  <c r="M196" i="32"/>
  <c r="K198" i="32"/>
  <c r="J198" i="32"/>
  <c r="I200" i="32"/>
  <c r="L202" i="32"/>
  <c r="M204" i="32"/>
  <c r="K206" i="32"/>
  <c r="J206" i="32"/>
  <c r="I208" i="32"/>
  <c r="L210" i="32"/>
  <c r="M212" i="32"/>
  <c r="K214" i="32"/>
  <c r="J214" i="32"/>
  <c r="I216" i="32"/>
  <c r="L218" i="32"/>
  <c r="M220" i="32"/>
  <c r="K222" i="32"/>
  <c r="J222" i="32"/>
  <c r="I224" i="32"/>
  <c r="L226" i="32"/>
  <c r="L229" i="32"/>
  <c r="M231" i="32"/>
  <c r="M235" i="32" s="1"/>
  <c r="K233" i="32"/>
  <c r="J233" i="32"/>
  <c r="J236" i="32"/>
  <c r="M238" i="32"/>
  <c r="I238" i="32"/>
  <c r="K238" i="32"/>
  <c r="J238" i="32"/>
  <c r="M239" i="32"/>
  <c r="J244" i="32"/>
  <c r="M248" i="32"/>
  <c r="I248" i="32"/>
  <c r="L248" i="32"/>
  <c r="K248" i="32"/>
  <c r="J248" i="32"/>
  <c r="J250" i="32"/>
  <c r="J259" i="32"/>
  <c r="J263" i="32" s="1"/>
  <c r="I259" i="32"/>
  <c r="M259" i="32"/>
  <c r="L259" i="32"/>
  <c r="M261" i="32"/>
  <c r="M269" i="32"/>
  <c r="I269" i="32"/>
  <c r="K269" i="32"/>
  <c r="L269" i="32"/>
  <c r="J269" i="32"/>
  <c r="M342" i="32"/>
  <c r="I342" i="32"/>
  <c r="K342" i="32"/>
  <c r="J342" i="32"/>
  <c r="L342" i="32"/>
  <c r="L349" i="32"/>
  <c r="I372" i="32"/>
  <c r="I374" i="32" s="1"/>
  <c r="K441" i="32"/>
  <c r="J441" i="32"/>
  <c r="L441" i="32"/>
  <c r="M441" i="32"/>
  <c r="I441" i="32"/>
  <c r="L91" i="32"/>
  <c r="L93" i="32"/>
  <c r="L95" i="32"/>
  <c r="L97" i="32"/>
  <c r="L99" i="32"/>
  <c r="L101" i="32"/>
  <c r="L103" i="32"/>
  <c r="L105" i="32"/>
  <c r="L107" i="32"/>
  <c r="L113" i="32"/>
  <c r="L115" i="32"/>
  <c r="L119" i="32"/>
  <c r="L123" i="32" s="1"/>
  <c r="L126" i="32"/>
  <c r="L128" i="32"/>
  <c r="L133" i="32"/>
  <c r="L135" i="32"/>
  <c r="L137" i="32"/>
  <c r="L139" i="32"/>
  <c r="L141" i="32"/>
  <c r="L143" i="32"/>
  <c r="L145" i="32"/>
  <c r="L147" i="32"/>
  <c r="L149" i="32"/>
  <c r="L151" i="32"/>
  <c r="L153" i="32"/>
  <c r="L155" i="32"/>
  <c r="L157" i="32"/>
  <c r="L159" i="32"/>
  <c r="L161" i="32"/>
  <c r="L163" i="32"/>
  <c r="L165" i="32"/>
  <c r="L167" i="32"/>
  <c r="L169" i="32"/>
  <c r="L171" i="32"/>
  <c r="L173" i="32"/>
  <c r="L175" i="32"/>
  <c r="L177" i="32"/>
  <c r="L179" i="32"/>
  <c r="L181" i="32"/>
  <c r="L183" i="32"/>
  <c r="L185" i="32"/>
  <c r="L187" i="32"/>
  <c r="L189" i="32"/>
  <c r="L191" i="32"/>
  <c r="L193" i="32"/>
  <c r="L195" i="32"/>
  <c r="L197" i="32"/>
  <c r="L199" i="32"/>
  <c r="L201" i="32"/>
  <c r="L203" i="32"/>
  <c r="L205" i="32"/>
  <c r="L207" i="32"/>
  <c r="L209" i="32"/>
  <c r="L211" i="32"/>
  <c r="L213" i="32"/>
  <c r="L215" i="32"/>
  <c r="L217" i="32"/>
  <c r="L219" i="32"/>
  <c r="L221" i="32"/>
  <c r="L223" i="32"/>
  <c r="L225" i="32"/>
  <c r="L227" i="32"/>
  <c r="L230" i="32"/>
  <c r="L232" i="32"/>
  <c r="M240" i="32"/>
  <c r="I240" i="32"/>
  <c r="M241" i="32"/>
  <c r="K253" i="32"/>
  <c r="I253" i="32"/>
  <c r="M267" i="32"/>
  <c r="I267" i="32"/>
  <c r="L267" i="32"/>
  <c r="M311" i="32"/>
  <c r="I311" i="32"/>
  <c r="K311" i="32"/>
  <c r="K323" i="32" s="1"/>
  <c r="J311" i="32"/>
  <c r="M324" i="32"/>
  <c r="I324" i="32"/>
  <c r="L324" i="32"/>
  <c r="K324" i="32"/>
  <c r="M335" i="32"/>
  <c r="I335" i="32"/>
  <c r="L335" i="32"/>
  <c r="K335" i="32"/>
  <c r="K341" i="32"/>
  <c r="L341" i="32"/>
  <c r="J341" i="32"/>
  <c r="K350" i="32"/>
  <c r="J350" i="32"/>
  <c r="I350" i="32"/>
  <c r="J392" i="32"/>
  <c r="L392" i="32"/>
  <c r="K392" i="32"/>
  <c r="K401" i="32"/>
  <c r="I401" i="32"/>
  <c r="M401" i="32"/>
  <c r="L401" i="32"/>
  <c r="K409" i="32"/>
  <c r="J409" i="32"/>
  <c r="L409" i="32"/>
  <c r="M409" i="32"/>
  <c r="K417" i="32"/>
  <c r="J417" i="32"/>
  <c r="L417" i="32"/>
  <c r="M417" i="32"/>
  <c r="I417" i="32"/>
  <c r="K427" i="32"/>
  <c r="J427" i="32"/>
  <c r="M427" i="32"/>
  <c r="L427" i="32"/>
  <c r="K431" i="32"/>
  <c r="J431" i="32"/>
  <c r="I431" i="32"/>
  <c r="M431" i="32"/>
  <c r="L431" i="32"/>
  <c r="I91" i="32"/>
  <c r="I93" i="32"/>
  <c r="I95" i="32"/>
  <c r="I97" i="32"/>
  <c r="I99" i="32"/>
  <c r="I101" i="32"/>
  <c r="I103" i="32"/>
  <c r="I105" i="32"/>
  <c r="I107" i="32"/>
  <c r="I113" i="32"/>
  <c r="I115" i="32"/>
  <c r="I119" i="32"/>
  <c r="I123" i="32" s="1"/>
  <c r="I126" i="32"/>
  <c r="I128" i="32"/>
  <c r="I133" i="32"/>
  <c r="I135" i="32"/>
  <c r="I137" i="32"/>
  <c r="I139" i="32"/>
  <c r="I141" i="32"/>
  <c r="I143" i="32"/>
  <c r="I145" i="32"/>
  <c r="I147" i="32"/>
  <c r="I149" i="32"/>
  <c r="I151" i="32"/>
  <c r="I153" i="32"/>
  <c r="I155" i="32"/>
  <c r="I157" i="32"/>
  <c r="I159" i="32"/>
  <c r="I161" i="32"/>
  <c r="I163" i="32"/>
  <c r="I165" i="32"/>
  <c r="I167" i="32"/>
  <c r="I169" i="32"/>
  <c r="I171" i="32"/>
  <c r="I173" i="32"/>
  <c r="I175" i="32"/>
  <c r="I177" i="32"/>
  <c r="I179" i="32"/>
  <c r="I181" i="32"/>
  <c r="I183" i="32"/>
  <c r="I185" i="32"/>
  <c r="I187" i="32"/>
  <c r="I189" i="32"/>
  <c r="I191" i="32"/>
  <c r="I193" i="32"/>
  <c r="I195" i="32"/>
  <c r="I197" i="32"/>
  <c r="I199" i="32"/>
  <c r="I201" i="32"/>
  <c r="I203" i="32"/>
  <c r="I205" i="32"/>
  <c r="I207" i="32"/>
  <c r="I209" i="32"/>
  <c r="I211" i="32"/>
  <c r="I213" i="32"/>
  <c r="I215" i="32"/>
  <c r="I217" i="32"/>
  <c r="I219" i="32"/>
  <c r="I221" i="32"/>
  <c r="I223" i="32"/>
  <c r="I225" i="32"/>
  <c r="I227" i="32"/>
  <c r="I230" i="32"/>
  <c r="I232" i="32"/>
  <c r="J240" i="32"/>
  <c r="I241" i="32"/>
  <c r="M242" i="32"/>
  <c r="I242" i="32"/>
  <c r="M243" i="32"/>
  <c r="K251" i="32"/>
  <c r="J251" i="32"/>
  <c r="M252" i="32"/>
  <c r="I252" i="32"/>
  <c r="J252" i="32"/>
  <c r="J253" i="32"/>
  <c r="L263" i="32"/>
  <c r="J267" i="32"/>
  <c r="K310" i="32"/>
  <c r="L310" i="32"/>
  <c r="J310" i="32"/>
  <c r="L311" i="32"/>
  <c r="J324" i="32"/>
  <c r="M326" i="32"/>
  <c r="I326" i="32"/>
  <c r="K326" i="32"/>
  <c r="J326" i="32"/>
  <c r="J335" i="32"/>
  <c r="M337" i="32"/>
  <c r="I337" i="32"/>
  <c r="K337" i="32"/>
  <c r="J337" i="32"/>
  <c r="I341" i="32"/>
  <c r="K343" i="32"/>
  <c r="J343" i="32"/>
  <c r="I343" i="32"/>
  <c r="M347" i="32"/>
  <c r="I347" i="32"/>
  <c r="L347" i="32"/>
  <c r="K347" i="32"/>
  <c r="L350" i="32"/>
  <c r="J362" i="32"/>
  <c r="L362" i="32"/>
  <c r="L365" i="32" s="1"/>
  <c r="K362" i="32"/>
  <c r="K365" i="32" s="1"/>
  <c r="J368" i="32"/>
  <c r="J374" i="32" s="1"/>
  <c r="L368" i="32"/>
  <c r="K368" i="32"/>
  <c r="I392" i="32"/>
  <c r="J396" i="32"/>
  <c r="L396" i="32"/>
  <c r="K396" i="32"/>
  <c r="J401" i="32"/>
  <c r="I409" i="32"/>
  <c r="K423" i="32"/>
  <c r="J423" i="32"/>
  <c r="I423" i="32"/>
  <c r="M423" i="32"/>
  <c r="I427" i="32"/>
  <c r="M246" i="32"/>
  <c r="I246" i="32"/>
  <c r="M247" i="32"/>
  <c r="M254" i="32"/>
  <c r="I254" i="32"/>
  <c r="M265" i="32"/>
  <c r="I265" i="32"/>
  <c r="I309" i="32" s="1"/>
  <c r="M266" i="32"/>
  <c r="M330" i="32"/>
  <c r="I330" i="32"/>
  <c r="L334" i="32"/>
  <c r="L339" i="32" s="1"/>
  <c r="M351" i="32"/>
  <c r="I351" i="32"/>
  <c r="M352" i="32"/>
  <c r="M358" i="32"/>
  <c r="M370" i="32"/>
  <c r="J379" i="32"/>
  <c r="M376" i="32"/>
  <c r="M379" i="32" s="1"/>
  <c r="M382" i="32"/>
  <c r="M386" i="32"/>
  <c r="M390" i="32"/>
  <c r="M394" i="32"/>
  <c r="M398" i="32"/>
  <c r="K407" i="32"/>
  <c r="J407" i="32"/>
  <c r="M408" i="32"/>
  <c r="I408" i="32"/>
  <c r="L408" i="32"/>
  <c r="J408" i="32"/>
  <c r="K411" i="32"/>
  <c r="J411" i="32"/>
  <c r="M411" i="32"/>
  <c r="K425" i="32"/>
  <c r="J425" i="32"/>
  <c r="L425" i="32"/>
  <c r="K439" i="32"/>
  <c r="J439" i="32"/>
  <c r="I439" i="32"/>
  <c r="K443" i="32"/>
  <c r="J443" i="32"/>
  <c r="M443" i="32"/>
  <c r="M321" i="32"/>
  <c r="I321" i="32"/>
  <c r="M333" i="32"/>
  <c r="I333" i="32"/>
  <c r="M334" i="32"/>
  <c r="M345" i="32"/>
  <c r="K405" i="32"/>
  <c r="L405" i="32"/>
  <c r="M406" i="32"/>
  <c r="I406" i="32"/>
  <c r="K406" i="32"/>
  <c r="K415" i="32"/>
  <c r="J415" i="32"/>
  <c r="I415" i="32"/>
  <c r="K419" i="32"/>
  <c r="J419" i="32"/>
  <c r="M419" i="32"/>
  <c r="K433" i="32"/>
  <c r="J433" i="32"/>
  <c r="L433" i="32"/>
  <c r="K447" i="32"/>
  <c r="J447" i="32"/>
  <c r="I447" i="32"/>
  <c r="K451" i="32"/>
  <c r="J451" i="32"/>
  <c r="M451" i="32"/>
  <c r="M402" i="32"/>
  <c r="I402" i="32"/>
  <c r="M403" i="32"/>
  <c r="K413" i="32"/>
  <c r="J413" i="32"/>
  <c r="K421" i="32"/>
  <c r="J421" i="32"/>
  <c r="K429" i="32"/>
  <c r="J429" i="32"/>
  <c r="K437" i="32"/>
  <c r="J437" i="32"/>
  <c r="K445" i="32"/>
  <c r="J445" i="32"/>
  <c r="K453" i="32"/>
  <c r="J453" i="32"/>
  <c r="L410" i="32"/>
  <c r="L412" i="32"/>
  <c r="L414" i="32"/>
  <c r="L416" i="32"/>
  <c r="L418" i="32"/>
  <c r="L420" i="32"/>
  <c r="L422" i="32"/>
  <c r="L424" i="32"/>
  <c r="L426" i="32"/>
  <c r="L428" i="32"/>
  <c r="L430" i="32"/>
  <c r="L432" i="32"/>
  <c r="L434" i="32"/>
  <c r="L436" i="32"/>
  <c r="L438" i="32"/>
  <c r="L440" i="32"/>
  <c r="L442" i="32"/>
  <c r="L444" i="32"/>
  <c r="L446" i="32"/>
  <c r="L448" i="32"/>
  <c r="L450" i="32"/>
  <c r="L452" i="32"/>
  <c r="L454" i="32"/>
  <c r="I410" i="32"/>
  <c r="I412" i="32"/>
  <c r="I414" i="32"/>
  <c r="I416" i="32"/>
  <c r="I418" i="32"/>
  <c r="I420" i="32"/>
  <c r="I422" i="32"/>
  <c r="I424" i="32"/>
  <c r="I426" i="32"/>
  <c r="I428" i="32"/>
  <c r="I430" i="32"/>
  <c r="I432" i="32"/>
  <c r="I434" i="32"/>
  <c r="I436" i="32"/>
  <c r="I438" i="32"/>
  <c r="I440" i="32"/>
  <c r="I442" i="32"/>
  <c r="I444" i="32"/>
  <c r="I446" i="32"/>
  <c r="I448" i="32"/>
  <c r="I450" i="32"/>
  <c r="I452" i="32"/>
  <c r="I454" i="32"/>
  <c r="L68" i="32" l="1"/>
  <c r="K117" i="32"/>
  <c r="I13" i="32"/>
  <c r="K263" i="32"/>
  <c r="L332" i="32"/>
  <c r="I345" i="32"/>
  <c r="J354" i="32"/>
  <c r="L379" i="32"/>
  <c r="K13" i="32"/>
  <c r="J365" i="32"/>
  <c r="L323" i="32"/>
  <c r="K360" i="32"/>
  <c r="I360" i="32"/>
  <c r="M117" i="32"/>
  <c r="L13" i="32"/>
  <c r="M13" i="32"/>
  <c r="J13" i="32"/>
  <c r="L345" i="32"/>
  <c r="M332" i="32"/>
  <c r="J457" i="32"/>
  <c r="L19" i="32"/>
  <c r="L28" i="32"/>
  <c r="J123" i="32"/>
  <c r="M457" i="32"/>
  <c r="J339" i="32"/>
  <c r="I323" i="32"/>
  <c r="L117" i="32"/>
  <c r="L111" i="32"/>
  <c r="M28" i="32"/>
  <c r="J19" i="32"/>
  <c r="I117" i="32"/>
  <c r="K345" i="32"/>
  <c r="L228" i="32"/>
  <c r="L131" i="32"/>
  <c r="J28" i="32"/>
  <c r="J360" i="32"/>
  <c r="L457" i="32"/>
  <c r="L354" i="32"/>
  <c r="J345" i="32"/>
  <c r="K339" i="32"/>
  <c r="K457" i="32"/>
  <c r="K28" i="32"/>
  <c r="K309" i="32"/>
  <c r="I457" i="32"/>
  <c r="M374" i="32"/>
  <c r="L374" i="32"/>
  <c r="I354" i="32"/>
  <c r="J309" i="32"/>
  <c r="I131" i="32"/>
  <c r="J323" i="32"/>
  <c r="L309" i="32"/>
  <c r="I263" i="32"/>
  <c r="I28" i="32"/>
  <c r="K235" i="32"/>
  <c r="I379" i="32"/>
  <c r="I68" i="32"/>
  <c r="J256" i="32"/>
  <c r="J228" i="32"/>
  <c r="J332" i="32"/>
  <c r="L256" i="32"/>
  <c r="M68" i="32"/>
  <c r="M309" i="32"/>
  <c r="M354" i="32"/>
  <c r="J131" i="32"/>
  <c r="K111" i="32"/>
  <c r="K228" i="32"/>
  <c r="I332" i="32"/>
  <c r="J111" i="32"/>
  <c r="M111" i="32"/>
  <c r="K256" i="32"/>
  <c r="I339" i="32"/>
  <c r="M323" i="32"/>
  <c r="M360" i="32"/>
  <c r="M256" i="32"/>
  <c r="J68" i="32"/>
  <c r="I256" i="32"/>
  <c r="I111" i="32"/>
  <c r="M339" i="32"/>
  <c r="K374" i="32"/>
  <c r="K354" i="32"/>
  <c r="I235" i="32"/>
  <c r="L235" i="32"/>
  <c r="M263" i="32"/>
  <c r="M228" i="32"/>
  <c r="K131" i="32"/>
  <c r="J75" i="32"/>
  <c r="K332" i="32"/>
  <c r="I228" i="32"/>
  <c r="J235" i="32"/>
  <c r="M459" i="32" l="1"/>
  <c r="K459" i="32"/>
  <c r="J459" i="32"/>
  <c r="J1" i="32" s="1"/>
  <c r="I459" i="32"/>
  <c r="M1" i="32"/>
  <c r="K1" i="32"/>
  <c r="L459" i="32"/>
  <c r="L1" i="32" s="1"/>
  <c r="S496" i="6" l="1"/>
  <c r="E41" i="31"/>
  <c r="O40" i="31"/>
  <c r="E40" i="31"/>
  <c r="P36" i="31"/>
  <c r="N36" i="31"/>
  <c r="L36" i="31"/>
  <c r="I36" i="31"/>
  <c r="P34" i="31"/>
  <c r="P496" i="6" s="1"/>
  <c r="N34" i="31"/>
  <c r="L34" i="31"/>
  <c r="I34" i="31"/>
  <c r="E34" i="31"/>
  <c r="P30" i="31"/>
  <c r="U496" i="6" s="1"/>
  <c r="J28" i="31"/>
  <c r="J38" i="31" s="1"/>
  <c r="G28" i="31"/>
  <c r="P26" i="31"/>
  <c r="N26" i="31"/>
  <c r="I26" i="31"/>
  <c r="F26" i="31"/>
  <c r="D26" i="31"/>
  <c r="E24" i="31"/>
  <c r="E23" i="31"/>
  <c r="E22" i="31"/>
  <c r="E21" i="31"/>
  <c r="E20" i="31"/>
  <c r="E19" i="31"/>
  <c r="E18" i="31"/>
  <c r="O17" i="31"/>
  <c r="E17" i="31"/>
  <c r="O16" i="31"/>
  <c r="E16" i="31"/>
  <c r="O15" i="31"/>
  <c r="E15" i="31"/>
  <c r="O14" i="31"/>
  <c r="E14" i="31"/>
  <c r="O13" i="31"/>
  <c r="E13" i="31"/>
  <c r="O12" i="31"/>
  <c r="E12" i="31"/>
  <c r="P10" i="31"/>
  <c r="M10" i="31"/>
  <c r="J10" i="31"/>
  <c r="G10" i="31"/>
  <c r="F10" i="31"/>
  <c r="D10" i="31"/>
  <c r="I9" i="31"/>
  <c r="E9" i="31"/>
  <c r="M26" i="31" l="1"/>
  <c r="H596" i="6" s="1"/>
  <c r="H597" i="6" s="1"/>
  <c r="I28" i="31"/>
  <c r="O34" i="31"/>
  <c r="O36" i="31"/>
  <c r="D28" i="31"/>
  <c r="K26" i="31"/>
  <c r="Q10" i="31"/>
  <c r="F28" i="31"/>
  <c r="H607" i="6" l="1"/>
  <c r="L26" i="31"/>
  <c r="M28" i="31"/>
  <c r="P28" i="31" s="1"/>
  <c r="H585" i="6" s="1"/>
  <c r="F38" i="31"/>
  <c r="F44" i="31" s="1"/>
  <c r="G67" i="28" l="1"/>
  <c r="G68" i="28"/>
  <c r="G69" i="28"/>
  <c r="H20" i="28" s="1"/>
  <c r="K88" i="28"/>
  <c r="K87" i="28"/>
  <c r="K89" i="28"/>
  <c r="K90" i="28"/>
  <c r="I92" i="28"/>
  <c r="E91" i="28"/>
  <c r="K91" i="28" s="1"/>
  <c r="E90" i="28"/>
  <c r="E89" i="28"/>
  <c r="E88" i="28"/>
  <c r="E87" i="28"/>
  <c r="E86" i="28"/>
  <c r="E85" i="28"/>
  <c r="E84" i="28"/>
  <c r="H92" i="28"/>
  <c r="G92" i="28"/>
  <c r="F92" i="28"/>
  <c r="D92" i="28"/>
  <c r="C92" i="28"/>
  <c r="B92" i="28"/>
  <c r="J92" i="28"/>
  <c r="C14" i="22"/>
  <c r="E14" i="36" s="1"/>
  <c r="B14" i="22"/>
  <c r="D14" i="36" s="1"/>
  <c r="H460" i="6"/>
  <c r="E92" i="28" l="1"/>
  <c r="K92" i="28"/>
  <c r="H26" i="17" l="1"/>
  <c r="H25" i="17"/>
  <c r="H24" i="17"/>
  <c r="H23" i="17"/>
  <c r="H22" i="17"/>
  <c r="H20" i="17"/>
  <c r="H19" i="17"/>
  <c r="H18" i="17"/>
  <c r="H17" i="17"/>
  <c r="H16" i="17"/>
  <c r="H15" i="17"/>
  <c r="H14" i="17"/>
  <c r="H13" i="17"/>
  <c r="H12" i="17"/>
  <c r="H11" i="17"/>
  <c r="H10" i="17"/>
  <c r="H9" i="17"/>
  <c r="H387" i="6"/>
  <c r="L8" i="24" l="1"/>
  <c r="I18" i="25"/>
  <c r="I20" i="24"/>
  <c r="I19" i="24" l="1"/>
  <c r="H435" i="6" l="1"/>
  <c r="H434" i="6"/>
  <c r="H432" i="6"/>
  <c r="H428" i="6"/>
  <c r="H427" i="6"/>
  <c r="H425" i="6"/>
  <c r="J296" i="6"/>
  <c r="I264" i="6" l="1"/>
  <c r="I263" i="6"/>
  <c r="I262" i="6"/>
  <c r="I257" i="6"/>
  <c r="I256" i="6"/>
  <c r="I255" i="6"/>
  <c r="H70" i="28" l="1"/>
  <c r="H69" i="28"/>
  <c r="H68" i="28"/>
  <c r="H67" i="28"/>
  <c r="H66" i="28"/>
  <c r="H65" i="28"/>
  <c r="H64" i="28"/>
  <c r="H63" i="28"/>
  <c r="G70" i="28"/>
  <c r="I20" i="28" s="1"/>
  <c r="G66" i="28"/>
  <c r="G65" i="28"/>
  <c r="G64" i="28"/>
  <c r="G63" i="28"/>
  <c r="D75" i="28"/>
  <c r="D74" i="28"/>
  <c r="D70" i="28"/>
  <c r="D69" i="28"/>
  <c r="D68" i="28"/>
  <c r="D67" i="28"/>
  <c r="D66" i="28"/>
  <c r="D65" i="28"/>
  <c r="D64" i="28"/>
  <c r="D63" i="28"/>
  <c r="C74" i="28"/>
  <c r="C66" i="28"/>
  <c r="C64" i="28"/>
  <c r="C63" i="28"/>
  <c r="H808" i="2" l="1"/>
  <c r="H807" i="2"/>
  <c r="H806" i="2"/>
  <c r="H805" i="2"/>
  <c r="H804" i="2"/>
  <c r="H803" i="2"/>
  <c r="H802" i="2"/>
  <c r="H801" i="2"/>
  <c r="H800" i="2"/>
  <c r="H799" i="2"/>
  <c r="H798" i="2"/>
  <c r="H797" i="2"/>
  <c r="H796" i="2"/>
  <c r="H795" i="2"/>
  <c r="H794" i="2"/>
  <c r="H793" i="2"/>
  <c r="H792" i="2"/>
  <c r="H791" i="2"/>
  <c r="H790" i="2"/>
  <c r="H789" i="2"/>
  <c r="H788" i="2"/>
  <c r="H787" i="2"/>
  <c r="H786" i="2"/>
  <c r="H785"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H756" i="2"/>
  <c r="H755" i="2"/>
  <c r="H754" i="2"/>
  <c r="H753" i="2"/>
  <c r="H752" i="2"/>
  <c r="H751" i="2"/>
  <c r="H750" i="2"/>
  <c r="H749" i="2"/>
  <c r="H748" i="2"/>
  <c r="H747" i="2"/>
  <c r="H746" i="2"/>
  <c r="H745" i="2"/>
  <c r="H744" i="2"/>
  <c r="H743" i="2"/>
  <c r="H742" i="2"/>
  <c r="H741" i="2"/>
  <c r="H740" i="2"/>
  <c r="H739" i="2"/>
  <c r="H738" i="2"/>
  <c r="H737" i="2"/>
  <c r="H736" i="2"/>
  <c r="H735" i="2"/>
  <c r="H734" i="2"/>
  <c r="H733" i="2"/>
  <c r="H732" i="2"/>
  <c r="H731" i="2"/>
  <c r="H730" i="2"/>
  <c r="H729" i="2"/>
  <c r="H728" i="2"/>
  <c r="H727" i="2"/>
  <c r="H726" i="2"/>
  <c r="H725" i="2"/>
  <c r="H724" i="2"/>
  <c r="H723" i="2"/>
  <c r="H722" i="2"/>
  <c r="H721" i="2"/>
  <c r="H720" i="2"/>
  <c r="H719" i="2"/>
  <c r="H718" i="2"/>
  <c r="H717" i="2"/>
  <c r="H716" i="2"/>
  <c r="H715" i="2"/>
  <c r="H714" i="2"/>
  <c r="H713" i="2"/>
  <c r="H712" i="2"/>
  <c r="H711" i="2"/>
  <c r="H710" i="2"/>
  <c r="H709" i="2"/>
  <c r="H708" i="2"/>
  <c r="H707" i="2"/>
  <c r="H706" i="2"/>
  <c r="H705" i="2"/>
  <c r="H704" i="2"/>
  <c r="H703" i="2"/>
  <c r="H702" i="2"/>
  <c r="H701" i="2"/>
  <c r="H700" i="2"/>
  <c r="H699" i="2"/>
  <c r="H698" i="2"/>
  <c r="H697" i="2"/>
  <c r="H696" i="2"/>
  <c r="H695" i="2"/>
  <c r="H694" i="2"/>
  <c r="H693" i="2"/>
  <c r="H692" i="2"/>
  <c r="H691" i="2"/>
  <c r="H690" i="2"/>
  <c r="H689" i="2"/>
  <c r="H688" i="2"/>
  <c r="H687" i="2"/>
  <c r="H686" i="2"/>
  <c r="H685" i="2"/>
  <c r="H684" i="2"/>
  <c r="H683" i="2"/>
  <c r="H682" i="2"/>
  <c r="H681" i="2"/>
  <c r="H680" i="2"/>
  <c r="H679" i="2"/>
  <c r="H678" i="2"/>
  <c r="H677" i="2"/>
  <c r="H676" i="2"/>
  <c r="H675" i="2"/>
  <c r="H674" i="2"/>
  <c r="H673" i="2"/>
  <c r="H672" i="2"/>
  <c r="H671" i="2"/>
  <c r="H670" i="2"/>
  <c r="H669" i="2"/>
  <c r="H668" i="2"/>
  <c r="H667" i="2"/>
  <c r="H666" i="2"/>
  <c r="H665" i="2"/>
  <c r="H664" i="2"/>
  <c r="H663" i="2"/>
  <c r="H662" i="2"/>
  <c r="H661" i="2"/>
  <c r="H660" i="2"/>
  <c r="H659" i="2"/>
  <c r="H658" i="2"/>
  <c r="H657" i="2"/>
  <c r="H656" i="2"/>
  <c r="H655" i="2"/>
  <c r="H654" i="2"/>
  <c r="H653" i="2"/>
  <c r="H652" i="2"/>
  <c r="H651" i="2"/>
  <c r="H650" i="2"/>
  <c r="H649" i="2"/>
  <c r="H648" i="2"/>
  <c r="H647" i="2"/>
  <c r="H646" i="2"/>
  <c r="H645" i="2"/>
  <c r="H644" i="2"/>
  <c r="H643" i="2"/>
  <c r="H642" i="2"/>
  <c r="H641" i="2"/>
  <c r="H640" i="2"/>
  <c r="H639" i="2"/>
  <c r="H638" i="2"/>
  <c r="H637" i="2"/>
  <c r="H636" i="2"/>
  <c r="H635" i="2"/>
  <c r="H634" i="2"/>
  <c r="H633" i="2"/>
  <c r="H632" i="2"/>
  <c r="H631" i="2"/>
  <c r="H630" i="2"/>
  <c r="H629" i="2"/>
  <c r="H628" i="2"/>
  <c r="H627" i="2"/>
  <c r="H626" i="2"/>
  <c r="H625" i="2"/>
  <c r="H624" i="2"/>
  <c r="H623" i="2"/>
  <c r="H622" i="2"/>
  <c r="H621" i="2"/>
  <c r="H620" i="2"/>
  <c r="H619" i="2"/>
  <c r="H618" i="2"/>
  <c r="H617" i="2"/>
  <c r="H616" i="2"/>
  <c r="H615" i="2"/>
  <c r="H614" i="2"/>
  <c r="H613" i="2"/>
  <c r="H612" i="2"/>
  <c r="H611" i="2"/>
  <c r="H610" i="2"/>
  <c r="H609" i="2"/>
  <c r="H608" i="2"/>
  <c r="H607" i="2"/>
  <c r="H606" i="2"/>
  <c r="H605" i="2"/>
  <c r="H604" i="2"/>
  <c r="H603" i="2"/>
  <c r="H602" i="2"/>
  <c r="H601" i="2"/>
  <c r="H600" i="2"/>
  <c r="H599" i="2"/>
  <c r="H598" i="2"/>
  <c r="H597" i="2"/>
  <c r="H596" i="2"/>
  <c r="H595" i="2"/>
  <c r="H594" i="2"/>
  <c r="H593" i="2"/>
  <c r="H592" i="2"/>
  <c r="H591" i="2"/>
  <c r="H590" i="2"/>
  <c r="H589" i="2"/>
  <c r="H588" i="2"/>
  <c r="H587" i="2"/>
  <c r="H586" i="2"/>
  <c r="H585" i="2"/>
  <c r="H584" i="2"/>
  <c r="H583" i="2"/>
  <c r="H582" i="2"/>
  <c r="H581" i="2"/>
  <c r="H580" i="2"/>
  <c r="H579" i="2"/>
  <c r="H578" i="2"/>
  <c r="H577" i="2"/>
  <c r="H576" i="2"/>
  <c r="H575" i="2"/>
  <c r="H574" i="2"/>
  <c r="H573" i="2"/>
  <c r="H572" i="2"/>
  <c r="H571" i="2"/>
  <c r="H570" i="2"/>
  <c r="H569" i="2"/>
  <c r="H568"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I499" i="2" s="1"/>
  <c r="I1" i="2" s="1"/>
  <c r="H498" i="2"/>
  <c r="H497" i="2"/>
  <c r="H496"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E808" i="2"/>
  <c r="E807" i="2"/>
  <c r="E806" i="2"/>
  <c r="E805" i="2"/>
  <c r="E804" i="2"/>
  <c r="E803" i="2"/>
  <c r="E802" i="2"/>
  <c r="E801" i="2"/>
  <c r="E800" i="2"/>
  <c r="E799" i="2"/>
  <c r="E798" i="2"/>
  <c r="E797" i="2"/>
  <c r="E796" i="2"/>
  <c r="E795" i="2"/>
  <c r="E794" i="2"/>
  <c r="E793" i="2"/>
  <c r="E792" i="2"/>
  <c r="E791" i="2"/>
  <c r="E790" i="2"/>
  <c r="E789" i="2"/>
  <c r="E788" i="2"/>
  <c r="E787" i="2"/>
  <c r="E786" i="2"/>
  <c r="E785" i="2"/>
  <c r="E784" i="2"/>
  <c r="E783" i="2"/>
  <c r="E782" i="2"/>
  <c r="E781" i="2"/>
  <c r="E780" i="2"/>
  <c r="E779" i="2"/>
  <c r="E778" i="2"/>
  <c r="E777" i="2"/>
  <c r="E776" i="2"/>
  <c r="E775" i="2"/>
  <c r="E774" i="2"/>
  <c r="E773" i="2"/>
  <c r="E772" i="2"/>
  <c r="E771" i="2"/>
  <c r="E770" i="2"/>
  <c r="E769" i="2"/>
  <c r="E768" i="2"/>
  <c r="E767" i="2"/>
  <c r="E766" i="2"/>
  <c r="E765" i="2"/>
  <c r="E764" i="2"/>
  <c r="E763" i="2"/>
  <c r="E762" i="2"/>
  <c r="E761" i="2"/>
  <c r="E760" i="2"/>
  <c r="E759" i="2"/>
  <c r="E758" i="2"/>
  <c r="E757" i="2"/>
  <c r="E756" i="2"/>
  <c r="E755" i="2"/>
  <c r="E754" i="2"/>
  <c r="E753" i="2"/>
  <c r="E752" i="2"/>
  <c r="E751" i="2"/>
  <c r="E750" i="2"/>
  <c r="E749" i="2"/>
  <c r="E748" i="2"/>
  <c r="E747" i="2"/>
  <c r="E746" i="2"/>
  <c r="E745" i="2"/>
  <c r="E744" i="2"/>
  <c r="E743" i="2"/>
  <c r="E742" i="2"/>
  <c r="E741" i="2"/>
  <c r="E740" i="2"/>
  <c r="E739" i="2"/>
  <c r="E738" i="2"/>
  <c r="E737" i="2"/>
  <c r="E736" i="2"/>
  <c r="E735" i="2"/>
  <c r="E734" i="2"/>
  <c r="E733" i="2"/>
  <c r="E732" i="2"/>
  <c r="E731" i="2"/>
  <c r="E730" i="2"/>
  <c r="E729" i="2"/>
  <c r="E728" i="2"/>
  <c r="E727" i="2"/>
  <c r="E726" i="2"/>
  <c r="E725" i="2"/>
  <c r="E724" i="2"/>
  <c r="E723" i="2"/>
  <c r="E722" i="2"/>
  <c r="E721" i="2"/>
  <c r="E720" i="2"/>
  <c r="E719" i="2"/>
  <c r="E718" i="2"/>
  <c r="E717" i="2"/>
  <c r="E716" i="2"/>
  <c r="E715" i="2"/>
  <c r="E714" i="2"/>
  <c r="E713" i="2"/>
  <c r="E712" i="2"/>
  <c r="E711" i="2"/>
  <c r="E710" i="2"/>
  <c r="E709" i="2"/>
  <c r="E708" i="2"/>
  <c r="E707" i="2"/>
  <c r="E706" i="2"/>
  <c r="E705" i="2"/>
  <c r="E704" i="2"/>
  <c r="E703" i="2"/>
  <c r="E702" i="2"/>
  <c r="E701" i="2"/>
  <c r="E700" i="2"/>
  <c r="E699" i="2"/>
  <c r="E698" i="2"/>
  <c r="E697" i="2"/>
  <c r="E696" i="2"/>
  <c r="E695" i="2"/>
  <c r="E694" i="2"/>
  <c r="E693" i="2"/>
  <c r="E692" i="2"/>
  <c r="E691" i="2"/>
  <c r="E690" i="2"/>
  <c r="E689" i="2"/>
  <c r="E688" i="2"/>
  <c r="E687" i="2"/>
  <c r="E686" i="2"/>
  <c r="E685" i="2"/>
  <c r="E684" i="2"/>
  <c r="E683" i="2"/>
  <c r="E682" i="2"/>
  <c r="E681" i="2"/>
  <c r="E680" i="2"/>
  <c r="E679" i="2"/>
  <c r="E678" i="2"/>
  <c r="E677" i="2"/>
  <c r="E676" i="2"/>
  <c r="E675" i="2"/>
  <c r="E674" i="2"/>
  <c r="E673" i="2"/>
  <c r="E672" i="2"/>
  <c r="E671" i="2"/>
  <c r="E670" i="2"/>
  <c r="E669" i="2"/>
  <c r="E668" i="2"/>
  <c r="E667" i="2"/>
  <c r="E666" i="2"/>
  <c r="E665" i="2"/>
  <c r="E664" i="2"/>
  <c r="E663" i="2"/>
  <c r="E662" i="2"/>
  <c r="E661" i="2"/>
  <c r="E660" i="2"/>
  <c r="E659" i="2"/>
  <c r="E658" i="2"/>
  <c r="E657" i="2"/>
  <c r="E656" i="2"/>
  <c r="E655" i="2"/>
  <c r="E654" i="2"/>
  <c r="E653" i="2"/>
  <c r="E652" i="2"/>
  <c r="E651" i="2"/>
  <c r="E650" i="2"/>
  <c r="E649" i="2"/>
  <c r="E648" i="2"/>
  <c r="E647" i="2"/>
  <c r="E646" i="2"/>
  <c r="E645" i="2"/>
  <c r="E644" i="2"/>
  <c r="E643" i="2"/>
  <c r="E642" i="2"/>
  <c r="E641" i="2"/>
  <c r="E640" i="2"/>
  <c r="E639" i="2"/>
  <c r="E638" i="2"/>
  <c r="E637" i="2"/>
  <c r="E636" i="2"/>
  <c r="E635" i="2"/>
  <c r="E634" i="2"/>
  <c r="E633" i="2"/>
  <c r="E632" i="2"/>
  <c r="E631" i="2"/>
  <c r="E630" i="2"/>
  <c r="E629" i="2"/>
  <c r="E628" i="2"/>
  <c r="E627" i="2"/>
  <c r="E626" i="2"/>
  <c r="E625" i="2"/>
  <c r="E624" i="2"/>
  <c r="E623" i="2"/>
  <c r="E622" i="2"/>
  <c r="E621" i="2"/>
  <c r="E620" i="2"/>
  <c r="E619" i="2"/>
  <c r="E618" i="2"/>
  <c r="E617" i="2"/>
  <c r="E616" i="2"/>
  <c r="E615" i="2"/>
  <c r="E614" i="2"/>
  <c r="E613" i="2"/>
  <c r="E612" i="2"/>
  <c r="E611" i="2"/>
  <c r="E610" i="2"/>
  <c r="E609" i="2"/>
  <c r="E608" i="2"/>
  <c r="E607" i="2"/>
  <c r="E606" i="2"/>
  <c r="E605" i="2"/>
  <c r="E604" i="2"/>
  <c r="E603" i="2"/>
  <c r="E602" i="2"/>
  <c r="E601" i="2"/>
  <c r="E600" i="2"/>
  <c r="E599" i="2"/>
  <c r="E598" i="2"/>
  <c r="E597" i="2"/>
  <c r="E596" i="2"/>
  <c r="E595" i="2"/>
  <c r="E594" i="2"/>
  <c r="E593" i="2"/>
  <c r="E592" i="2"/>
  <c r="E591" i="2"/>
  <c r="E590" i="2"/>
  <c r="E589" i="2"/>
  <c r="E588" i="2"/>
  <c r="E587" i="2"/>
  <c r="E586" i="2"/>
  <c r="E585" i="2"/>
  <c r="E584" i="2"/>
  <c r="E583" i="2"/>
  <c r="E582" i="2"/>
  <c r="E581" i="2"/>
  <c r="E580" i="2"/>
  <c r="E579" i="2"/>
  <c r="E578" i="2"/>
  <c r="E577" i="2"/>
  <c r="E576" i="2"/>
  <c r="E575" i="2"/>
  <c r="E574" i="2"/>
  <c r="E573" i="2"/>
  <c r="E572" i="2"/>
  <c r="E571" i="2"/>
  <c r="E570" i="2"/>
  <c r="E569" i="2"/>
  <c r="E568" i="2"/>
  <c r="E567" i="2"/>
  <c r="E566" i="2"/>
  <c r="E565" i="2"/>
  <c r="E564" i="2"/>
  <c r="E563" i="2"/>
  <c r="E562" i="2"/>
  <c r="E561" i="2"/>
  <c r="E560" i="2"/>
  <c r="E559" i="2"/>
  <c r="E558" i="2"/>
  <c r="E557" i="2"/>
  <c r="E556" i="2"/>
  <c r="E555" i="2"/>
  <c r="E554" i="2"/>
  <c r="E553" i="2"/>
  <c r="E552" i="2"/>
  <c r="E551" i="2"/>
  <c r="E550" i="2"/>
  <c r="E549" i="2"/>
  <c r="E548" i="2"/>
  <c r="E547" i="2"/>
  <c r="E546" i="2"/>
  <c r="E545" i="2"/>
  <c r="E544" i="2"/>
  <c r="E543" i="2"/>
  <c r="E542" i="2"/>
  <c r="E541" i="2"/>
  <c r="E540" i="2"/>
  <c r="E539" i="2"/>
  <c r="E538" i="2"/>
  <c r="E537" i="2"/>
  <c r="E536" i="2"/>
  <c r="E535" i="2"/>
  <c r="E534" i="2"/>
  <c r="E533" i="2"/>
  <c r="E532" i="2"/>
  <c r="E531" i="2"/>
  <c r="E530" i="2"/>
  <c r="E529" i="2"/>
  <c r="E528" i="2"/>
  <c r="E527" i="2"/>
  <c r="E526" i="2"/>
  <c r="E525" i="2"/>
  <c r="E524" i="2"/>
  <c r="E523" i="2"/>
  <c r="E522" i="2"/>
  <c r="E521" i="2"/>
  <c r="E520" i="2"/>
  <c r="E519" i="2"/>
  <c r="E518" i="2"/>
  <c r="E517" i="2"/>
  <c r="E516" i="2"/>
  <c r="E515" i="2"/>
  <c r="E514" i="2"/>
  <c r="E513" i="2"/>
  <c r="E512" i="2"/>
  <c r="E511" i="2"/>
  <c r="E510" i="2"/>
  <c r="E509" i="2"/>
  <c r="E508" i="2"/>
  <c r="E507" i="2"/>
  <c r="E506" i="2"/>
  <c r="E505" i="2"/>
  <c r="E504" i="2"/>
  <c r="E503" i="2"/>
  <c r="E502" i="2"/>
  <c r="E501" i="2"/>
  <c r="E500" i="2"/>
  <c r="E499" i="2"/>
  <c r="E498" i="2"/>
  <c r="E497" i="2"/>
  <c r="E496" i="2"/>
  <c r="E494" i="2"/>
  <c r="E493" i="2"/>
  <c r="E492" i="2"/>
  <c r="E491" i="2"/>
  <c r="E490" i="2"/>
  <c r="E489" i="2"/>
  <c r="E488" i="2"/>
  <c r="E487" i="2"/>
  <c r="E486" i="2"/>
  <c r="E485" i="2"/>
  <c r="E484" i="2"/>
  <c r="E483" i="2"/>
  <c r="E482" i="2"/>
  <c r="E481" i="2"/>
  <c r="E480" i="2"/>
  <c r="E479" i="2"/>
  <c r="E478" i="2"/>
  <c r="E477" i="2"/>
  <c r="E476" i="2"/>
  <c r="E475" i="2"/>
  <c r="E474" i="2"/>
  <c r="E473" i="2"/>
  <c r="E472" i="2"/>
  <c r="E471" i="2"/>
  <c r="E470" i="2"/>
  <c r="E469" i="2"/>
  <c r="E468" i="2"/>
  <c r="E467" i="2"/>
  <c r="E466" i="2"/>
  <c r="E465" i="2"/>
  <c r="E464" i="2"/>
  <c r="E463"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I271" i="6"/>
  <c r="I21" i="28"/>
  <c r="H21" i="28"/>
  <c r="G21" i="28"/>
  <c r="F21" i="28"/>
  <c r="E21" i="28"/>
  <c r="D21" i="28"/>
  <c r="C21" i="28"/>
  <c r="B21" i="28"/>
  <c r="B20" i="28"/>
  <c r="G18" i="28"/>
  <c r="F18" i="28"/>
  <c r="E18" i="28"/>
  <c r="D18" i="28"/>
  <c r="C18" i="28"/>
  <c r="B18" i="28"/>
  <c r="G17" i="28"/>
  <c r="F17" i="28"/>
  <c r="D17" i="28"/>
  <c r="C17" i="28"/>
  <c r="B17" i="28"/>
  <c r="H16" i="28"/>
  <c r="G16" i="28"/>
  <c r="F16" i="28"/>
  <c r="F19" i="28" s="1"/>
  <c r="E16" i="28"/>
  <c r="D16" i="28"/>
  <c r="B16" i="28"/>
  <c r="I12" i="28"/>
  <c r="H12" i="28"/>
  <c r="G12" i="28"/>
  <c r="F12" i="28"/>
  <c r="D12" i="28"/>
  <c r="C12" i="28"/>
  <c r="B11" i="28"/>
  <c r="H9" i="28"/>
  <c r="G9" i="28"/>
  <c r="F9" i="28"/>
  <c r="E9" i="28"/>
  <c r="D9" i="28"/>
  <c r="C9" i="28"/>
  <c r="B9" i="28"/>
  <c r="G8" i="28"/>
  <c r="F8" i="28"/>
  <c r="E8" i="28"/>
  <c r="D8" i="28"/>
  <c r="C8" i="28"/>
  <c r="B8" i="28"/>
  <c r="I10" i="28"/>
  <c r="H7" i="28"/>
  <c r="G7" i="28"/>
  <c r="F7" i="28"/>
  <c r="F10" i="28" s="1"/>
  <c r="E7" i="28"/>
  <c r="D7" i="28"/>
  <c r="C7" i="28"/>
  <c r="J17" i="28"/>
  <c r="J19" i="28" s="1"/>
  <c r="J22" i="28" s="1"/>
  <c r="I76" i="28"/>
  <c r="H76" i="28"/>
  <c r="G76" i="28"/>
  <c r="F76" i="28"/>
  <c r="D76" i="28"/>
  <c r="J12" i="28" s="1"/>
  <c r="C76" i="28"/>
  <c r="J11" i="28" s="1"/>
  <c r="B75" i="28"/>
  <c r="J75" i="28" s="1"/>
  <c r="B74" i="28"/>
  <c r="J74" i="28" s="1"/>
  <c r="H71" i="28"/>
  <c r="F70" i="28"/>
  <c r="B70" i="28"/>
  <c r="F69" i="28"/>
  <c r="B69" i="28"/>
  <c r="G20" i="28"/>
  <c r="F68" i="28"/>
  <c r="G11" i="28"/>
  <c r="B68" i="28"/>
  <c r="F20" i="28"/>
  <c r="F67" i="28"/>
  <c r="F11" i="28"/>
  <c r="B67" i="28"/>
  <c r="E20" i="28"/>
  <c r="F66" i="28"/>
  <c r="E12" i="28"/>
  <c r="E11" i="28"/>
  <c r="B66" i="28"/>
  <c r="D20" i="28"/>
  <c r="F65" i="28"/>
  <c r="D11" i="28"/>
  <c r="B65" i="28"/>
  <c r="C20" i="28"/>
  <c r="F64" i="28"/>
  <c r="C11" i="28"/>
  <c r="B64" i="28"/>
  <c r="F63" i="28"/>
  <c r="B12" i="28"/>
  <c r="B63" i="28"/>
  <c r="B7" i="28" s="1"/>
  <c r="D10" i="28" l="1"/>
  <c r="H10" i="28"/>
  <c r="H13" i="28" s="1"/>
  <c r="G10" i="28"/>
  <c r="G13" i="28" s="1"/>
  <c r="G26" i="28" s="1"/>
  <c r="B19" i="28"/>
  <c r="B22" i="28" s="1"/>
  <c r="J64" i="28"/>
  <c r="J65" i="28"/>
  <c r="E10" i="28"/>
  <c r="F22" i="28"/>
  <c r="H78" i="28"/>
  <c r="H87" i="6"/>
  <c r="E24" i="28"/>
  <c r="I24" i="28"/>
  <c r="D19" i="28"/>
  <c r="D22" i="28" s="1"/>
  <c r="F24" i="28"/>
  <c r="B24" i="28"/>
  <c r="D13" i="28"/>
  <c r="B10" i="28"/>
  <c r="D24" i="28"/>
  <c r="H24" i="28"/>
  <c r="H19" i="28"/>
  <c r="C19" i="28"/>
  <c r="C22" i="28" s="1"/>
  <c r="G19" i="28"/>
  <c r="G22" i="28" s="1"/>
  <c r="C10" i="28"/>
  <c r="C13" i="28" s="1"/>
  <c r="C26" i="28" s="1"/>
  <c r="F25" i="28"/>
  <c r="I13" i="28"/>
  <c r="I26" i="28" s="1"/>
  <c r="E19" i="28"/>
  <c r="E22" i="28" s="1"/>
  <c r="I19" i="28"/>
  <c r="I22" i="28" s="1"/>
  <c r="C24" i="28"/>
  <c r="G24" i="28"/>
  <c r="J66" i="28"/>
  <c r="J63" i="28"/>
  <c r="J67" i="28"/>
  <c r="J68" i="28"/>
  <c r="J69" i="28"/>
  <c r="J70" i="28"/>
  <c r="B76" i="28"/>
  <c r="J24" i="28" s="1"/>
  <c r="D71" i="28"/>
  <c r="D78" i="28" s="1"/>
  <c r="C71" i="28"/>
  <c r="C78" i="28" s="1"/>
  <c r="J76" i="28"/>
  <c r="E63" i="28"/>
  <c r="K63" i="28" s="1"/>
  <c r="F71" i="28"/>
  <c r="F78" i="28" s="1"/>
  <c r="G71" i="28"/>
  <c r="G78" i="28" s="1"/>
  <c r="I65" i="28"/>
  <c r="I66" i="28"/>
  <c r="I67" i="28"/>
  <c r="I68" i="28"/>
  <c r="I69" i="28"/>
  <c r="I70" i="28"/>
  <c r="E74" i="28"/>
  <c r="K74" i="28" s="1"/>
  <c r="I64" i="28"/>
  <c r="B71" i="28"/>
  <c r="E75" i="28"/>
  <c r="K75" i="28" s="1"/>
  <c r="E64" i="28"/>
  <c r="E65" i="28"/>
  <c r="E66" i="28"/>
  <c r="E67" i="28"/>
  <c r="E68" i="28"/>
  <c r="E69" i="28"/>
  <c r="E70" i="28"/>
  <c r="D26" i="28" l="1"/>
  <c r="B25" i="28"/>
  <c r="J10" i="28"/>
  <c r="B12" i="22"/>
  <c r="D12" i="36" s="1"/>
  <c r="E18" i="34"/>
  <c r="B18" i="34" s="1"/>
  <c r="B78" i="28"/>
  <c r="K69" i="28"/>
  <c r="K65" i="28"/>
  <c r="K68" i="28"/>
  <c r="B13" i="28"/>
  <c r="H22" i="28"/>
  <c r="M10" i="28"/>
  <c r="R10" i="28"/>
  <c r="L10" i="28"/>
  <c r="D25" i="28"/>
  <c r="F13" i="28"/>
  <c r="I25" i="28"/>
  <c r="C25" i="28"/>
  <c r="E25" i="28"/>
  <c r="H25" i="28"/>
  <c r="E13" i="28"/>
  <c r="P10" i="28"/>
  <c r="G25" i="28"/>
  <c r="J71" i="28"/>
  <c r="J78" i="28" s="1"/>
  <c r="K67" i="28"/>
  <c r="I71" i="28"/>
  <c r="I78" i="28" s="1"/>
  <c r="K64" i="28"/>
  <c r="K70" i="28"/>
  <c r="K66" i="28"/>
  <c r="K76" i="28"/>
  <c r="E76" i="28"/>
  <c r="E71" i="28"/>
  <c r="B26" i="28" l="1"/>
  <c r="K10" i="28" s="1"/>
  <c r="I8" i="6"/>
  <c r="D11" i="35" s="1"/>
  <c r="E26" i="28"/>
  <c r="N10" i="28" s="1"/>
  <c r="F26" i="28"/>
  <c r="O10" i="28" s="1"/>
  <c r="H26" i="28"/>
  <c r="Q10" i="28" s="1"/>
  <c r="J25" i="28"/>
  <c r="J13" i="28"/>
  <c r="J26" i="28" s="1"/>
  <c r="H8" i="6"/>
  <c r="C11" i="35" s="1"/>
  <c r="E78" i="28"/>
  <c r="K71" i="28"/>
  <c r="I13" i="24" s="1"/>
  <c r="H9" i="6"/>
  <c r="C12" i="35" s="1"/>
  <c r="K78" i="28" l="1"/>
  <c r="G25" i="27" l="1"/>
  <c r="G24" i="27"/>
  <c r="I68" i="25"/>
  <c r="I19" i="25"/>
  <c r="I20" i="25"/>
  <c r="I70" i="25"/>
  <c r="I21" i="25"/>
  <c r="I22" i="25"/>
  <c r="I18" i="24" l="1"/>
  <c r="G56" i="27"/>
  <c r="F56" i="27"/>
  <c r="G55" i="27"/>
  <c r="F55" i="27"/>
  <c r="G54" i="27"/>
  <c r="F54" i="27"/>
  <c r="G53" i="27"/>
  <c r="F53" i="27"/>
  <c r="G52" i="27"/>
  <c r="F52" i="27"/>
  <c r="G51" i="27"/>
  <c r="F51" i="27"/>
  <c r="G50" i="27"/>
  <c r="F50" i="27"/>
  <c r="G48" i="27"/>
  <c r="F48" i="27"/>
  <c r="G47" i="27"/>
  <c r="F47" i="27"/>
  <c r="D47" i="27"/>
  <c r="D48" i="27" s="1"/>
  <c r="D49" i="27" s="1"/>
  <c r="D50" i="27" s="1"/>
  <c r="D51" i="27" s="1"/>
  <c r="D52" i="27" s="1"/>
  <c r="D53" i="27" s="1"/>
  <c r="D54" i="27" s="1"/>
  <c r="D55" i="27" s="1"/>
  <c r="D56" i="27" s="1"/>
  <c r="D57" i="27" s="1"/>
  <c r="D58" i="27" s="1"/>
  <c r="D59" i="27" s="1"/>
  <c r="G46" i="27"/>
  <c r="F46" i="27"/>
  <c r="G31" i="27"/>
  <c r="F31" i="27"/>
  <c r="D29" i="27"/>
  <c r="D30" i="27" s="1"/>
  <c r="D31" i="27" s="1"/>
  <c r="D32" i="27" s="1"/>
  <c r="D33" i="27" s="1"/>
  <c r="D34" i="27" s="1"/>
  <c r="D35" i="27" s="1"/>
  <c r="D36" i="27" s="1"/>
  <c r="D37" i="27" s="1"/>
  <c r="D38" i="27" s="1"/>
  <c r="G18" i="27"/>
  <c r="F18" i="27"/>
  <c r="F75" i="26"/>
  <c r="D68" i="26"/>
  <c r="F68" i="26" s="1"/>
  <c r="F71" i="26" s="1"/>
  <c r="D67" i="26"/>
  <c r="F67" i="26" s="1"/>
  <c r="Q59" i="26"/>
  <c r="N59" i="26"/>
  <c r="M59" i="26"/>
  <c r="J59" i="26"/>
  <c r="I59" i="26"/>
  <c r="H59" i="26"/>
  <c r="G59" i="26"/>
  <c r="F59" i="26"/>
  <c r="E59" i="26"/>
  <c r="L57" i="26"/>
  <c r="L59" i="26" s="1"/>
  <c r="K57" i="26"/>
  <c r="Q53" i="26"/>
  <c r="N53" i="26"/>
  <c r="M53" i="26"/>
  <c r="J53" i="26"/>
  <c r="G53" i="26"/>
  <c r="F53" i="26"/>
  <c r="E53" i="26"/>
  <c r="L51" i="26"/>
  <c r="O51" i="26" s="1"/>
  <c r="O53" i="26" s="1"/>
  <c r="K51" i="26"/>
  <c r="N49" i="26"/>
  <c r="N54" i="26" s="1"/>
  <c r="J49" i="26"/>
  <c r="I49" i="26"/>
  <c r="I54" i="26" s="1"/>
  <c r="H49" i="26"/>
  <c r="H54" i="26" s="1"/>
  <c r="G49" i="26"/>
  <c r="F49" i="26"/>
  <c r="E49" i="26"/>
  <c r="Q46" i="26"/>
  <c r="M46" i="26"/>
  <c r="L46" i="26"/>
  <c r="K46" i="26"/>
  <c r="L45" i="26"/>
  <c r="O45" i="26" s="1"/>
  <c r="K45" i="26"/>
  <c r="M49" i="26"/>
  <c r="M54" i="26" s="1"/>
  <c r="L44" i="26"/>
  <c r="K44" i="26"/>
  <c r="K49" i="26" s="1"/>
  <c r="Q41" i="26"/>
  <c r="N41" i="26"/>
  <c r="M41" i="26"/>
  <c r="J41" i="26"/>
  <c r="I41" i="26"/>
  <c r="H41" i="26"/>
  <c r="G41" i="26"/>
  <c r="F41" i="26"/>
  <c r="E41" i="26"/>
  <c r="L39" i="26"/>
  <c r="L41" i="26" s="1"/>
  <c r="K39" i="26"/>
  <c r="K41" i="26" s="1"/>
  <c r="Q35" i="26"/>
  <c r="N35" i="26"/>
  <c r="M35" i="26"/>
  <c r="J35" i="26"/>
  <c r="I35" i="26"/>
  <c r="H35" i="26"/>
  <c r="G35" i="26"/>
  <c r="F35" i="26"/>
  <c r="E35" i="26"/>
  <c r="L33" i="26"/>
  <c r="L35" i="26" s="1"/>
  <c r="K33" i="26"/>
  <c r="Q31" i="26"/>
  <c r="N31" i="26"/>
  <c r="M31" i="26"/>
  <c r="J31" i="26"/>
  <c r="I31" i="26"/>
  <c r="H31" i="26"/>
  <c r="G31" i="26"/>
  <c r="F31" i="26"/>
  <c r="E31" i="26"/>
  <c r="L29" i="26"/>
  <c r="L31" i="26" s="1"/>
  <c r="K29" i="26"/>
  <c r="K31" i="26" s="1"/>
  <c r="Q26" i="26"/>
  <c r="N26" i="26"/>
  <c r="M26" i="26"/>
  <c r="J26" i="26"/>
  <c r="G26" i="26"/>
  <c r="F26" i="26"/>
  <c r="E26" i="26"/>
  <c r="L24" i="26"/>
  <c r="L26" i="26" s="1"/>
  <c r="K24" i="26"/>
  <c r="K26" i="26" s="1"/>
  <c r="Q21" i="26"/>
  <c r="N21" i="26"/>
  <c r="M21" i="26"/>
  <c r="J21" i="26"/>
  <c r="I21" i="26"/>
  <c r="H21" i="26"/>
  <c r="G21" i="26"/>
  <c r="F21" i="26"/>
  <c r="E21" i="26"/>
  <c r="L19" i="26"/>
  <c r="L21" i="26" s="1"/>
  <c r="K19" i="26"/>
  <c r="K21" i="26" s="1"/>
  <c r="D123" i="25"/>
  <c r="G123" i="25" s="1"/>
  <c r="D117" i="25"/>
  <c r="C113" i="25"/>
  <c r="C112" i="25"/>
  <c r="C111" i="25"/>
  <c r="H96" i="25"/>
  <c r="H94" i="25"/>
  <c r="H95" i="25" s="1"/>
  <c r="J93" i="25"/>
  <c r="J94" i="25" s="1"/>
  <c r="J96" i="25" s="1"/>
  <c r="G93" i="25"/>
  <c r="G96" i="25" s="1"/>
  <c r="I86" i="25"/>
  <c r="H85" i="25"/>
  <c r="G84" i="25"/>
  <c r="J83" i="25"/>
  <c r="J84" i="25" s="1"/>
  <c r="G83" i="25"/>
  <c r="E54" i="25"/>
  <c r="N42" i="25"/>
  <c r="O40" i="25"/>
  <c r="K39" i="25"/>
  <c r="I39" i="25"/>
  <c r="K36" i="25"/>
  <c r="Q29" i="25"/>
  <c r="K24" i="25"/>
  <c r="I29" i="24"/>
  <c r="L9" i="24"/>
  <c r="L10" i="24" s="1"/>
  <c r="H70" i="23"/>
  <c r="G70" i="23"/>
  <c r="H69" i="23"/>
  <c r="G69" i="23"/>
  <c r="H68" i="23"/>
  <c r="G68" i="23"/>
  <c r="H67" i="23"/>
  <c r="G67" i="23"/>
  <c r="H66" i="23"/>
  <c r="G66" i="23"/>
  <c r="H65" i="23"/>
  <c r="G65" i="23"/>
  <c r="H64" i="23"/>
  <c r="G64" i="23"/>
  <c r="H63" i="23"/>
  <c r="G63" i="23"/>
  <c r="H62" i="23"/>
  <c r="G62" i="23"/>
  <c r="H61" i="23"/>
  <c r="G61" i="23"/>
  <c r="H51" i="23"/>
  <c r="H60" i="23" s="1"/>
  <c r="G60" i="23"/>
  <c r="H40" i="23"/>
  <c r="H19" i="23"/>
  <c r="H50" i="23" s="1"/>
  <c r="G50" i="23"/>
  <c r="H17" i="23"/>
  <c r="H15" i="23"/>
  <c r="G15" i="23"/>
  <c r="G49" i="23" s="1"/>
  <c r="H12" i="23"/>
  <c r="H13" i="23" s="1"/>
  <c r="H38" i="23" s="1"/>
  <c r="B77" i="22"/>
  <c r="C89" i="22"/>
  <c r="AW59" i="22"/>
  <c r="E59" i="22"/>
  <c r="C53" i="22"/>
  <c r="G50" i="22"/>
  <c r="F50" i="22"/>
  <c r="F49" i="22"/>
  <c r="H49" i="22" s="1"/>
  <c r="J49" i="22" s="1"/>
  <c r="C45" i="22"/>
  <c r="P41" i="22"/>
  <c r="F41" i="22"/>
  <c r="P40" i="22"/>
  <c r="F40" i="22"/>
  <c r="P39" i="22"/>
  <c r="F39" i="22"/>
  <c r="R38" i="22"/>
  <c r="P38" i="22"/>
  <c r="P37" i="22"/>
  <c r="S37" i="22" s="1"/>
  <c r="R35" i="22"/>
  <c r="P35" i="22"/>
  <c r="R34" i="22"/>
  <c r="P34" i="22"/>
  <c r="L34" i="22"/>
  <c r="L35" i="22" s="1"/>
  <c r="C32" i="22"/>
  <c r="BC30" i="22"/>
  <c r="AZ30" i="22"/>
  <c r="R30" i="22"/>
  <c r="R36" i="22" s="1"/>
  <c r="P30" i="22"/>
  <c r="P36" i="22" s="1"/>
  <c r="F30" i="22"/>
  <c r="H30" i="22" s="1"/>
  <c r="J30" i="22" s="1"/>
  <c r="AZ29" i="22"/>
  <c r="BB29" i="22" s="1"/>
  <c r="AY29" i="22"/>
  <c r="F29" i="22"/>
  <c r="H29" i="22" s="1"/>
  <c r="J29" i="22" s="1"/>
  <c r="BC28" i="22"/>
  <c r="AZ28" i="22"/>
  <c r="BB28" i="22" s="1"/>
  <c r="AY28" i="22"/>
  <c r="T28" i="22"/>
  <c r="F28" i="22"/>
  <c r="H28" i="22" s="1"/>
  <c r="J28" i="22" s="1"/>
  <c r="AZ27" i="22"/>
  <c r="BB27" i="22" s="1"/>
  <c r="AY27" i="22"/>
  <c r="T27" i="22"/>
  <c r="F27" i="22"/>
  <c r="H27" i="22" s="1"/>
  <c r="J27" i="22" s="1"/>
  <c r="AZ26" i="22"/>
  <c r="BB26" i="22" s="1"/>
  <c r="AY26" i="22"/>
  <c r="T26" i="22"/>
  <c r="G26" i="22"/>
  <c r="F26" i="22"/>
  <c r="H26" i="22" s="1"/>
  <c r="J26" i="22" s="1"/>
  <c r="AZ25" i="22"/>
  <c r="BB25" i="22" s="1"/>
  <c r="AY25" i="22"/>
  <c r="T25" i="22"/>
  <c r="F25" i="22"/>
  <c r="H25" i="22" s="1"/>
  <c r="J25" i="22" s="1"/>
  <c r="AZ24" i="22"/>
  <c r="BB24" i="22" s="1"/>
  <c r="AY24" i="22"/>
  <c r="T24" i="22"/>
  <c r="F24" i="22"/>
  <c r="H24" i="22" s="1"/>
  <c r="J24" i="22" s="1"/>
  <c r="AZ23" i="22"/>
  <c r="BB23" i="22" s="1"/>
  <c r="AY23" i="22"/>
  <c r="T23" i="22"/>
  <c r="F23" i="22"/>
  <c r="H23" i="22" s="1"/>
  <c r="J23" i="22" s="1"/>
  <c r="AZ22" i="22"/>
  <c r="BB22" i="22" s="1"/>
  <c r="AY22" i="22"/>
  <c r="T22" i="22"/>
  <c r="F22" i="22"/>
  <c r="H22" i="22" s="1"/>
  <c r="J22" i="22" s="1"/>
  <c r="AZ21" i="22"/>
  <c r="BB21" i="22" s="1"/>
  <c r="AY21" i="22"/>
  <c r="T21" i="22"/>
  <c r="F21" i="22"/>
  <c r="H21" i="22" s="1"/>
  <c r="J21" i="22" s="1"/>
  <c r="AZ20" i="22"/>
  <c r="BB20" i="22" s="1"/>
  <c r="AY20" i="22"/>
  <c r="T20" i="22"/>
  <c r="F20" i="22"/>
  <c r="H20" i="22" s="1"/>
  <c r="J20" i="22" s="1"/>
  <c r="AZ19" i="22"/>
  <c r="BB19" i="22" s="1"/>
  <c r="AY19" i="22"/>
  <c r="T19" i="22"/>
  <c r="F19" i="22"/>
  <c r="H19" i="22" s="1"/>
  <c r="J19" i="22" s="1"/>
  <c r="T18" i="22"/>
  <c r="T17" i="22"/>
  <c r="R22" i="25"/>
  <c r="R17" i="25"/>
  <c r="G13" i="27"/>
  <c r="H50" i="22" l="1"/>
  <c r="H36" i="26"/>
  <c r="H61" i="26" s="1"/>
  <c r="H52" i="27"/>
  <c r="H56" i="27"/>
  <c r="N36" i="26"/>
  <c r="I36" i="26"/>
  <c r="I61" i="26" s="1"/>
  <c r="S35" i="22"/>
  <c r="M36" i="26"/>
  <c r="P44" i="26"/>
  <c r="E54" i="26"/>
  <c r="S34" i="22"/>
  <c r="H97" i="25"/>
  <c r="Q36" i="26"/>
  <c r="G54" i="26"/>
  <c r="G53" i="23"/>
  <c r="G85" i="25"/>
  <c r="J86" i="25"/>
  <c r="S36" i="22"/>
  <c r="H51" i="27"/>
  <c r="H20" i="23"/>
  <c r="H22" i="23" s="1"/>
  <c r="H24" i="23" s="1"/>
  <c r="P46" i="26"/>
  <c r="J36" i="26"/>
  <c r="Q49" i="26"/>
  <c r="Q54" i="26" s="1"/>
  <c r="O46" i="26"/>
  <c r="J54" i="26"/>
  <c r="O39" i="26"/>
  <c r="O41" i="26" s="1"/>
  <c r="E36" i="26"/>
  <c r="O19" i="26"/>
  <c r="O21" i="26" s="1"/>
  <c r="P19" i="26"/>
  <c r="P21" i="26" s="1"/>
  <c r="F54" i="26"/>
  <c r="F70" i="26"/>
  <c r="G36" i="26"/>
  <c r="F36" i="26"/>
  <c r="P57" i="26"/>
  <c r="P59" i="26" s="1"/>
  <c r="P51" i="26"/>
  <c r="P53" i="26" s="1"/>
  <c r="P45" i="26"/>
  <c r="P39" i="26"/>
  <c r="P41" i="26" s="1"/>
  <c r="P33" i="26"/>
  <c r="P35" i="26" s="1"/>
  <c r="P29" i="26"/>
  <c r="P31" i="26" s="1"/>
  <c r="O29" i="26"/>
  <c r="O31" i="26" s="1"/>
  <c r="L36" i="26"/>
  <c r="S38" i="22"/>
  <c r="H49" i="23"/>
  <c r="H53" i="23" s="1"/>
  <c r="G20" i="23"/>
  <c r="G22" i="23" s="1"/>
  <c r="G24" i="23" s="1"/>
  <c r="D113" i="25"/>
  <c r="D118" i="25" s="1"/>
  <c r="H31" i="27"/>
  <c r="H50" i="27"/>
  <c r="H38" i="22"/>
  <c r="H47" i="27"/>
  <c r="H46" i="27"/>
  <c r="G26" i="27"/>
  <c r="D39" i="27"/>
  <c r="D40" i="27"/>
  <c r="D41" i="27" s="1"/>
  <c r="D42" i="27" s="1"/>
  <c r="M61" i="26"/>
  <c r="N61" i="26"/>
  <c r="K53" i="26"/>
  <c r="K54" i="26" s="1"/>
  <c r="O24" i="26"/>
  <c r="O26" i="26" s="1"/>
  <c r="O33" i="26"/>
  <c r="O35" i="26" s="1"/>
  <c r="K35" i="26"/>
  <c r="K36" i="26" s="1"/>
  <c r="L53" i="26"/>
  <c r="P24" i="26"/>
  <c r="P26" i="26" s="1"/>
  <c r="O44" i="26"/>
  <c r="L49" i="26"/>
  <c r="O57" i="26"/>
  <c r="O59" i="26" s="1"/>
  <c r="K59" i="26"/>
  <c r="J70" i="25"/>
  <c r="K23" i="25"/>
  <c r="G94" i="25"/>
  <c r="G95" i="25" s="1"/>
  <c r="G97" i="25" s="1"/>
  <c r="I21" i="24"/>
  <c r="L11" i="24"/>
  <c r="J7" i="24" s="1"/>
  <c r="J24" i="24" s="1"/>
  <c r="G38" i="23"/>
  <c r="G42" i="23" s="1"/>
  <c r="G31" i="23"/>
  <c r="G33" i="23" s="1"/>
  <c r="H42" i="23"/>
  <c r="G57" i="23"/>
  <c r="G71" i="23" s="1"/>
  <c r="G74" i="23" s="1"/>
  <c r="H31" i="23"/>
  <c r="H33" i="23" s="1"/>
  <c r="P32" i="22"/>
  <c r="O49" i="26" l="1"/>
  <c r="O54" i="26" s="1"/>
  <c r="Q61" i="26"/>
  <c r="J61" i="26"/>
  <c r="E61" i="26"/>
  <c r="E63" i="26" s="1"/>
  <c r="E64" i="26" s="1"/>
  <c r="H57" i="23"/>
  <c r="H71" i="23" s="1"/>
  <c r="H74" i="23" s="1"/>
  <c r="G61" i="26"/>
  <c r="F61" i="26"/>
  <c r="P49" i="26"/>
  <c r="P54" i="26" s="1"/>
  <c r="P36" i="26"/>
  <c r="O36" i="26"/>
  <c r="K61" i="26"/>
  <c r="L54" i="26"/>
  <c r="L61" i="26" s="1"/>
  <c r="L70" i="25"/>
  <c r="I25" i="24"/>
  <c r="J21" i="24"/>
  <c r="F64" i="26" l="1"/>
  <c r="O61" i="26"/>
  <c r="K29" i="25" s="1"/>
  <c r="L36" i="25" s="1"/>
  <c r="J25" i="24"/>
  <c r="P61" i="26"/>
  <c r="I29" i="25" l="1"/>
  <c r="J36" i="25" s="1"/>
  <c r="O64" i="26"/>
  <c r="P64" i="26"/>
  <c r="I14" i="24"/>
  <c r="I15" i="24" s="1"/>
  <c r="J15" i="24" s="1"/>
  <c r="J27" i="24"/>
  <c r="H398" i="6"/>
  <c r="H691" i="6"/>
  <c r="E14" i="21"/>
  <c r="H14" i="21"/>
  <c r="F13" i="21"/>
  <c r="F23" i="21" s="1"/>
  <c r="F24" i="21" s="1"/>
  <c r="C13" i="21"/>
  <c r="C23" i="21" s="1"/>
  <c r="C24" i="21" s="1"/>
  <c r="F9" i="21"/>
  <c r="I23" i="21"/>
  <c r="I24" i="21" s="1"/>
  <c r="K22" i="21"/>
  <c r="K21" i="21"/>
  <c r="I19" i="21"/>
  <c r="I20" i="21" s="1"/>
  <c r="K18" i="21"/>
  <c r="K17" i="21"/>
  <c r="K16" i="21"/>
  <c r="K15" i="21"/>
  <c r="K14" i="21"/>
  <c r="K13" i="21"/>
  <c r="J13" i="21" s="1"/>
  <c r="I10" i="21"/>
  <c r="I9" i="21"/>
  <c r="C9" i="21"/>
  <c r="L10" i="21" s="1"/>
  <c r="K8" i="21"/>
  <c r="K7" i="21"/>
  <c r="I234" i="6"/>
  <c r="J28" i="24" l="1"/>
  <c r="C31" i="24" s="1"/>
  <c r="H393" i="6"/>
  <c r="C19" i="21"/>
  <c r="C20" i="21" s="1"/>
  <c r="F19" i="21"/>
  <c r="F20" i="21" s="1"/>
  <c r="K19" i="21"/>
  <c r="J19" i="21" s="1"/>
  <c r="K9" i="21"/>
  <c r="J9" i="21" s="1"/>
  <c r="J10" i="21" s="1"/>
  <c r="K10" i="21" s="1"/>
  <c r="M10" i="21"/>
  <c r="J7" i="21"/>
  <c r="I31" i="24" l="1"/>
  <c r="F29" i="24"/>
  <c r="J29" i="24"/>
  <c r="K23" i="21"/>
  <c r="J23" i="21" s="1"/>
  <c r="K20" i="21"/>
  <c r="J20" i="21" s="1"/>
  <c r="M9" i="21"/>
  <c r="K24" i="21" l="1"/>
  <c r="J24" i="21" s="1"/>
  <c r="K27" i="21" l="1"/>
  <c r="K29" i="21" s="1"/>
  <c r="K32" i="21" s="1"/>
  <c r="K33" i="21" s="1"/>
  <c r="E32" i="21"/>
  <c r="O8" i="17" l="1"/>
  <c r="O9" i="17"/>
  <c r="O7" i="17"/>
  <c r="O10" i="17" s="1"/>
  <c r="N517" i="6" l="1"/>
  <c r="N514" i="6"/>
  <c r="L517" i="6"/>
  <c r="F24" i="27" l="1"/>
  <c r="D9" i="20"/>
  <c r="K27" i="19"/>
  <c r="J27" i="19"/>
  <c r="G27" i="19"/>
  <c r="M26" i="19"/>
  <c r="L25" i="19"/>
  <c r="M25" i="19" s="1"/>
  <c r="L24" i="19"/>
  <c r="M24" i="19" s="1"/>
  <c r="L23" i="19"/>
  <c r="M23" i="19" s="1"/>
  <c r="L22" i="19"/>
  <c r="M22" i="19" s="1"/>
  <c r="L21" i="19"/>
  <c r="M21" i="19" s="1"/>
  <c r="L20" i="19"/>
  <c r="M20" i="19" s="1"/>
  <c r="L19" i="19"/>
  <c r="M19" i="19" s="1"/>
  <c r="L18" i="19"/>
  <c r="M18" i="19" s="1"/>
  <c r="L17" i="19"/>
  <c r="M17" i="19" s="1"/>
  <c r="L16" i="19"/>
  <c r="M16" i="19" s="1"/>
  <c r="L15" i="19"/>
  <c r="M15" i="19" s="1"/>
  <c r="L13" i="19"/>
  <c r="M13" i="19" s="1"/>
  <c r="L12" i="19"/>
  <c r="M12" i="19" s="1"/>
  <c r="L11" i="19"/>
  <c r="M11" i="19" s="1"/>
  <c r="L10" i="19"/>
  <c r="M10" i="19" s="1"/>
  <c r="L9" i="19"/>
  <c r="M9" i="19" s="1"/>
  <c r="L8" i="19"/>
  <c r="M8" i="19" s="1"/>
  <c r="L7" i="19"/>
  <c r="M7" i="19" s="1"/>
  <c r="H7" i="19"/>
  <c r="H8" i="19" s="1"/>
  <c r="H9" i="19" s="1"/>
  <c r="H10" i="19" s="1"/>
  <c r="H11" i="19" s="1"/>
  <c r="H12" i="19" s="1"/>
  <c r="H13" i="19" s="1"/>
  <c r="H14" i="19" s="1"/>
  <c r="H15" i="19" s="1"/>
  <c r="H16" i="19" s="1"/>
  <c r="H17" i="19" s="1"/>
  <c r="H18" i="19" s="1"/>
  <c r="H19" i="19" s="1"/>
  <c r="H20" i="19" s="1"/>
  <c r="H21" i="19" s="1"/>
  <c r="H22" i="19" s="1"/>
  <c r="H23" i="19" s="1"/>
  <c r="H24" i="19" s="1"/>
  <c r="H25" i="19" s="1"/>
  <c r="L6" i="19"/>
  <c r="M6" i="19" s="1"/>
  <c r="L14" i="19" l="1"/>
  <c r="M14" i="19" s="1"/>
  <c r="M27" i="19" s="1"/>
  <c r="M29" i="19" s="1"/>
  <c r="L27" i="19" l="1"/>
  <c r="E9" i="8" l="1"/>
  <c r="G33" i="17" l="1"/>
  <c r="I15" i="17" l="1"/>
  <c r="I14" i="17"/>
  <c r="I11" i="17"/>
  <c r="E34" i="17"/>
  <c r="I33" i="17"/>
  <c r="E33" i="17"/>
  <c r="G25" i="17"/>
  <c r="B23" i="17"/>
  <c r="G22" i="17"/>
  <c r="B19" i="17"/>
  <c r="B18" i="17"/>
  <c r="G12" i="17"/>
  <c r="I518" i="6"/>
  <c r="I20" i="17" l="1"/>
  <c r="D34" i="18" l="1"/>
  <c r="C34" i="18"/>
  <c r="B34" i="18"/>
  <c r="D33" i="18"/>
  <c r="C33" i="18"/>
  <c r="B33" i="18"/>
  <c r="D32" i="18"/>
  <c r="C32" i="18"/>
  <c r="B32" i="18"/>
  <c r="C24" i="18"/>
  <c r="H22" i="18"/>
  <c r="I26" i="18" s="1"/>
  <c r="C22" i="18"/>
  <c r="D26" i="18" s="1"/>
  <c r="J20" i="18"/>
  <c r="E20" i="18"/>
  <c r="I19" i="18"/>
  <c r="J19" i="18" s="1"/>
  <c r="D19" i="18"/>
  <c r="E19" i="18" s="1"/>
  <c r="J18" i="18"/>
  <c r="E18" i="18"/>
  <c r="J17" i="18"/>
  <c r="E17" i="18"/>
  <c r="J15" i="18"/>
  <c r="E15" i="18"/>
  <c r="J14" i="18"/>
  <c r="E14" i="18"/>
  <c r="J13" i="18"/>
  <c r="E13" i="18"/>
  <c r="I12" i="18"/>
  <c r="J12" i="18" s="1"/>
  <c r="D12" i="18"/>
  <c r="E12" i="18" s="1"/>
  <c r="I11" i="18"/>
  <c r="J11" i="18" s="1"/>
  <c r="D11" i="18"/>
  <c r="E11" i="18" s="1"/>
  <c r="I10" i="18"/>
  <c r="J10" i="18" s="1"/>
  <c r="D10" i="18"/>
  <c r="E10" i="18" s="1"/>
  <c r="I9" i="18"/>
  <c r="J9" i="18" s="1"/>
  <c r="D9" i="18"/>
  <c r="J8" i="18"/>
  <c r="E8" i="18"/>
  <c r="I7" i="18"/>
  <c r="J7" i="18" s="1"/>
  <c r="D7" i="18"/>
  <c r="E7" i="18" s="1"/>
  <c r="J6" i="18"/>
  <c r="E6" i="18"/>
  <c r="J5" i="18"/>
  <c r="E5" i="18"/>
  <c r="E32" i="18" l="1"/>
  <c r="E34" i="18"/>
  <c r="E33" i="18"/>
  <c r="D22" i="18"/>
  <c r="D27" i="18" s="1"/>
  <c r="D28" i="18" s="1"/>
  <c r="J22" i="18"/>
  <c r="I22" i="18"/>
  <c r="I27" i="18" s="1"/>
  <c r="I28" i="18" s="1"/>
  <c r="E9" i="18"/>
  <c r="E22" i="18" s="1"/>
  <c r="C23" i="18"/>
  <c r="E35" i="18" l="1"/>
  <c r="E23" i="18"/>
  <c r="D29" i="18"/>
  <c r="D23" i="18"/>
  <c r="F6" i="16" l="1"/>
  <c r="G32" i="16"/>
  <c r="F32" i="16"/>
  <c r="G30" i="16"/>
  <c r="F30" i="16"/>
  <c r="G27" i="16"/>
  <c r="G26" i="16"/>
  <c r="G25" i="16"/>
  <c r="E28" i="16"/>
  <c r="F27" i="16"/>
  <c r="F26" i="16"/>
  <c r="F25" i="16"/>
  <c r="D28" i="16"/>
  <c r="G23" i="16"/>
  <c r="F23" i="16"/>
  <c r="G21" i="16"/>
  <c r="F21" i="16"/>
  <c r="G19" i="16"/>
  <c r="G17" i="16"/>
  <c r="G15" i="16"/>
  <c r="D13" i="16"/>
  <c r="E8" i="16"/>
  <c r="E13" i="16" s="1"/>
  <c r="G12" i="16"/>
  <c r="G11" i="16"/>
  <c r="G10" i="16"/>
  <c r="G9" i="16"/>
  <c r="G8" i="16"/>
  <c r="G6" i="16"/>
  <c r="F34" i="16"/>
  <c r="F19" i="16"/>
  <c r="F18" i="16"/>
  <c r="F17" i="16"/>
  <c r="F16" i="16"/>
  <c r="F15" i="16"/>
  <c r="F12" i="16"/>
  <c r="F11" i="16"/>
  <c r="F10" i="16"/>
  <c r="F9" i="16"/>
  <c r="F9" i="15"/>
  <c r="C9" i="15"/>
  <c r="E7" i="15"/>
  <c r="E6" i="15"/>
  <c r="E5" i="15"/>
  <c r="E35" i="16" l="1"/>
  <c r="E9" i="15"/>
  <c r="D35" i="16"/>
  <c r="F37" i="16" s="1"/>
  <c r="F28" i="16"/>
  <c r="G5" i="15"/>
  <c r="G9" i="15" s="1"/>
  <c r="F8" i="16"/>
  <c r="F13" i="16" s="1"/>
  <c r="F35" i="16" l="1"/>
  <c r="F38" i="16" s="1"/>
  <c r="J11" i="2"/>
  <c r="G11" i="2"/>
  <c r="J304" i="2"/>
  <c r="G304" i="2"/>
  <c r="J298" i="2"/>
  <c r="G298" i="2"/>
  <c r="U57" i="14"/>
  <c r="R57" i="14"/>
  <c r="S57" i="14" s="1"/>
  <c r="P57" i="14"/>
  <c r="Q57" i="14" s="1"/>
  <c r="U56" i="14"/>
  <c r="R56" i="14"/>
  <c r="S56" i="14" s="1"/>
  <c r="P56" i="14"/>
  <c r="Q56" i="14" s="1"/>
  <c r="U55" i="14"/>
  <c r="R55" i="14"/>
  <c r="S55" i="14" s="1"/>
  <c r="P55" i="14"/>
  <c r="Q55" i="14" s="1"/>
  <c r="T55" i="14" s="1"/>
  <c r="U54" i="14"/>
  <c r="R54" i="14"/>
  <c r="S54" i="14" s="1"/>
  <c r="W54" i="14" s="1"/>
  <c r="P54" i="14"/>
  <c r="Q54" i="14" s="1"/>
  <c r="U53" i="14"/>
  <c r="R53" i="14"/>
  <c r="S53" i="14" s="1"/>
  <c r="P53" i="14"/>
  <c r="Q53" i="14" s="1"/>
  <c r="U52" i="14"/>
  <c r="R52" i="14"/>
  <c r="S52" i="14" s="1"/>
  <c r="P52" i="14"/>
  <c r="Q52" i="14" s="1"/>
  <c r="U51" i="14"/>
  <c r="R51" i="14"/>
  <c r="S51" i="14" s="1"/>
  <c r="P51" i="14"/>
  <c r="Q51" i="14" s="1"/>
  <c r="U50" i="14"/>
  <c r="R50" i="14"/>
  <c r="S50" i="14" s="1"/>
  <c r="W50" i="14" s="1"/>
  <c r="P50" i="14"/>
  <c r="Q50" i="14" s="1"/>
  <c r="U49" i="14"/>
  <c r="S49" i="14"/>
  <c r="W49" i="14" s="1"/>
  <c r="R49" i="14"/>
  <c r="P49" i="14"/>
  <c r="Q49" i="14" s="1"/>
  <c r="U48" i="14"/>
  <c r="R48" i="14"/>
  <c r="S48" i="14" s="1"/>
  <c r="P48" i="14"/>
  <c r="Q48" i="14" s="1"/>
  <c r="U47" i="14"/>
  <c r="R47" i="14"/>
  <c r="S47" i="14" s="1"/>
  <c r="Q47" i="14"/>
  <c r="P47" i="14"/>
  <c r="U46" i="14"/>
  <c r="R46" i="14"/>
  <c r="S46" i="14" s="1"/>
  <c r="P46" i="14"/>
  <c r="Q46" i="14" s="1"/>
  <c r="U45" i="14"/>
  <c r="R45" i="14"/>
  <c r="S45" i="14" s="1"/>
  <c r="W45" i="14" s="1"/>
  <c r="P45" i="14"/>
  <c r="Q45" i="14" s="1"/>
  <c r="U44" i="14"/>
  <c r="R44" i="14"/>
  <c r="S44" i="14" s="1"/>
  <c r="P44" i="14"/>
  <c r="Q44" i="14" s="1"/>
  <c r="U43" i="14"/>
  <c r="R43" i="14"/>
  <c r="S43" i="14" s="1"/>
  <c r="P43" i="14"/>
  <c r="Q43" i="14" s="1"/>
  <c r="U42" i="14"/>
  <c r="R42" i="14"/>
  <c r="S42" i="14" s="1"/>
  <c r="P42" i="14"/>
  <c r="Q42" i="14" s="1"/>
  <c r="U41" i="14"/>
  <c r="R41" i="14"/>
  <c r="S41" i="14" s="1"/>
  <c r="W41" i="14" s="1"/>
  <c r="P41" i="14"/>
  <c r="Q41" i="14" s="1"/>
  <c r="U40" i="14"/>
  <c r="R40" i="14"/>
  <c r="S40" i="14" s="1"/>
  <c r="P40" i="14"/>
  <c r="Q40" i="14" s="1"/>
  <c r="U39" i="14"/>
  <c r="R39" i="14"/>
  <c r="S39" i="14" s="1"/>
  <c r="P39" i="14"/>
  <c r="Q39" i="14" s="1"/>
  <c r="U38" i="14"/>
  <c r="R38" i="14"/>
  <c r="S38" i="14" s="1"/>
  <c r="P38" i="14"/>
  <c r="Q38" i="14" s="1"/>
  <c r="D34" i="14"/>
  <c r="U33" i="14"/>
  <c r="R33" i="14"/>
  <c r="S33" i="14" s="1"/>
  <c r="P33" i="14"/>
  <c r="Q33" i="14" s="1"/>
  <c r="U32" i="14"/>
  <c r="R32" i="14"/>
  <c r="S32" i="14" s="1"/>
  <c r="P32" i="14"/>
  <c r="Q32" i="14" s="1"/>
  <c r="U31" i="14"/>
  <c r="R31" i="14"/>
  <c r="S31" i="14" s="1"/>
  <c r="W31" i="14" s="1"/>
  <c r="P31" i="14"/>
  <c r="Q31" i="14" s="1"/>
  <c r="U30" i="14"/>
  <c r="R30" i="14"/>
  <c r="S30" i="14" s="1"/>
  <c r="P30" i="14"/>
  <c r="Q30" i="14" s="1"/>
  <c r="U29" i="14"/>
  <c r="R29" i="14"/>
  <c r="S29" i="14" s="1"/>
  <c r="P29" i="14"/>
  <c r="Q29" i="14" s="1"/>
  <c r="U28" i="14"/>
  <c r="R28" i="14"/>
  <c r="S28" i="14" s="1"/>
  <c r="P28" i="14"/>
  <c r="Q28" i="14" s="1"/>
  <c r="U27" i="14"/>
  <c r="R27" i="14"/>
  <c r="S27" i="14" s="1"/>
  <c r="P27" i="14"/>
  <c r="Q27" i="14" s="1"/>
  <c r="U26" i="14"/>
  <c r="R26" i="14"/>
  <c r="S26" i="14" s="1"/>
  <c r="P26" i="14"/>
  <c r="Q26" i="14" s="1"/>
  <c r="U25" i="14"/>
  <c r="R25" i="14"/>
  <c r="S25" i="14" s="1"/>
  <c r="P25" i="14"/>
  <c r="Q25" i="14" s="1"/>
  <c r="U24" i="14"/>
  <c r="R24" i="14"/>
  <c r="S24" i="14" s="1"/>
  <c r="P24" i="14"/>
  <c r="Q24" i="14" s="1"/>
  <c r="U23" i="14"/>
  <c r="R23" i="14"/>
  <c r="S23" i="14" s="1"/>
  <c r="W23" i="14" s="1"/>
  <c r="P23" i="14"/>
  <c r="Q23" i="14" s="1"/>
  <c r="U22" i="14"/>
  <c r="R22" i="14"/>
  <c r="S22" i="14" s="1"/>
  <c r="P22" i="14"/>
  <c r="Q22" i="14" s="1"/>
  <c r="U21" i="14"/>
  <c r="R21" i="14"/>
  <c r="S21" i="14" s="1"/>
  <c r="P21" i="14"/>
  <c r="Q21" i="14" s="1"/>
  <c r="U20" i="14"/>
  <c r="R20" i="14"/>
  <c r="S20" i="14" s="1"/>
  <c r="P20" i="14"/>
  <c r="Q20" i="14" s="1"/>
  <c r="U19" i="14"/>
  <c r="R19" i="14"/>
  <c r="S19" i="14" s="1"/>
  <c r="P19" i="14"/>
  <c r="Q19" i="14" s="1"/>
  <c r="U18" i="14"/>
  <c r="R18" i="14"/>
  <c r="S18" i="14" s="1"/>
  <c r="W18" i="14" s="1"/>
  <c r="P18" i="14"/>
  <c r="Q18" i="14" s="1"/>
  <c r="U17" i="14"/>
  <c r="R17" i="14"/>
  <c r="S17" i="14" s="1"/>
  <c r="P17" i="14"/>
  <c r="Q17" i="14" s="1"/>
  <c r="U16" i="14"/>
  <c r="R16" i="14"/>
  <c r="S16" i="14" s="1"/>
  <c r="P16" i="14"/>
  <c r="Q16" i="14" s="1"/>
  <c r="U15" i="14"/>
  <c r="R15" i="14"/>
  <c r="S15" i="14" s="1"/>
  <c r="W15" i="14" s="1"/>
  <c r="P15" i="14"/>
  <c r="Q15" i="14" s="1"/>
  <c r="U14" i="14"/>
  <c r="R14" i="14"/>
  <c r="S14" i="14" s="1"/>
  <c r="P14" i="14"/>
  <c r="Q14" i="14" s="1"/>
  <c r="U13" i="14"/>
  <c r="R13" i="14"/>
  <c r="S13" i="14" s="1"/>
  <c r="P13" i="14"/>
  <c r="Q13" i="14" s="1"/>
  <c r="U12" i="14"/>
  <c r="R12" i="14"/>
  <c r="S12" i="14" s="1"/>
  <c r="P12" i="14"/>
  <c r="Q12" i="14" s="1"/>
  <c r="U11" i="14"/>
  <c r="R11" i="14"/>
  <c r="S11" i="14" s="1"/>
  <c r="W11" i="14" s="1"/>
  <c r="P11" i="14"/>
  <c r="Q11" i="14" s="1"/>
  <c r="U10" i="14"/>
  <c r="R10" i="14"/>
  <c r="S10" i="14" s="1"/>
  <c r="P10" i="14"/>
  <c r="Q10" i="14" s="1"/>
  <c r="U9" i="14"/>
  <c r="R9" i="14"/>
  <c r="S9" i="14" s="1"/>
  <c r="P9" i="14"/>
  <c r="Q9" i="14" s="1"/>
  <c r="T39" i="14" l="1"/>
  <c r="W27" i="14"/>
  <c r="W42" i="14"/>
  <c r="W19" i="14"/>
  <c r="T25" i="14"/>
  <c r="W26" i="14"/>
  <c r="T9" i="14"/>
  <c r="W10" i="14"/>
  <c r="V12" i="14"/>
  <c r="T33" i="14"/>
  <c r="W46" i="14"/>
  <c r="T52" i="14"/>
  <c r="T57" i="14"/>
  <c r="T31" i="14"/>
  <c r="V28" i="14"/>
  <c r="T13" i="14"/>
  <c r="W14" i="14"/>
  <c r="V24" i="14"/>
  <c r="T29" i="14"/>
  <c r="W30" i="14"/>
  <c r="W38" i="14"/>
  <c r="V20" i="14"/>
  <c r="V39" i="14"/>
  <c r="T41" i="14"/>
  <c r="V47" i="14"/>
  <c r="V55" i="14"/>
  <c r="V16" i="14"/>
  <c r="T21" i="14"/>
  <c r="W22" i="14"/>
  <c r="V32" i="14"/>
  <c r="T40" i="14"/>
  <c r="V45" i="14"/>
  <c r="T48" i="14"/>
  <c r="T56" i="14"/>
  <c r="T17" i="14"/>
  <c r="T43" i="14"/>
  <c r="V43" i="14"/>
  <c r="T51" i="14"/>
  <c r="V51" i="14"/>
  <c r="T11" i="14"/>
  <c r="V11" i="14"/>
  <c r="X11" i="14" s="1"/>
  <c r="T15" i="14"/>
  <c r="T19" i="14"/>
  <c r="V19" i="14"/>
  <c r="X19" i="14" s="1"/>
  <c r="T27" i="14"/>
  <c r="V31" i="14"/>
  <c r="X31" i="14" s="1"/>
  <c r="T45" i="14"/>
  <c r="V49" i="14"/>
  <c r="X49" i="14" s="1"/>
  <c r="W55" i="14"/>
  <c r="W13" i="14"/>
  <c r="W21" i="14"/>
  <c r="W25" i="14"/>
  <c r="W29" i="14"/>
  <c r="T49" i="14"/>
  <c r="W53" i="14"/>
  <c r="W9" i="14"/>
  <c r="W17" i="14"/>
  <c r="W40" i="14"/>
  <c r="V41" i="14"/>
  <c r="X41" i="14" s="1"/>
  <c r="W43" i="14"/>
  <c r="X43" i="14" s="1"/>
  <c r="T53" i="14"/>
  <c r="W56" i="14"/>
  <c r="V15" i="14"/>
  <c r="X15" i="14" s="1"/>
  <c r="T23" i="14"/>
  <c r="V23" i="14"/>
  <c r="X23" i="14" s="1"/>
  <c r="V27" i="14"/>
  <c r="X27" i="14" s="1"/>
  <c r="V14" i="14"/>
  <c r="T14" i="14"/>
  <c r="T26" i="14"/>
  <c r="V26" i="14"/>
  <c r="X26" i="14" s="1"/>
  <c r="V54" i="14"/>
  <c r="X54" i="14" s="1"/>
  <c r="T54" i="14"/>
  <c r="W16" i="14"/>
  <c r="X16" i="14" s="1"/>
  <c r="W24" i="14"/>
  <c r="V42" i="14"/>
  <c r="X42" i="14" s="1"/>
  <c r="T42" i="14"/>
  <c r="W44" i="14"/>
  <c r="W33" i="14"/>
  <c r="V46" i="14"/>
  <c r="X46" i="14" s="1"/>
  <c r="T46" i="14"/>
  <c r="W48" i="14"/>
  <c r="W51" i="14"/>
  <c r="V10" i="14"/>
  <c r="X10" i="14" s="1"/>
  <c r="T10" i="14"/>
  <c r="T18" i="14"/>
  <c r="V18" i="14"/>
  <c r="X18" i="14" s="1"/>
  <c r="V22" i="14"/>
  <c r="X22" i="14" s="1"/>
  <c r="T22" i="14"/>
  <c r="V30" i="14"/>
  <c r="X30" i="14" s="1"/>
  <c r="T30" i="14"/>
  <c r="V38" i="14"/>
  <c r="X38" i="14" s="1"/>
  <c r="T38" i="14"/>
  <c r="W12" i="14"/>
  <c r="X12" i="14" s="1"/>
  <c r="W20" i="14"/>
  <c r="W28" i="14"/>
  <c r="X28" i="14" s="1"/>
  <c r="W32" i="14"/>
  <c r="X45" i="14"/>
  <c r="W47" i="14"/>
  <c r="X47" i="14" s="1"/>
  <c r="T12" i="14"/>
  <c r="T16" i="14"/>
  <c r="T20" i="14"/>
  <c r="T24" i="14"/>
  <c r="T28" i="14"/>
  <c r="T32" i="14"/>
  <c r="W39" i="14"/>
  <c r="X39" i="14" s="1"/>
  <c r="T44" i="14"/>
  <c r="T47" i="14"/>
  <c r="V50" i="14"/>
  <c r="X50" i="14" s="1"/>
  <c r="T50" i="14"/>
  <c r="X51" i="14"/>
  <c r="W52" i="14"/>
  <c r="W57" i="14"/>
  <c r="V9" i="14"/>
  <c r="V13" i="14"/>
  <c r="V17" i="14"/>
  <c r="X17" i="14" s="1"/>
  <c r="V21" i="14"/>
  <c r="X21" i="14" s="1"/>
  <c r="V25" i="14"/>
  <c r="X25" i="14" s="1"/>
  <c r="V29" i="14"/>
  <c r="X29" i="14" s="1"/>
  <c r="V33" i="14"/>
  <c r="X33" i="14" s="1"/>
  <c r="V40" i="14"/>
  <c r="V44" i="14"/>
  <c r="V48" i="14"/>
  <c r="V52" i="14"/>
  <c r="X52" i="14" s="1"/>
  <c r="V56" i="14"/>
  <c r="V53" i="14"/>
  <c r="X53" i="14" s="1"/>
  <c r="V57" i="14"/>
  <c r="X57" i="14" s="1"/>
  <c r="X24" i="14" l="1"/>
  <c r="X13" i="14"/>
  <c r="X55" i="14"/>
  <c r="X44" i="14"/>
  <c r="X20" i="14"/>
  <c r="X56" i="14"/>
  <c r="X40" i="14"/>
  <c r="X32" i="14"/>
  <c r="X14" i="14"/>
  <c r="X9" i="14"/>
  <c r="V58" i="14"/>
  <c r="X48" i="14"/>
  <c r="W58" i="14"/>
  <c r="BU97" i="13"/>
  <c r="BT97" i="13"/>
  <c r="BS97" i="13"/>
  <c r="BR97" i="13"/>
  <c r="BQ97" i="13"/>
  <c r="BP97" i="13"/>
  <c r="BO97" i="13"/>
  <c r="BN97" i="13"/>
  <c r="BM97" i="13"/>
  <c r="BL97" i="13"/>
  <c r="BK97" i="13"/>
  <c r="BJ97" i="13"/>
  <c r="BG97" i="13"/>
  <c r="BF97" i="13"/>
  <c r="BE97" i="13"/>
  <c r="BD97" i="13"/>
  <c r="BC97" i="13"/>
  <c r="BB97" i="13"/>
  <c r="BA97" i="13"/>
  <c r="AZ97" i="13"/>
  <c r="AY97" i="13"/>
  <c r="AX97" i="13"/>
  <c r="AW97" i="13"/>
  <c r="AV97" i="13"/>
  <c r="AS97" i="13"/>
  <c r="AR97" i="13"/>
  <c r="AQ97" i="13"/>
  <c r="AP97" i="13"/>
  <c r="AO97" i="13"/>
  <c r="AN97" i="13"/>
  <c r="AM97" i="13"/>
  <c r="AL97" i="13"/>
  <c r="AK97" i="13"/>
  <c r="AJ97" i="13"/>
  <c r="AI97" i="13"/>
  <c r="AH97" i="13"/>
  <c r="AE97" i="13"/>
  <c r="AD97" i="13"/>
  <c r="AC97" i="13"/>
  <c r="AB97" i="13"/>
  <c r="AA97" i="13"/>
  <c r="Z97" i="13"/>
  <c r="Y97" i="13"/>
  <c r="X97" i="13"/>
  <c r="W97" i="13"/>
  <c r="V97" i="13"/>
  <c r="U97" i="13"/>
  <c r="T97" i="13"/>
  <c r="CJ96" i="13"/>
  <c r="P92" i="13"/>
  <c r="O92" i="13"/>
  <c r="N92" i="13"/>
  <c r="M92" i="13"/>
  <c r="L92" i="13"/>
  <c r="K92" i="13"/>
  <c r="J92" i="13"/>
  <c r="I92" i="13"/>
  <c r="H92" i="13"/>
  <c r="G92" i="13"/>
  <c r="F92" i="13"/>
  <c r="E92" i="13"/>
  <c r="CI91" i="13"/>
  <c r="CH91" i="13"/>
  <c r="CG91" i="13"/>
  <c r="CF91" i="13"/>
  <c r="CE91" i="13"/>
  <c r="CD91" i="13"/>
  <c r="CC91" i="13"/>
  <c r="CB91" i="13"/>
  <c r="CA91" i="13"/>
  <c r="BZ91" i="13"/>
  <c r="BY91" i="13"/>
  <c r="BX91" i="13"/>
  <c r="BU91" i="13"/>
  <c r="BT91" i="13"/>
  <c r="BS91" i="13"/>
  <c r="BR91" i="13"/>
  <c r="BQ91" i="13"/>
  <c r="BP91" i="13"/>
  <c r="BO91" i="13"/>
  <c r="BN91" i="13"/>
  <c r="BM91" i="13"/>
  <c r="BL91" i="13"/>
  <c r="BK91" i="13"/>
  <c r="BJ91" i="13"/>
  <c r="BG91" i="13"/>
  <c r="BF91" i="13"/>
  <c r="BE91" i="13"/>
  <c r="BD91" i="13"/>
  <c r="BC91" i="13"/>
  <c r="BB91" i="13"/>
  <c r="BA91" i="13"/>
  <c r="AZ91" i="13"/>
  <c r="AY91" i="13"/>
  <c r="AX91" i="13"/>
  <c r="AW91" i="13"/>
  <c r="AV91" i="13"/>
  <c r="AS91" i="13"/>
  <c r="AR91" i="13"/>
  <c r="AQ91" i="13"/>
  <c r="AP91" i="13"/>
  <c r="AO91" i="13"/>
  <c r="AN91" i="13"/>
  <c r="AM91" i="13"/>
  <c r="AL91" i="13"/>
  <c r="AK91" i="13"/>
  <c r="AJ91" i="13"/>
  <c r="AI91" i="13"/>
  <c r="AH91" i="13"/>
  <c r="AE91" i="13"/>
  <c r="AD91" i="13"/>
  <c r="AC91" i="13"/>
  <c r="AB91" i="13"/>
  <c r="AA91" i="13"/>
  <c r="Z91" i="13"/>
  <c r="Y91" i="13"/>
  <c r="X91" i="13"/>
  <c r="W91" i="13"/>
  <c r="V91" i="13"/>
  <c r="U91" i="13"/>
  <c r="T91" i="13"/>
  <c r="Q91" i="13"/>
  <c r="R91" i="13" s="1"/>
  <c r="CI90" i="13"/>
  <c r="CH90" i="13"/>
  <c r="CG90" i="13"/>
  <c r="CF90" i="13"/>
  <c r="CE90" i="13"/>
  <c r="CD90" i="13"/>
  <c r="CC90" i="13"/>
  <c r="CB90" i="13"/>
  <c r="CA90" i="13"/>
  <c r="BZ90" i="13"/>
  <c r="BY90" i="13"/>
  <c r="BX90" i="13"/>
  <c r="BU90" i="13"/>
  <c r="BT90" i="13"/>
  <c r="BS90" i="13"/>
  <c r="BR90" i="13"/>
  <c r="BQ90" i="13"/>
  <c r="BP90" i="13"/>
  <c r="BO90" i="13"/>
  <c r="BN90" i="13"/>
  <c r="BM90" i="13"/>
  <c r="BL90" i="13"/>
  <c r="BK90" i="13"/>
  <c r="BJ90" i="13"/>
  <c r="BG90" i="13"/>
  <c r="BF90" i="13"/>
  <c r="BE90" i="13"/>
  <c r="BD90" i="13"/>
  <c r="BC90" i="13"/>
  <c r="BB90" i="13"/>
  <c r="BA90" i="13"/>
  <c r="AZ90" i="13"/>
  <c r="AY90" i="13"/>
  <c r="AX90" i="13"/>
  <c r="AW90" i="13"/>
  <c r="AV90" i="13"/>
  <c r="AT90" i="13"/>
  <c r="AF90" i="13"/>
  <c r="Q90" i="13"/>
  <c r="R90" i="13" s="1"/>
  <c r="CI89" i="13"/>
  <c r="CH89" i="13"/>
  <c r="CG89" i="13"/>
  <c r="CF89" i="13"/>
  <c r="CE89" i="13"/>
  <c r="CD89" i="13"/>
  <c r="CC89" i="13"/>
  <c r="CB89" i="13"/>
  <c r="CA89" i="13"/>
  <c r="BZ89" i="13"/>
  <c r="BY89" i="13"/>
  <c r="BX89" i="13"/>
  <c r="BU89" i="13"/>
  <c r="BT89" i="13"/>
  <c r="BS89" i="13"/>
  <c r="BR89" i="13"/>
  <c r="BQ89" i="13"/>
  <c r="BP89" i="13"/>
  <c r="BO89" i="13"/>
  <c r="BN89" i="13"/>
  <c r="BM89" i="13"/>
  <c r="BL89" i="13"/>
  <c r="BK89" i="13"/>
  <c r="BJ89" i="13"/>
  <c r="BG89" i="13"/>
  <c r="BF89" i="13"/>
  <c r="BE89" i="13"/>
  <c r="BD89" i="13"/>
  <c r="BC89" i="13"/>
  <c r="BB89" i="13"/>
  <c r="BA89" i="13"/>
  <c r="AZ89" i="13"/>
  <c r="AY89" i="13"/>
  <c r="AX89" i="13"/>
  <c r="AW89" i="13"/>
  <c r="AV89" i="13"/>
  <c r="AS89" i="13"/>
  <c r="AR89" i="13"/>
  <c r="AQ89" i="13"/>
  <c r="AP89" i="13"/>
  <c r="AO89" i="13"/>
  <c r="AN89" i="13"/>
  <c r="AM89" i="13"/>
  <c r="AL89" i="13"/>
  <c r="AK89" i="13"/>
  <c r="AJ89" i="13"/>
  <c r="AI89" i="13"/>
  <c r="AH89" i="13"/>
  <c r="AE89" i="13"/>
  <c r="AD89" i="13"/>
  <c r="AC89" i="13"/>
  <c r="AB89" i="13"/>
  <c r="AA89" i="13"/>
  <c r="Z89" i="13"/>
  <c r="Y89" i="13"/>
  <c r="X89" i="13"/>
  <c r="W89" i="13"/>
  <c r="V89" i="13"/>
  <c r="U89" i="13"/>
  <c r="T89" i="13"/>
  <c r="R89" i="13"/>
  <c r="Q89" i="13"/>
  <c r="CI88" i="13"/>
  <c r="CI92" i="13" s="1"/>
  <c r="CH88" i="13"/>
  <c r="CG88" i="13"/>
  <c r="CF88" i="13"/>
  <c r="CF92" i="13" s="1"/>
  <c r="CE88" i="13"/>
  <c r="CE92" i="13" s="1"/>
  <c r="CD88" i="13"/>
  <c r="CC88" i="13"/>
  <c r="CB88" i="13"/>
  <c r="CB92" i="13" s="1"/>
  <c r="CA88" i="13"/>
  <c r="CA92" i="13" s="1"/>
  <c r="BZ88" i="13"/>
  <c r="BY88" i="13"/>
  <c r="BX88" i="13"/>
  <c r="BX92" i="13" s="1"/>
  <c r="BU88" i="13"/>
  <c r="BU92" i="13" s="1"/>
  <c r="BT88" i="13"/>
  <c r="BS88" i="13"/>
  <c r="BR88" i="13"/>
  <c r="BR92" i="13" s="1"/>
  <c r="BQ88" i="13"/>
  <c r="BQ92" i="13" s="1"/>
  <c r="BP88" i="13"/>
  <c r="BO88" i="13"/>
  <c r="BN88" i="13"/>
  <c r="BN92" i="13" s="1"/>
  <c r="BM88" i="13"/>
  <c r="BM92" i="13" s="1"/>
  <c r="BL88" i="13"/>
  <c r="BK88" i="13"/>
  <c r="BJ88" i="13"/>
  <c r="BJ92" i="13" s="1"/>
  <c r="BG88" i="13"/>
  <c r="BG92" i="13" s="1"/>
  <c r="BF88" i="13"/>
  <c r="BE88" i="13"/>
  <c r="BD88" i="13"/>
  <c r="BC88" i="13"/>
  <c r="BC92" i="13" s="1"/>
  <c r="BB88" i="13"/>
  <c r="BA88" i="13"/>
  <c r="AZ88" i="13"/>
  <c r="AY88" i="13"/>
  <c r="AY92" i="13" s="1"/>
  <c r="AX88" i="13"/>
  <c r="AW88" i="13"/>
  <c r="AV88" i="13"/>
  <c r="AS88" i="13"/>
  <c r="AS92" i="13" s="1"/>
  <c r="AR88" i="13"/>
  <c r="AQ88" i="13"/>
  <c r="AP88" i="13"/>
  <c r="AO88" i="13"/>
  <c r="AO92" i="13" s="1"/>
  <c r="AN88" i="13"/>
  <c r="AM88" i="13"/>
  <c r="AL88" i="13"/>
  <c r="AK88" i="13"/>
  <c r="AK92" i="13" s="1"/>
  <c r="AJ88" i="13"/>
  <c r="AI88" i="13"/>
  <c r="AH88" i="13"/>
  <c r="AE88" i="13"/>
  <c r="AE92" i="13" s="1"/>
  <c r="AD88" i="13"/>
  <c r="AC88" i="13"/>
  <c r="AB88" i="13"/>
  <c r="AB92" i="13" s="1"/>
  <c r="AA88" i="13"/>
  <c r="AA92" i="13" s="1"/>
  <c r="Z88" i="13"/>
  <c r="Y88" i="13"/>
  <c r="X88" i="13"/>
  <c r="X92" i="13" s="1"/>
  <c r="W88" i="13"/>
  <c r="W92" i="13" s="1"/>
  <c r="V88" i="13"/>
  <c r="U88" i="13"/>
  <c r="T88" i="13"/>
  <c r="T92" i="13" s="1"/>
  <c r="Q88" i="13"/>
  <c r="R88" i="13" s="1"/>
  <c r="BW83" i="13"/>
  <c r="BI83" i="13"/>
  <c r="AU83" i="13"/>
  <c r="AG83" i="13"/>
  <c r="P83" i="13"/>
  <c r="O83" i="13"/>
  <c r="N83" i="13"/>
  <c r="M83" i="13"/>
  <c r="L83" i="13"/>
  <c r="K83" i="13"/>
  <c r="J83" i="13"/>
  <c r="I83" i="13"/>
  <c r="H83" i="13"/>
  <c r="G83" i="13"/>
  <c r="F83" i="13"/>
  <c r="E83" i="13"/>
  <c r="CI82" i="13"/>
  <c r="CH82" i="13"/>
  <c r="CG82" i="13"/>
  <c r="CF82" i="13"/>
  <c r="CE82" i="13"/>
  <c r="CD82" i="13"/>
  <c r="CC82" i="13"/>
  <c r="CB82" i="13"/>
  <c r="CA82" i="13"/>
  <c r="BZ82" i="13"/>
  <c r="BY82" i="13"/>
  <c r="BX82" i="13"/>
  <c r="BU82" i="13"/>
  <c r="BT82" i="13"/>
  <c r="BS82" i="13"/>
  <c r="BR82" i="13"/>
  <c r="BQ82" i="13"/>
  <c r="BP82" i="13"/>
  <c r="BO82" i="13"/>
  <c r="BN82" i="13"/>
  <c r="BM82" i="13"/>
  <c r="BL82" i="13"/>
  <c r="BK82" i="13"/>
  <c r="BJ82" i="13"/>
  <c r="BG82" i="13"/>
  <c r="BF82" i="13"/>
  <c r="BE82" i="13"/>
  <c r="BD82" i="13"/>
  <c r="BC82" i="13"/>
  <c r="BB82" i="13"/>
  <c r="BA82" i="13"/>
  <c r="AZ82" i="13"/>
  <c r="AY82" i="13"/>
  <c r="AX82" i="13"/>
  <c r="AW82" i="13"/>
  <c r="AV82" i="13"/>
  <c r="AS82" i="13"/>
  <c r="AR82" i="13"/>
  <c r="AQ82" i="13"/>
  <c r="AP82" i="13"/>
  <c r="AO82" i="13"/>
  <c r="AN82" i="13"/>
  <c r="AM82" i="13"/>
  <c r="AL82" i="13"/>
  <c r="AK82" i="13"/>
  <c r="AJ82" i="13"/>
  <c r="AI82" i="13"/>
  <c r="AH82" i="13"/>
  <c r="AE82" i="13"/>
  <c r="AD82" i="13"/>
  <c r="AC82" i="13"/>
  <c r="AB82" i="13"/>
  <c r="AA82" i="13"/>
  <c r="Z82" i="13"/>
  <c r="Y82" i="13"/>
  <c r="X82" i="13"/>
  <c r="W82" i="13"/>
  <c r="V82" i="13"/>
  <c r="U82" i="13"/>
  <c r="T82" i="13"/>
  <c r="Q82" i="13"/>
  <c r="R82" i="13" s="1"/>
  <c r="CI81" i="13"/>
  <c r="CH81" i="13"/>
  <c r="CG81" i="13"/>
  <c r="CF81" i="13"/>
  <c r="CE81" i="13"/>
  <c r="CD81" i="13"/>
  <c r="CC81" i="13"/>
  <c r="CB81" i="13"/>
  <c r="CA81" i="13"/>
  <c r="BZ81" i="13"/>
  <c r="BY81" i="13"/>
  <c r="BX81" i="13"/>
  <c r="BU81" i="13"/>
  <c r="BT81" i="13"/>
  <c r="BS81" i="13"/>
  <c r="BR81" i="13"/>
  <c r="BQ81" i="13"/>
  <c r="BP81" i="13"/>
  <c r="BO81" i="13"/>
  <c r="BN81" i="13"/>
  <c r="BM81" i="13"/>
  <c r="BL81" i="13"/>
  <c r="BK81" i="13"/>
  <c r="BJ81" i="13"/>
  <c r="BG81" i="13"/>
  <c r="BF81" i="13"/>
  <c r="BE81" i="13"/>
  <c r="BD81" i="13"/>
  <c r="BC81" i="13"/>
  <c r="BB81" i="13"/>
  <c r="BA81" i="13"/>
  <c r="AZ81" i="13"/>
  <c r="AY81" i="13"/>
  <c r="AX81" i="13"/>
  <c r="AW81" i="13"/>
  <c r="AV81" i="13"/>
  <c r="AS81" i="13"/>
  <c r="AR81" i="13"/>
  <c r="AQ81" i="13"/>
  <c r="AP81" i="13"/>
  <c r="AO81" i="13"/>
  <c r="AN81" i="13"/>
  <c r="AM81" i="13"/>
  <c r="AL81" i="13"/>
  <c r="AK81" i="13"/>
  <c r="AJ81" i="13"/>
  <c r="AI81" i="13"/>
  <c r="AH81" i="13"/>
  <c r="AE81" i="13"/>
  <c r="AD81" i="13"/>
  <c r="AC81" i="13"/>
  <c r="AB81" i="13"/>
  <c r="AA81" i="13"/>
  <c r="Z81" i="13"/>
  <c r="Y81" i="13"/>
  <c r="X81" i="13"/>
  <c r="W81" i="13"/>
  <c r="V81" i="13"/>
  <c r="U81" i="13"/>
  <c r="T81" i="13"/>
  <c r="R81" i="13"/>
  <c r="Q81" i="13"/>
  <c r="CI80" i="13"/>
  <c r="CH80" i="13"/>
  <c r="CG80" i="13"/>
  <c r="CF80" i="13"/>
  <c r="CE80" i="13"/>
  <c r="CD80" i="13"/>
  <c r="CC80" i="13"/>
  <c r="CB80" i="13"/>
  <c r="CA80" i="13"/>
  <c r="BZ80" i="13"/>
  <c r="BY80" i="13"/>
  <c r="BX80" i="13"/>
  <c r="BU80" i="13"/>
  <c r="BT80" i="13"/>
  <c r="BS80" i="13"/>
  <c r="BR80" i="13"/>
  <c r="BQ80" i="13"/>
  <c r="BP80" i="13"/>
  <c r="BO80" i="13"/>
  <c r="BN80" i="13"/>
  <c r="BM80" i="13"/>
  <c r="BL80" i="13"/>
  <c r="BK80" i="13"/>
  <c r="BJ80" i="13"/>
  <c r="BG80" i="13"/>
  <c r="BF80" i="13"/>
  <c r="BE80" i="13"/>
  <c r="BD80" i="13"/>
  <c r="BC80" i="13"/>
  <c r="BB80" i="13"/>
  <c r="BA80" i="13"/>
  <c r="AZ80" i="13"/>
  <c r="AY80" i="13"/>
  <c r="AX80" i="13"/>
  <c r="AW80" i="13"/>
  <c r="AV80" i="13"/>
  <c r="AS80" i="13"/>
  <c r="AR80" i="13"/>
  <c r="AQ80" i="13"/>
  <c r="AP80" i="13"/>
  <c r="AO80" i="13"/>
  <c r="AN80" i="13"/>
  <c r="AM80" i="13"/>
  <c r="AL80" i="13"/>
  <c r="AK80" i="13"/>
  <c r="AJ80" i="13"/>
  <c r="AI80" i="13"/>
  <c r="AH80" i="13"/>
  <c r="AE80" i="13"/>
  <c r="AD80" i="13"/>
  <c r="AC80" i="13"/>
  <c r="AB80" i="13"/>
  <c r="AA80" i="13"/>
  <c r="Z80" i="13"/>
  <c r="Y80" i="13"/>
  <c r="X80" i="13"/>
  <c r="W80" i="13"/>
  <c r="V80" i="13"/>
  <c r="U80" i="13"/>
  <c r="T80" i="13"/>
  <c r="Q80" i="13"/>
  <c r="R80" i="13" s="1"/>
  <c r="CI79" i="13"/>
  <c r="CH79" i="13"/>
  <c r="CG79" i="13"/>
  <c r="CF79" i="13"/>
  <c r="CE79" i="13"/>
  <c r="CD79" i="13"/>
  <c r="CC79" i="13"/>
  <c r="CB79" i="13"/>
  <c r="CA79" i="13"/>
  <c r="BZ79" i="13"/>
  <c r="BY79" i="13"/>
  <c r="BX79" i="13"/>
  <c r="BU79" i="13"/>
  <c r="BT79" i="13"/>
  <c r="BS79" i="13"/>
  <c r="BR79" i="13"/>
  <c r="BQ79" i="13"/>
  <c r="BP79" i="13"/>
  <c r="BO79" i="13"/>
  <c r="BN79" i="13"/>
  <c r="BM79" i="13"/>
  <c r="BL79" i="13"/>
  <c r="BK79" i="13"/>
  <c r="BJ79" i="13"/>
  <c r="BG79" i="13"/>
  <c r="BF79" i="13"/>
  <c r="BE79" i="13"/>
  <c r="BD79" i="13"/>
  <c r="BC79" i="13"/>
  <c r="BB79" i="13"/>
  <c r="BA79" i="13"/>
  <c r="AZ79" i="13"/>
  <c r="AY79" i="13"/>
  <c r="AX79" i="13"/>
  <c r="AW79" i="13"/>
  <c r="AV79" i="13"/>
  <c r="AS79" i="13"/>
  <c r="AR79" i="13"/>
  <c r="AQ79" i="13"/>
  <c r="AP79" i="13"/>
  <c r="AO79" i="13"/>
  <c r="AN79" i="13"/>
  <c r="AM79" i="13"/>
  <c r="AL79" i="13"/>
  <c r="AK79" i="13"/>
  <c r="AJ79" i="13"/>
  <c r="AI79" i="13"/>
  <c r="AH79" i="13"/>
  <c r="AE79" i="13"/>
  <c r="AD79" i="13"/>
  <c r="AC79" i="13"/>
  <c r="AB79" i="13"/>
  <c r="AA79" i="13"/>
  <c r="Z79" i="13"/>
  <c r="Y79" i="13"/>
  <c r="X79" i="13"/>
  <c r="W79" i="13"/>
  <c r="V79" i="13"/>
  <c r="U79" i="13"/>
  <c r="T79" i="13"/>
  <c r="Q79" i="13"/>
  <c r="R79" i="13" s="1"/>
  <c r="CI78" i="13"/>
  <c r="CH78" i="13"/>
  <c r="CG78" i="13"/>
  <c r="CF78" i="13"/>
  <c r="CE78" i="13"/>
  <c r="CD78" i="13"/>
  <c r="CC78" i="13"/>
  <c r="CB78" i="13"/>
  <c r="CA78" i="13"/>
  <c r="BZ78" i="13"/>
  <c r="BY78" i="13"/>
  <c r="BX78" i="13"/>
  <c r="BU78" i="13"/>
  <c r="BT78" i="13"/>
  <c r="BS78" i="13"/>
  <c r="BR78" i="13"/>
  <c r="BQ78" i="13"/>
  <c r="BP78" i="13"/>
  <c r="BO78" i="13"/>
  <c r="BN78" i="13"/>
  <c r="BM78" i="13"/>
  <c r="BL78" i="13"/>
  <c r="BK78" i="13"/>
  <c r="BJ78" i="13"/>
  <c r="BG78" i="13"/>
  <c r="BF78" i="13"/>
  <c r="BE78" i="13"/>
  <c r="BD78" i="13"/>
  <c r="BC78" i="13"/>
  <c r="BB78" i="13"/>
  <c r="BA78" i="13"/>
  <c r="AZ78" i="13"/>
  <c r="AY78" i="13"/>
  <c r="AX78" i="13"/>
  <c r="AW78" i="13"/>
  <c r="AV78" i="13"/>
  <c r="AS78" i="13"/>
  <c r="AR78" i="13"/>
  <c r="AQ78" i="13"/>
  <c r="AP78" i="13"/>
  <c r="AO78" i="13"/>
  <c r="AN78" i="13"/>
  <c r="AM78" i="13"/>
  <c r="AL78" i="13"/>
  <c r="AK78" i="13"/>
  <c r="AJ78" i="13"/>
  <c r="AI78" i="13"/>
  <c r="AH78" i="13"/>
  <c r="AE78" i="13"/>
  <c r="AD78" i="13"/>
  <c r="AC78" i="13"/>
  <c r="AB78" i="13"/>
  <c r="AA78" i="13"/>
  <c r="Z78" i="13"/>
  <c r="Y78" i="13"/>
  <c r="X78" i="13"/>
  <c r="W78" i="13"/>
  <c r="V78" i="13"/>
  <c r="U78" i="13"/>
  <c r="T78" i="13"/>
  <c r="Q78" i="13"/>
  <c r="R78" i="13" s="1"/>
  <c r="CI77" i="13"/>
  <c r="CH77" i="13"/>
  <c r="CG77" i="13"/>
  <c r="CF77" i="13"/>
  <c r="CE77" i="13"/>
  <c r="CD77" i="13"/>
  <c r="CC77" i="13"/>
  <c r="CB77" i="13"/>
  <c r="CA77" i="13"/>
  <c r="BZ77" i="13"/>
  <c r="BY77" i="13"/>
  <c r="BX77" i="13"/>
  <c r="BU77" i="13"/>
  <c r="BT77" i="13"/>
  <c r="BS77" i="13"/>
  <c r="BR77" i="13"/>
  <c r="BQ77" i="13"/>
  <c r="BP77" i="13"/>
  <c r="BO77" i="13"/>
  <c r="BN77" i="13"/>
  <c r="BM77" i="13"/>
  <c r="BL77" i="13"/>
  <c r="BK77" i="13"/>
  <c r="BJ77" i="13"/>
  <c r="BG77" i="13"/>
  <c r="BF77" i="13"/>
  <c r="BE77" i="13"/>
  <c r="BD77" i="13"/>
  <c r="BC77" i="13"/>
  <c r="BB77" i="13"/>
  <c r="BA77" i="13"/>
  <c r="AZ77" i="13"/>
  <c r="AY77" i="13"/>
  <c r="AX77" i="13"/>
  <c r="AW77" i="13"/>
  <c r="AV77" i="13"/>
  <c r="AS77" i="13"/>
  <c r="AR77" i="13"/>
  <c r="AQ77" i="13"/>
  <c r="AP77" i="13"/>
  <c r="AO77" i="13"/>
  <c r="AN77" i="13"/>
  <c r="AM77" i="13"/>
  <c r="AL77" i="13"/>
  <c r="AK77" i="13"/>
  <c r="AJ77" i="13"/>
  <c r="AI77" i="13"/>
  <c r="AH77" i="13"/>
  <c r="AE77" i="13"/>
  <c r="AD77" i="13"/>
  <c r="AC77" i="13"/>
  <c r="AB77" i="13"/>
  <c r="AA77" i="13"/>
  <c r="Z77" i="13"/>
  <c r="Y77" i="13"/>
  <c r="X77" i="13"/>
  <c r="W77" i="13"/>
  <c r="V77" i="13"/>
  <c r="U77" i="13"/>
  <c r="T77" i="13"/>
  <c r="Q77" i="13"/>
  <c r="R77" i="13" s="1"/>
  <c r="CI76" i="13"/>
  <c r="CH76" i="13"/>
  <c r="CG76" i="13"/>
  <c r="CF76" i="13"/>
  <c r="CE76" i="13"/>
  <c r="CD76" i="13"/>
  <c r="CC76" i="13"/>
  <c r="CB76" i="13"/>
  <c r="CA76" i="13"/>
  <c r="BZ76" i="13"/>
  <c r="BY76" i="13"/>
  <c r="BX76" i="13"/>
  <c r="BU76" i="13"/>
  <c r="BT76" i="13"/>
  <c r="BS76" i="13"/>
  <c r="BR76" i="13"/>
  <c r="BQ76" i="13"/>
  <c r="BP76" i="13"/>
  <c r="BO76" i="13"/>
  <c r="BN76" i="13"/>
  <c r="BM76" i="13"/>
  <c r="BL76" i="13"/>
  <c r="BK76" i="13"/>
  <c r="BJ76" i="13"/>
  <c r="BG76" i="13"/>
  <c r="BF76" i="13"/>
  <c r="BE76" i="13"/>
  <c r="BD76" i="13"/>
  <c r="BC76" i="13"/>
  <c r="BB76" i="13"/>
  <c r="BA76" i="13"/>
  <c r="AZ76" i="13"/>
  <c r="AY76" i="13"/>
  <c r="AX76" i="13"/>
  <c r="AW76" i="13"/>
  <c r="AV76" i="13"/>
  <c r="AS76" i="13"/>
  <c r="AR76" i="13"/>
  <c r="AQ76" i="13"/>
  <c r="AP76" i="13"/>
  <c r="AO76" i="13"/>
  <c r="AN76" i="13"/>
  <c r="AM76" i="13"/>
  <c r="AL76" i="13"/>
  <c r="AK76" i="13"/>
  <c r="AJ76" i="13"/>
  <c r="AI76" i="13"/>
  <c r="AH76" i="13"/>
  <c r="AE76" i="13"/>
  <c r="AD76" i="13"/>
  <c r="AC76" i="13"/>
  <c r="AB76" i="13"/>
  <c r="AA76" i="13"/>
  <c r="Z76" i="13"/>
  <c r="Y76" i="13"/>
  <c r="X76" i="13"/>
  <c r="W76" i="13"/>
  <c r="V76" i="13"/>
  <c r="U76" i="13"/>
  <c r="T76" i="13"/>
  <c r="Q76" i="13"/>
  <c r="R76" i="13" s="1"/>
  <c r="CI75" i="13"/>
  <c r="CH75" i="13"/>
  <c r="CG75" i="13"/>
  <c r="CF75" i="13"/>
  <c r="CE75" i="13"/>
  <c r="CD75" i="13"/>
  <c r="CC75" i="13"/>
  <c r="CB75" i="13"/>
  <c r="CA75" i="13"/>
  <c r="BZ75" i="13"/>
  <c r="BY75" i="13"/>
  <c r="BX75" i="13"/>
  <c r="BU75" i="13"/>
  <c r="BT75" i="13"/>
  <c r="BS75" i="13"/>
  <c r="BR75" i="13"/>
  <c r="BQ75" i="13"/>
  <c r="BP75" i="13"/>
  <c r="BO75" i="13"/>
  <c r="BN75" i="13"/>
  <c r="BM75" i="13"/>
  <c r="BL75" i="13"/>
  <c r="BK75" i="13"/>
  <c r="BJ75" i="13"/>
  <c r="BG75" i="13"/>
  <c r="BF75" i="13"/>
  <c r="BE75" i="13"/>
  <c r="BD75" i="13"/>
  <c r="BC75" i="13"/>
  <c r="BB75" i="13"/>
  <c r="BA75" i="13"/>
  <c r="AZ75" i="13"/>
  <c r="AY75" i="13"/>
  <c r="AX75" i="13"/>
  <c r="AW75" i="13"/>
  <c r="AV75" i="13"/>
  <c r="AS75" i="13"/>
  <c r="AR75" i="13"/>
  <c r="AQ75" i="13"/>
  <c r="AP75" i="13"/>
  <c r="AO75" i="13"/>
  <c r="AN75" i="13"/>
  <c r="AM75" i="13"/>
  <c r="AL75" i="13"/>
  <c r="AK75" i="13"/>
  <c r="AJ75" i="13"/>
  <c r="AI75" i="13"/>
  <c r="AH75" i="13"/>
  <c r="AE75" i="13"/>
  <c r="AD75" i="13"/>
  <c r="AC75" i="13"/>
  <c r="AB75" i="13"/>
  <c r="AA75" i="13"/>
  <c r="Z75" i="13"/>
  <c r="Y75" i="13"/>
  <c r="X75" i="13"/>
  <c r="W75" i="13"/>
  <c r="V75" i="13"/>
  <c r="U75" i="13"/>
  <c r="T75" i="13"/>
  <c r="Q75" i="13"/>
  <c r="R75" i="13" s="1"/>
  <c r="CI74" i="13"/>
  <c r="CH74" i="13"/>
  <c r="CG74" i="13"/>
  <c r="CF74" i="13"/>
  <c r="CE74" i="13"/>
  <c r="CD74" i="13"/>
  <c r="CC74" i="13"/>
  <c r="CB74" i="13"/>
  <c r="CA74" i="13"/>
  <c r="BZ74" i="13"/>
  <c r="BY74" i="13"/>
  <c r="BX74" i="13"/>
  <c r="BU74" i="13"/>
  <c r="BT74" i="13"/>
  <c r="BS74" i="13"/>
  <c r="BR74" i="13"/>
  <c r="BQ74" i="13"/>
  <c r="BP74" i="13"/>
  <c r="BO74" i="13"/>
  <c r="BN74" i="13"/>
  <c r="BM74" i="13"/>
  <c r="BL74" i="13"/>
  <c r="BK74" i="13"/>
  <c r="BJ74" i="13"/>
  <c r="BG74" i="13"/>
  <c r="BF74" i="13"/>
  <c r="BE74" i="13"/>
  <c r="BD74" i="13"/>
  <c r="BC74" i="13"/>
  <c r="BB74" i="13"/>
  <c r="BA74" i="13"/>
  <c r="AZ74" i="13"/>
  <c r="AY74" i="13"/>
  <c r="AX74" i="13"/>
  <c r="AW74" i="13"/>
  <c r="AV74" i="13"/>
  <c r="AS74" i="13"/>
  <c r="AR74" i="13"/>
  <c r="AQ74" i="13"/>
  <c r="AP74" i="13"/>
  <c r="AO74" i="13"/>
  <c r="AN74" i="13"/>
  <c r="AM74" i="13"/>
  <c r="AL74" i="13"/>
  <c r="AK74" i="13"/>
  <c r="AJ74" i="13"/>
  <c r="AI74" i="13"/>
  <c r="AH74" i="13"/>
  <c r="AE74" i="13"/>
  <c r="AD74" i="13"/>
  <c r="AC74" i="13"/>
  <c r="AB74" i="13"/>
  <c r="AA74" i="13"/>
  <c r="Z74" i="13"/>
  <c r="Y74" i="13"/>
  <c r="X74" i="13"/>
  <c r="W74" i="13"/>
  <c r="V74" i="13"/>
  <c r="U74" i="13"/>
  <c r="T74" i="13"/>
  <c r="Q74" i="13"/>
  <c r="R74" i="13" s="1"/>
  <c r="CI73" i="13"/>
  <c r="CH73" i="13"/>
  <c r="CG73" i="13"/>
  <c r="CF73" i="13"/>
  <c r="CE73" i="13"/>
  <c r="CD73" i="13"/>
  <c r="CC73" i="13"/>
  <c r="CB73" i="13"/>
  <c r="CA73" i="13"/>
  <c r="BZ73" i="13"/>
  <c r="BY73" i="13"/>
  <c r="BX73" i="13"/>
  <c r="BU73" i="13"/>
  <c r="BT73" i="13"/>
  <c r="BS73" i="13"/>
  <c r="BR73" i="13"/>
  <c r="BR83" i="13" s="1"/>
  <c r="BQ73" i="13"/>
  <c r="BP73" i="13"/>
  <c r="BO73" i="13"/>
  <c r="BN73" i="13"/>
  <c r="BN83" i="13" s="1"/>
  <c r="BM73" i="13"/>
  <c r="BL73" i="13"/>
  <c r="BK73" i="13"/>
  <c r="BJ73" i="13"/>
  <c r="BJ83" i="13" s="1"/>
  <c r="BG73" i="13"/>
  <c r="BF73" i="13"/>
  <c r="BE73" i="13"/>
  <c r="BD73" i="13"/>
  <c r="BC73" i="13"/>
  <c r="BB73" i="13"/>
  <c r="BA73" i="13"/>
  <c r="AZ73" i="13"/>
  <c r="AY73" i="13"/>
  <c r="AX73" i="13"/>
  <c r="AW73" i="13"/>
  <c r="AV73" i="13"/>
  <c r="AS73" i="13"/>
  <c r="AR73" i="13"/>
  <c r="AQ73" i="13"/>
  <c r="AP73" i="13"/>
  <c r="AO73" i="13"/>
  <c r="AN73" i="13"/>
  <c r="AM73" i="13"/>
  <c r="AL73" i="13"/>
  <c r="AK73" i="13"/>
  <c r="AJ73" i="13"/>
  <c r="AI73" i="13"/>
  <c r="AH73" i="13"/>
  <c r="AE73" i="13"/>
  <c r="AD73" i="13"/>
  <c r="AC73" i="13"/>
  <c r="AB73" i="13"/>
  <c r="AA73" i="13"/>
  <c r="Z73" i="13"/>
  <c r="Y73" i="13"/>
  <c r="X73" i="13"/>
  <c r="W73" i="13"/>
  <c r="V73" i="13"/>
  <c r="U73" i="13"/>
  <c r="T73" i="13"/>
  <c r="Q73" i="13"/>
  <c r="R73" i="13" s="1"/>
  <c r="P68" i="13"/>
  <c r="O68" i="13"/>
  <c r="N68" i="13"/>
  <c r="M68" i="13"/>
  <c r="L68" i="13"/>
  <c r="K68" i="13"/>
  <c r="J68" i="13"/>
  <c r="I68" i="13"/>
  <c r="H68" i="13"/>
  <c r="G68" i="13"/>
  <c r="F68" i="13"/>
  <c r="E68" i="13"/>
  <c r="CI67" i="13"/>
  <c r="CH67" i="13"/>
  <c r="CG67" i="13"/>
  <c r="CF67" i="13"/>
  <c r="CE67" i="13"/>
  <c r="CD67" i="13"/>
  <c r="CC67" i="13"/>
  <c r="CB67" i="13"/>
  <c r="CA67" i="13"/>
  <c r="BZ67" i="13"/>
  <c r="BY67" i="13"/>
  <c r="BX67" i="13"/>
  <c r="BU67" i="13"/>
  <c r="BT67" i="13"/>
  <c r="BS67" i="13"/>
  <c r="BR67" i="13"/>
  <c r="BQ67" i="13"/>
  <c r="BP67" i="13"/>
  <c r="BO67" i="13"/>
  <c r="BN67" i="13"/>
  <c r="BM67" i="13"/>
  <c r="BL67" i="13"/>
  <c r="BK67" i="13"/>
  <c r="BJ67" i="13"/>
  <c r="BG67" i="13"/>
  <c r="BF67" i="13"/>
  <c r="BE67" i="13"/>
  <c r="BD67" i="13"/>
  <c r="BC67" i="13"/>
  <c r="BB67" i="13"/>
  <c r="BA67" i="13"/>
  <c r="AZ67" i="13"/>
  <c r="AY67" i="13"/>
  <c r="AX67" i="13"/>
  <c r="AW67" i="13"/>
  <c r="AV67" i="13"/>
  <c r="AS67" i="13"/>
  <c r="AR67" i="13"/>
  <c r="AQ67" i="13"/>
  <c r="AP67" i="13"/>
  <c r="AO67" i="13"/>
  <c r="AN67" i="13"/>
  <c r="AM67" i="13"/>
  <c r="AL67" i="13"/>
  <c r="AK67" i="13"/>
  <c r="AJ67" i="13"/>
  <c r="AI67" i="13"/>
  <c r="AH67" i="13"/>
  <c r="AE67" i="13"/>
  <c r="AD67" i="13"/>
  <c r="AC67" i="13"/>
  <c r="AB67" i="13"/>
  <c r="AA67" i="13"/>
  <c r="Z67" i="13"/>
  <c r="Y67" i="13"/>
  <c r="X67" i="13"/>
  <c r="W67" i="13"/>
  <c r="V67" i="13"/>
  <c r="U67" i="13"/>
  <c r="T67" i="13"/>
  <c r="Q67" i="13"/>
  <c r="R67" i="13" s="1"/>
  <c r="CI66" i="13"/>
  <c r="CH66" i="13"/>
  <c r="CG66" i="13"/>
  <c r="CF66" i="13"/>
  <c r="CE66" i="13"/>
  <c r="CD66" i="13"/>
  <c r="CC66" i="13"/>
  <c r="CB66" i="13"/>
  <c r="CA66" i="13"/>
  <c r="BZ66" i="13"/>
  <c r="BY66" i="13"/>
  <c r="BX66" i="13"/>
  <c r="BU66" i="13"/>
  <c r="BT66" i="13"/>
  <c r="BS66" i="13"/>
  <c r="BR66" i="13"/>
  <c r="BQ66" i="13"/>
  <c r="BP66" i="13"/>
  <c r="BO66" i="13"/>
  <c r="BN66" i="13"/>
  <c r="BM66" i="13"/>
  <c r="BL66" i="13"/>
  <c r="BK66" i="13"/>
  <c r="BJ66" i="13"/>
  <c r="BG66" i="13"/>
  <c r="BF66" i="13"/>
  <c r="BE66" i="13"/>
  <c r="BD66" i="13"/>
  <c r="BC66" i="13"/>
  <c r="BB66" i="13"/>
  <c r="BA66" i="13"/>
  <c r="AZ66" i="13"/>
  <c r="AY66" i="13"/>
  <c r="AX66" i="13"/>
  <c r="AW66" i="13"/>
  <c r="AV66" i="13"/>
  <c r="AS66" i="13"/>
  <c r="AR66" i="13"/>
  <c r="AQ66" i="13"/>
  <c r="AP66" i="13"/>
  <c r="AO66" i="13"/>
  <c r="AN66" i="13"/>
  <c r="AM66" i="13"/>
  <c r="AL66" i="13"/>
  <c r="AK66" i="13"/>
  <c r="AJ66" i="13"/>
  <c r="AI66" i="13"/>
  <c r="AH66" i="13"/>
  <c r="AE66" i="13"/>
  <c r="AD66" i="13"/>
  <c r="AC66" i="13"/>
  <c r="AB66" i="13"/>
  <c r="AA66" i="13"/>
  <c r="Z66" i="13"/>
  <c r="Y66" i="13"/>
  <c r="X66" i="13"/>
  <c r="W66" i="13"/>
  <c r="V66" i="13"/>
  <c r="U66" i="13"/>
  <c r="T66" i="13"/>
  <c r="Q66" i="13"/>
  <c r="R66" i="13" s="1"/>
  <c r="CI65" i="13"/>
  <c r="CH65" i="13"/>
  <c r="CG65" i="13"/>
  <c r="CF65" i="13"/>
  <c r="CE65" i="13"/>
  <c r="CD65" i="13"/>
  <c r="CC65" i="13"/>
  <c r="CB65" i="13"/>
  <c r="CA65" i="13"/>
  <c r="BZ65" i="13"/>
  <c r="BY65" i="13"/>
  <c r="BX65" i="13"/>
  <c r="BU65" i="13"/>
  <c r="BT65" i="13"/>
  <c r="BS65" i="13"/>
  <c r="BR65" i="13"/>
  <c r="BQ65" i="13"/>
  <c r="BP65" i="13"/>
  <c r="BO65" i="13"/>
  <c r="BN65" i="13"/>
  <c r="BM65" i="13"/>
  <c r="BL65" i="13"/>
  <c r="BK65" i="13"/>
  <c r="BJ65" i="13"/>
  <c r="BV65" i="13" s="1"/>
  <c r="BG65" i="13"/>
  <c r="BF65" i="13"/>
  <c r="BE65" i="13"/>
  <c r="BD65" i="13"/>
  <c r="BC65" i="13"/>
  <c r="BB65" i="13"/>
  <c r="BA65" i="13"/>
  <c r="AZ65" i="13"/>
  <c r="AY65" i="13"/>
  <c r="AX65" i="13"/>
  <c r="AW65" i="13"/>
  <c r="AV65" i="13"/>
  <c r="AS65" i="13"/>
  <c r="AR65" i="13"/>
  <c r="AQ65" i="13"/>
  <c r="AP65" i="13"/>
  <c r="AO65" i="13"/>
  <c r="AN65" i="13"/>
  <c r="AM65" i="13"/>
  <c r="AL65" i="13"/>
  <c r="AK65" i="13"/>
  <c r="AJ65" i="13"/>
  <c r="AI65" i="13"/>
  <c r="AH65" i="13"/>
  <c r="AT65" i="13" s="1"/>
  <c r="AE65" i="13"/>
  <c r="AD65" i="13"/>
  <c r="AC65" i="13"/>
  <c r="AB65" i="13"/>
  <c r="AA65" i="13"/>
  <c r="Z65" i="13"/>
  <c r="Y65" i="13"/>
  <c r="X65" i="13"/>
  <c r="W65" i="13"/>
  <c r="V65" i="13"/>
  <c r="U65" i="13"/>
  <c r="T65" i="13"/>
  <c r="AF65" i="13" s="1"/>
  <c r="Q65" i="13"/>
  <c r="R65" i="13" s="1"/>
  <c r="CI64" i="13"/>
  <c r="CH64" i="13"/>
  <c r="CG64" i="13"/>
  <c r="CF64" i="13"/>
  <c r="CE64" i="13"/>
  <c r="CD64" i="13"/>
  <c r="CC64" i="13"/>
  <c r="CB64" i="13"/>
  <c r="CA64" i="13"/>
  <c r="BZ64" i="13"/>
  <c r="BY64" i="13"/>
  <c r="BX64" i="13"/>
  <c r="BU64" i="13"/>
  <c r="BT64" i="13"/>
  <c r="BS64" i="13"/>
  <c r="BR64" i="13"/>
  <c r="BQ64" i="13"/>
  <c r="BP64" i="13"/>
  <c r="BO64" i="13"/>
  <c r="BN64" i="13"/>
  <c r="BM64" i="13"/>
  <c r="BL64" i="13"/>
  <c r="BK64" i="13"/>
  <c r="BJ64" i="13"/>
  <c r="BG64" i="13"/>
  <c r="BF64" i="13"/>
  <c r="BE64" i="13"/>
  <c r="BD64" i="13"/>
  <c r="BC64" i="13"/>
  <c r="BB64" i="13"/>
  <c r="BA64" i="13"/>
  <c r="AZ64" i="13"/>
  <c r="AY64" i="13"/>
  <c r="AX64" i="13"/>
  <c r="AW64" i="13"/>
  <c r="AV64" i="13"/>
  <c r="AS64" i="13"/>
  <c r="AR64" i="13"/>
  <c r="AQ64" i="13"/>
  <c r="AP64" i="13"/>
  <c r="AO64" i="13"/>
  <c r="AN64" i="13"/>
  <c r="AM64" i="13"/>
  <c r="AL64" i="13"/>
  <c r="AK64" i="13"/>
  <c r="AJ64" i="13"/>
  <c r="AI64" i="13"/>
  <c r="AH64" i="13"/>
  <c r="AE64" i="13"/>
  <c r="AD64" i="13"/>
  <c r="AC64" i="13"/>
  <c r="AB64" i="13"/>
  <c r="AA64" i="13"/>
  <c r="Z64" i="13"/>
  <c r="Y64" i="13"/>
  <c r="X64" i="13"/>
  <c r="W64" i="13"/>
  <c r="V64" i="13"/>
  <c r="U64" i="13"/>
  <c r="T64" i="13"/>
  <c r="Q64" i="13"/>
  <c r="R64" i="13" s="1"/>
  <c r="CI63" i="13"/>
  <c r="CH63" i="13"/>
  <c r="CG63" i="13"/>
  <c r="CF63" i="13"/>
  <c r="CE63" i="13"/>
  <c r="CD63" i="13"/>
  <c r="CC63" i="13"/>
  <c r="CB63" i="13"/>
  <c r="CA63" i="13"/>
  <c r="BZ63" i="13"/>
  <c r="BY63" i="13"/>
  <c r="BX63" i="13"/>
  <c r="BU63" i="13"/>
  <c r="BT63" i="13"/>
  <c r="BS63" i="13"/>
  <c r="BR63" i="13"/>
  <c r="BQ63" i="13"/>
  <c r="BP63" i="13"/>
  <c r="BO63" i="13"/>
  <c r="BN63" i="13"/>
  <c r="BM63" i="13"/>
  <c r="BL63" i="13"/>
  <c r="BK63" i="13"/>
  <c r="BJ63" i="13"/>
  <c r="BG63" i="13"/>
  <c r="BF63" i="13"/>
  <c r="BE63" i="13"/>
  <c r="BD63" i="13"/>
  <c r="BC63" i="13"/>
  <c r="BB63" i="13"/>
  <c r="BA63" i="13"/>
  <c r="AZ63" i="13"/>
  <c r="AY63" i="13"/>
  <c r="AX63" i="13"/>
  <c r="AW63" i="13"/>
  <c r="AV63" i="13"/>
  <c r="AS63" i="13"/>
  <c r="AR63" i="13"/>
  <c r="AQ63" i="13"/>
  <c r="AP63" i="13"/>
  <c r="AO63" i="13"/>
  <c r="AN63" i="13"/>
  <c r="AM63" i="13"/>
  <c r="AL63" i="13"/>
  <c r="AK63" i="13"/>
  <c r="AJ63" i="13"/>
  <c r="AI63" i="13"/>
  <c r="AH63" i="13"/>
  <c r="AE63" i="13"/>
  <c r="AD63" i="13"/>
  <c r="AC63" i="13"/>
  <c r="AB63" i="13"/>
  <c r="AA63" i="13"/>
  <c r="Z63" i="13"/>
  <c r="Y63" i="13"/>
  <c r="X63" i="13"/>
  <c r="W63" i="13"/>
  <c r="V63" i="13"/>
  <c r="U63" i="13"/>
  <c r="T63" i="13"/>
  <c r="Q63" i="13"/>
  <c r="R63" i="13" s="1"/>
  <c r="CI62" i="13"/>
  <c r="CH62" i="13"/>
  <c r="CG62" i="13"/>
  <c r="CF62" i="13"/>
  <c r="CE62" i="13"/>
  <c r="CD62" i="13"/>
  <c r="CC62" i="13"/>
  <c r="CB62" i="13"/>
  <c r="CA62" i="13"/>
  <c r="BZ62" i="13"/>
  <c r="BY62" i="13"/>
  <c r="BX62" i="13"/>
  <c r="BU62" i="13"/>
  <c r="BT62" i="13"/>
  <c r="BS62" i="13"/>
  <c r="BR62" i="13"/>
  <c r="BQ62" i="13"/>
  <c r="BP62" i="13"/>
  <c r="BO62" i="13"/>
  <c r="BN62" i="13"/>
  <c r="BM62" i="13"/>
  <c r="BL62" i="13"/>
  <c r="BK62" i="13"/>
  <c r="BJ62" i="13"/>
  <c r="BG62" i="13"/>
  <c r="BF62" i="13"/>
  <c r="BE62" i="13"/>
  <c r="BD62" i="13"/>
  <c r="BC62" i="13"/>
  <c r="BB62" i="13"/>
  <c r="BA62" i="13"/>
  <c r="AZ62" i="13"/>
  <c r="AY62" i="13"/>
  <c r="AX62" i="13"/>
  <c r="AW62" i="13"/>
  <c r="AV62" i="13"/>
  <c r="AS62" i="13"/>
  <c r="AR62" i="13"/>
  <c r="AQ62" i="13"/>
  <c r="AP62" i="13"/>
  <c r="AO62" i="13"/>
  <c r="AN62" i="13"/>
  <c r="AM62" i="13"/>
  <c r="AL62" i="13"/>
  <c r="AK62" i="13"/>
  <c r="AJ62" i="13"/>
  <c r="AI62" i="13"/>
  <c r="AH62" i="13"/>
  <c r="AE62" i="13"/>
  <c r="AD62" i="13"/>
  <c r="AC62" i="13"/>
  <c r="AB62" i="13"/>
  <c r="AA62" i="13"/>
  <c r="Z62" i="13"/>
  <c r="Y62" i="13"/>
  <c r="X62" i="13"/>
  <c r="W62" i="13"/>
  <c r="V62" i="13"/>
  <c r="U62" i="13"/>
  <c r="T62" i="13"/>
  <c r="Q62" i="13"/>
  <c r="R62" i="13" s="1"/>
  <c r="CI61" i="13"/>
  <c r="CH61" i="13"/>
  <c r="CG61" i="13"/>
  <c r="CF61" i="13"/>
  <c r="CE61" i="13"/>
  <c r="CD61" i="13"/>
  <c r="CC61" i="13"/>
  <c r="CB61" i="13"/>
  <c r="CA61" i="13"/>
  <c r="BZ61" i="13"/>
  <c r="BY61" i="13"/>
  <c r="BX61" i="13"/>
  <c r="BU61" i="13"/>
  <c r="BT61" i="13"/>
  <c r="BS61" i="13"/>
  <c r="BR61" i="13"/>
  <c r="BQ61" i="13"/>
  <c r="BP61" i="13"/>
  <c r="BO61" i="13"/>
  <c r="BN61" i="13"/>
  <c r="BM61" i="13"/>
  <c r="BL61" i="13"/>
  <c r="BK61" i="13"/>
  <c r="BJ61" i="13"/>
  <c r="BG61" i="13"/>
  <c r="BF61" i="13"/>
  <c r="BE61" i="13"/>
  <c r="BD61" i="13"/>
  <c r="BC61" i="13"/>
  <c r="BB61" i="13"/>
  <c r="BA61" i="13"/>
  <c r="AZ61" i="13"/>
  <c r="AY61" i="13"/>
  <c r="AX61" i="13"/>
  <c r="AW61" i="13"/>
  <c r="AV61" i="13"/>
  <c r="AS61" i="13"/>
  <c r="AR61" i="13"/>
  <c r="AQ61" i="13"/>
  <c r="AP61" i="13"/>
  <c r="AO61" i="13"/>
  <c r="AN61" i="13"/>
  <c r="AM61" i="13"/>
  <c r="AL61" i="13"/>
  <c r="AK61" i="13"/>
  <c r="AJ61" i="13"/>
  <c r="AI61" i="13"/>
  <c r="AH61" i="13"/>
  <c r="AE61" i="13"/>
  <c r="AD61" i="13"/>
  <c r="AC61" i="13"/>
  <c r="AB61" i="13"/>
  <c r="AA61" i="13"/>
  <c r="Z61" i="13"/>
  <c r="Y61" i="13"/>
  <c r="X61" i="13"/>
  <c r="W61" i="13"/>
  <c r="V61" i="13"/>
  <c r="U61" i="13"/>
  <c r="T61" i="13"/>
  <c r="Q61" i="13"/>
  <c r="R61" i="13" s="1"/>
  <c r="CI60" i="13"/>
  <c r="CH60" i="13"/>
  <c r="CG60" i="13"/>
  <c r="CF60" i="13"/>
  <c r="CE60" i="13"/>
  <c r="CD60" i="13"/>
  <c r="CC60" i="13"/>
  <c r="CB60" i="13"/>
  <c r="CA60" i="13"/>
  <c r="BZ60" i="13"/>
  <c r="BY60" i="13"/>
  <c r="BX60" i="13"/>
  <c r="BU60" i="13"/>
  <c r="BT60" i="13"/>
  <c r="BS60" i="13"/>
  <c r="BR60" i="13"/>
  <c r="BQ60" i="13"/>
  <c r="BP60" i="13"/>
  <c r="BO60" i="13"/>
  <c r="BN60" i="13"/>
  <c r="BM60" i="13"/>
  <c r="BL60" i="13"/>
  <c r="BK60" i="13"/>
  <c r="BJ60" i="13"/>
  <c r="BG60" i="13"/>
  <c r="BF60" i="13"/>
  <c r="BE60" i="13"/>
  <c r="BD60" i="13"/>
  <c r="BC60" i="13"/>
  <c r="BB60" i="13"/>
  <c r="BA60" i="13"/>
  <c r="AZ60" i="13"/>
  <c r="AY60" i="13"/>
  <c r="AX60" i="13"/>
  <c r="AW60" i="13"/>
  <c r="AV60" i="13"/>
  <c r="AS60" i="13"/>
  <c r="AR60" i="13"/>
  <c r="AQ60" i="13"/>
  <c r="AP60" i="13"/>
  <c r="AO60" i="13"/>
  <c r="AN60" i="13"/>
  <c r="AM60" i="13"/>
  <c r="AL60" i="13"/>
  <c r="AK60" i="13"/>
  <c r="AJ60" i="13"/>
  <c r="AI60" i="13"/>
  <c r="AH60" i="13"/>
  <c r="AE60" i="13"/>
  <c r="AD60" i="13"/>
  <c r="AC60" i="13"/>
  <c r="AB60" i="13"/>
  <c r="AA60" i="13"/>
  <c r="Z60" i="13"/>
  <c r="Y60" i="13"/>
  <c r="X60" i="13"/>
  <c r="W60" i="13"/>
  <c r="V60" i="13"/>
  <c r="U60" i="13"/>
  <c r="T60" i="13"/>
  <c r="Q60" i="13"/>
  <c r="CK55" i="13"/>
  <c r="BW55" i="13"/>
  <c r="BI55" i="13"/>
  <c r="AU55" i="13"/>
  <c r="AG55" i="13"/>
  <c r="P55" i="13"/>
  <c r="O55" i="13"/>
  <c r="N55" i="13"/>
  <c r="M55" i="13"/>
  <c r="L55" i="13"/>
  <c r="K55" i="13"/>
  <c r="J55" i="13"/>
  <c r="I55" i="13"/>
  <c r="H55" i="13"/>
  <c r="G55" i="13"/>
  <c r="F55" i="13"/>
  <c r="E55" i="13"/>
  <c r="CI54" i="13"/>
  <c r="CH54" i="13"/>
  <c r="CG54" i="13"/>
  <c r="CF54" i="13"/>
  <c r="CE54" i="13"/>
  <c r="CD54" i="13"/>
  <c r="CC54" i="13"/>
  <c r="CB54" i="13"/>
  <c r="CA54" i="13"/>
  <c r="BZ54" i="13"/>
  <c r="BY54" i="13"/>
  <c r="BX54" i="13"/>
  <c r="BU54" i="13"/>
  <c r="BT54" i="13"/>
  <c r="BS54" i="13"/>
  <c r="BR54" i="13"/>
  <c r="BQ54" i="13"/>
  <c r="BP54" i="13"/>
  <c r="BO54" i="13"/>
  <c r="BN54" i="13"/>
  <c r="BM54" i="13"/>
  <c r="BL54" i="13"/>
  <c r="BK54" i="13"/>
  <c r="BJ54" i="13"/>
  <c r="BG54" i="13"/>
  <c r="BF54" i="13"/>
  <c r="BE54" i="13"/>
  <c r="BD54" i="13"/>
  <c r="BC54" i="13"/>
  <c r="BB54" i="13"/>
  <c r="BA54" i="13"/>
  <c r="AZ54" i="13"/>
  <c r="AY54" i="13"/>
  <c r="AX54" i="13"/>
  <c r="AW54" i="13"/>
  <c r="AV54" i="13"/>
  <c r="AS54" i="13"/>
  <c r="AR54" i="13"/>
  <c r="AQ54" i="13"/>
  <c r="AP54" i="13"/>
  <c r="AO54" i="13"/>
  <c r="AN54" i="13"/>
  <c r="AM54" i="13"/>
  <c r="AL54" i="13"/>
  <c r="AK54" i="13"/>
  <c r="AJ54" i="13"/>
  <c r="AI54" i="13"/>
  <c r="AH54" i="13"/>
  <c r="AE54" i="13"/>
  <c r="AD54" i="13"/>
  <c r="AC54" i="13"/>
  <c r="AB54" i="13"/>
  <c r="AA54" i="13"/>
  <c r="Z54" i="13"/>
  <c r="Y54" i="13"/>
  <c r="X54" i="13"/>
  <c r="W54" i="13"/>
  <c r="V54" i="13"/>
  <c r="U54" i="13"/>
  <c r="T54" i="13"/>
  <c r="Q54" i="13"/>
  <c r="R54" i="13" s="1"/>
  <c r="CI53" i="13"/>
  <c r="CH53" i="13"/>
  <c r="CG53" i="13"/>
  <c r="CF53" i="13"/>
  <c r="CE53" i="13"/>
  <c r="CD53" i="13"/>
  <c r="CC53" i="13"/>
  <c r="CB53" i="13"/>
  <c r="CA53" i="13"/>
  <c r="BZ53" i="13"/>
  <c r="BY53" i="13"/>
  <c r="BX53" i="13"/>
  <c r="BU53" i="13"/>
  <c r="BT53" i="13"/>
  <c r="BS53" i="13"/>
  <c r="BR53" i="13"/>
  <c r="BQ53" i="13"/>
  <c r="BP53" i="13"/>
  <c r="BO53" i="13"/>
  <c r="BN53" i="13"/>
  <c r="BM53" i="13"/>
  <c r="BL53" i="13"/>
  <c r="BK53" i="13"/>
  <c r="BJ53" i="13"/>
  <c r="BG53" i="13"/>
  <c r="BF53" i="13"/>
  <c r="BE53" i="13"/>
  <c r="BD53" i="13"/>
  <c r="BC53" i="13"/>
  <c r="BB53" i="13"/>
  <c r="BA53" i="13"/>
  <c r="AZ53" i="13"/>
  <c r="AY53" i="13"/>
  <c r="AX53" i="13"/>
  <c r="AW53" i="13"/>
  <c r="AV53" i="13"/>
  <c r="AS53" i="13"/>
  <c r="AR53" i="13"/>
  <c r="AQ53" i="13"/>
  <c r="AP53" i="13"/>
  <c r="AO53" i="13"/>
  <c r="AN53" i="13"/>
  <c r="AM53" i="13"/>
  <c r="AL53" i="13"/>
  <c r="AK53" i="13"/>
  <c r="AJ53" i="13"/>
  <c r="AI53" i="13"/>
  <c r="AH53" i="13"/>
  <c r="AE53" i="13"/>
  <c r="AD53" i="13"/>
  <c r="AC53" i="13"/>
  <c r="AB53" i="13"/>
  <c r="AA53" i="13"/>
  <c r="Z53" i="13"/>
  <c r="Y53" i="13"/>
  <c r="X53" i="13"/>
  <c r="W53" i="13"/>
  <c r="V53" i="13"/>
  <c r="U53" i="13"/>
  <c r="T53" i="13"/>
  <c r="Q53" i="13"/>
  <c r="R53" i="13" s="1"/>
  <c r="CI52" i="13"/>
  <c r="CH52" i="13"/>
  <c r="CG52" i="13"/>
  <c r="CF52" i="13"/>
  <c r="CE52" i="13"/>
  <c r="CD52" i="13"/>
  <c r="CC52" i="13"/>
  <c r="CB52" i="13"/>
  <c r="CA52" i="13"/>
  <c r="BZ52" i="13"/>
  <c r="BY52" i="13"/>
  <c r="BX52" i="13"/>
  <c r="BU52" i="13"/>
  <c r="BT52" i="13"/>
  <c r="BS52" i="13"/>
  <c r="BR52" i="13"/>
  <c r="BQ52" i="13"/>
  <c r="BP52" i="13"/>
  <c r="BO52" i="13"/>
  <c r="BN52" i="13"/>
  <c r="BM52" i="13"/>
  <c r="BL52" i="13"/>
  <c r="BK52" i="13"/>
  <c r="BJ52" i="13"/>
  <c r="BG52" i="13"/>
  <c r="BF52" i="13"/>
  <c r="BE52" i="13"/>
  <c r="BD52" i="13"/>
  <c r="BC52" i="13"/>
  <c r="BB52" i="13"/>
  <c r="BA52" i="13"/>
  <c r="AZ52" i="13"/>
  <c r="AY52" i="13"/>
  <c r="AX52" i="13"/>
  <c r="AW52" i="13"/>
  <c r="AV52" i="13"/>
  <c r="AS52" i="13"/>
  <c r="AR52" i="13"/>
  <c r="AQ52" i="13"/>
  <c r="AP52" i="13"/>
  <c r="AO52" i="13"/>
  <c r="AN52" i="13"/>
  <c r="AM52" i="13"/>
  <c r="AL52" i="13"/>
  <c r="AK52" i="13"/>
  <c r="AJ52" i="13"/>
  <c r="AI52" i="13"/>
  <c r="AH52" i="13"/>
  <c r="AE52" i="13"/>
  <c r="AD52" i="13"/>
  <c r="AC52" i="13"/>
  <c r="AB52" i="13"/>
  <c r="AA52" i="13"/>
  <c r="Z52" i="13"/>
  <c r="Y52" i="13"/>
  <c r="X52" i="13"/>
  <c r="W52" i="13"/>
  <c r="V52" i="13"/>
  <c r="U52" i="13"/>
  <c r="T52" i="13"/>
  <c r="Q52" i="13"/>
  <c r="R52" i="13" s="1"/>
  <c r="CI51" i="13"/>
  <c r="CH51" i="13"/>
  <c r="CG51" i="13"/>
  <c r="CF51" i="13"/>
  <c r="CE51" i="13"/>
  <c r="CD51" i="13"/>
  <c r="CC51" i="13"/>
  <c r="CB51" i="13"/>
  <c r="CA51" i="13"/>
  <c r="BZ51" i="13"/>
  <c r="BY51" i="13"/>
  <c r="BX51" i="13"/>
  <c r="BU51" i="13"/>
  <c r="BT51" i="13"/>
  <c r="BS51" i="13"/>
  <c r="BR51" i="13"/>
  <c r="BQ51" i="13"/>
  <c r="BP51" i="13"/>
  <c r="BO51" i="13"/>
  <c r="BN51" i="13"/>
  <c r="BM51" i="13"/>
  <c r="BL51" i="13"/>
  <c r="BK51" i="13"/>
  <c r="BJ51" i="13"/>
  <c r="BG51" i="13"/>
  <c r="BF51" i="13"/>
  <c r="BE51" i="13"/>
  <c r="BD51" i="13"/>
  <c r="BC51" i="13"/>
  <c r="BB51" i="13"/>
  <c r="BA51" i="13"/>
  <c r="AZ51" i="13"/>
  <c r="AY51" i="13"/>
  <c r="AX51" i="13"/>
  <c r="AW51" i="13"/>
  <c r="AV51" i="13"/>
  <c r="AS51" i="13"/>
  <c r="AR51" i="13"/>
  <c r="AQ51" i="13"/>
  <c r="AP51" i="13"/>
  <c r="AO51" i="13"/>
  <c r="AN51" i="13"/>
  <c r="AM51" i="13"/>
  <c r="AL51" i="13"/>
  <c r="AK51" i="13"/>
  <c r="AJ51" i="13"/>
  <c r="AI51" i="13"/>
  <c r="AH51" i="13"/>
  <c r="AE51" i="13"/>
  <c r="AD51" i="13"/>
  <c r="AC51" i="13"/>
  <c r="AB51" i="13"/>
  <c r="AA51" i="13"/>
  <c r="Z51" i="13"/>
  <c r="Y51" i="13"/>
  <c r="X51" i="13"/>
  <c r="W51" i="13"/>
  <c r="V51" i="13"/>
  <c r="U51" i="13"/>
  <c r="T51" i="13"/>
  <c r="Q51" i="13"/>
  <c r="R51" i="13" s="1"/>
  <c r="CI50" i="13"/>
  <c r="CH50" i="13"/>
  <c r="CG50" i="13"/>
  <c r="CF50" i="13"/>
  <c r="CE50" i="13"/>
  <c r="CD50" i="13"/>
  <c r="CC50" i="13"/>
  <c r="CB50" i="13"/>
  <c r="CA50" i="13"/>
  <c r="BZ50" i="13"/>
  <c r="BY50" i="13"/>
  <c r="BX50" i="13"/>
  <c r="BU50" i="13"/>
  <c r="BT50" i="13"/>
  <c r="BS50" i="13"/>
  <c r="BR50" i="13"/>
  <c r="BQ50" i="13"/>
  <c r="BP50" i="13"/>
  <c r="BO50" i="13"/>
  <c r="BN50" i="13"/>
  <c r="BM50" i="13"/>
  <c r="BL50" i="13"/>
  <c r="BK50" i="13"/>
  <c r="BJ50" i="13"/>
  <c r="BG50" i="13"/>
  <c r="BF50" i="13"/>
  <c r="BE50" i="13"/>
  <c r="BD50" i="13"/>
  <c r="BC50" i="13"/>
  <c r="BB50" i="13"/>
  <c r="BA50" i="13"/>
  <c r="AZ50" i="13"/>
  <c r="AY50" i="13"/>
  <c r="AX50" i="13"/>
  <c r="AW50" i="13"/>
  <c r="AV50" i="13"/>
  <c r="AS50" i="13"/>
  <c r="AR50" i="13"/>
  <c r="AQ50" i="13"/>
  <c r="AP50" i="13"/>
  <c r="AO50" i="13"/>
  <c r="AN50" i="13"/>
  <c r="AM50" i="13"/>
  <c r="AL50" i="13"/>
  <c r="AK50" i="13"/>
  <c r="AJ50" i="13"/>
  <c r="AI50" i="13"/>
  <c r="AH50" i="13"/>
  <c r="AE50" i="13"/>
  <c r="AD50" i="13"/>
  <c r="AC50" i="13"/>
  <c r="AB50" i="13"/>
  <c r="AA50" i="13"/>
  <c r="Z50" i="13"/>
  <c r="Y50" i="13"/>
  <c r="X50" i="13"/>
  <c r="W50" i="13"/>
  <c r="V50" i="13"/>
  <c r="U50" i="13"/>
  <c r="T50" i="13"/>
  <c r="Q50" i="13"/>
  <c r="R50" i="13" s="1"/>
  <c r="CI49" i="13"/>
  <c r="CH49" i="13"/>
  <c r="CG49" i="13"/>
  <c r="CF49" i="13"/>
  <c r="CE49" i="13"/>
  <c r="CD49" i="13"/>
  <c r="CC49" i="13"/>
  <c r="CB49" i="13"/>
  <c r="CA49" i="13"/>
  <c r="BZ49" i="13"/>
  <c r="BY49" i="13"/>
  <c r="BX49" i="13"/>
  <c r="BU49" i="13"/>
  <c r="BT49" i="13"/>
  <c r="BS49" i="13"/>
  <c r="BR49" i="13"/>
  <c r="BQ49" i="13"/>
  <c r="BP49" i="13"/>
  <c r="BO49" i="13"/>
  <c r="BN49" i="13"/>
  <c r="BM49" i="13"/>
  <c r="BL49" i="13"/>
  <c r="BK49" i="13"/>
  <c r="BJ49" i="13"/>
  <c r="BG49" i="13"/>
  <c r="BF49" i="13"/>
  <c r="BE49" i="13"/>
  <c r="BD49" i="13"/>
  <c r="BC49" i="13"/>
  <c r="BB49" i="13"/>
  <c r="BA49" i="13"/>
  <c r="AZ49" i="13"/>
  <c r="AY49" i="13"/>
  <c r="AX49" i="13"/>
  <c r="AW49" i="13"/>
  <c r="AV49" i="13"/>
  <c r="AS49" i="13"/>
  <c r="AR49" i="13"/>
  <c r="AQ49" i="13"/>
  <c r="AP49" i="13"/>
  <c r="AO49" i="13"/>
  <c r="AN49" i="13"/>
  <c r="AM49" i="13"/>
  <c r="AL49" i="13"/>
  <c r="AK49" i="13"/>
  <c r="AJ49" i="13"/>
  <c r="AI49" i="13"/>
  <c r="AH49" i="13"/>
  <c r="AE49" i="13"/>
  <c r="AD49" i="13"/>
  <c r="AC49" i="13"/>
  <c r="AB49" i="13"/>
  <c r="AA49" i="13"/>
  <c r="Z49" i="13"/>
  <c r="Y49" i="13"/>
  <c r="X49" i="13"/>
  <c r="W49" i="13"/>
  <c r="V49" i="13"/>
  <c r="U49" i="13"/>
  <c r="T49" i="13"/>
  <c r="Q49" i="13"/>
  <c r="R49" i="13" s="1"/>
  <c r="CI48" i="13"/>
  <c r="CH48" i="13"/>
  <c r="CG48" i="13"/>
  <c r="CF48" i="13"/>
  <c r="CE48" i="13"/>
  <c r="CD48" i="13"/>
  <c r="CC48" i="13"/>
  <c r="CB48" i="13"/>
  <c r="CA48" i="13"/>
  <c r="BZ48" i="13"/>
  <c r="BY48" i="13"/>
  <c r="BX48" i="13"/>
  <c r="BU48" i="13"/>
  <c r="BT48" i="13"/>
  <c r="BS48" i="13"/>
  <c r="BR48" i="13"/>
  <c r="BQ48" i="13"/>
  <c r="BP48" i="13"/>
  <c r="BO48" i="13"/>
  <c r="BN48" i="13"/>
  <c r="BM48" i="13"/>
  <c r="BL48" i="13"/>
  <c r="BK48" i="13"/>
  <c r="BJ48" i="13"/>
  <c r="BG48" i="13"/>
  <c r="BF48" i="13"/>
  <c r="BE48" i="13"/>
  <c r="BD48" i="13"/>
  <c r="BC48" i="13"/>
  <c r="BB48" i="13"/>
  <c r="BA48" i="13"/>
  <c r="AZ48" i="13"/>
  <c r="AY48" i="13"/>
  <c r="AX48" i="13"/>
  <c r="AW48" i="13"/>
  <c r="AV48" i="13"/>
  <c r="AS48" i="13"/>
  <c r="AR48" i="13"/>
  <c r="AQ48" i="13"/>
  <c r="AP48" i="13"/>
  <c r="AO48" i="13"/>
  <c r="AN48" i="13"/>
  <c r="AM48" i="13"/>
  <c r="AL48" i="13"/>
  <c r="AK48" i="13"/>
  <c r="AJ48" i="13"/>
  <c r="AI48" i="13"/>
  <c r="AH48" i="13"/>
  <c r="AE48" i="13"/>
  <c r="AD48" i="13"/>
  <c r="AC48" i="13"/>
  <c r="AB48" i="13"/>
  <c r="AA48" i="13"/>
  <c r="Z48" i="13"/>
  <c r="Y48" i="13"/>
  <c r="X48" i="13"/>
  <c r="W48" i="13"/>
  <c r="V48" i="13"/>
  <c r="U48" i="13"/>
  <c r="T48" i="13"/>
  <c r="Q48" i="13"/>
  <c r="R48" i="13" s="1"/>
  <c r="CI47" i="13"/>
  <c r="CH47" i="13"/>
  <c r="CG47" i="13"/>
  <c r="CF47" i="13"/>
  <c r="CE47" i="13"/>
  <c r="CD47" i="13"/>
  <c r="CC47" i="13"/>
  <c r="CB47" i="13"/>
  <c r="CA47" i="13"/>
  <c r="BZ47" i="13"/>
  <c r="BY47" i="13"/>
  <c r="BX47" i="13"/>
  <c r="BU47" i="13"/>
  <c r="BT47" i="13"/>
  <c r="BS47" i="13"/>
  <c r="BR47" i="13"/>
  <c r="BQ47" i="13"/>
  <c r="BP47" i="13"/>
  <c r="BO47" i="13"/>
  <c r="BN47" i="13"/>
  <c r="BM47" i="13"/>
  <c r="BL47" i="13"/>
  <c r="BK47" i="13"/>
  <c r="BJ47" i="13"/>
  <c r="BG47" i="13"/>
  <c r="BF47" i="13"/>
  <c r="BE47" i="13"/>
  <c r="BD47" i="13"/>
  <c r="BC47" i="13"/>
  <c r="BB47" i="13"/>
  <c r="BA47" i="13"/>
  <c r="AZ47" i="13"/>
  <c r="AY47" i="13"/>
  <c r="AX47" i="13"/>
  <c r="AW47" i="13"/>
  <c r="AV47" i="13"/>
  <c r="AS47" i="13"/>
  <c r="AR47" i="13"/>
  <c r="AQ47" i="13"/>
  <c r="AP47" i="13"/>
  <c r="AO47" i="13"/>
  <c r="AN47" i="13"/>
  <c r="AM47" i="13"/>
  <c r="AL47" i="13"/>
  <c r="AK47" i="13"/>
  <c r="AJ47" i="13"/>
  <c r="AI47" i="13"/>
  <c r="AH47" i="13"/>
  <c r="AE47" i="13"/>
  <c r="AD47" i="13"/>
  <c r="AC47" i="13"/>
  <c r="AB47" i="13"/>
  <c r="AA47" i="13"/>
  <c r="Z47" i="13"/>
  <c r="Y47" i="13"/>
  <c r="X47" i="13"/>
  <c r="W47" i="13"/>
  <c r="V47" i="13"/>
  <c r="U47" i="13"/>
  <c r="T47" i="13"/>
  <c r="Q47" i="13"/>
  <c r="R47" i="13" s="1"/>
  <c r="CI46" i="13"/>
  <c r="CH46" i="13"/>
  <c r="CG46" i="13"/>
  <c r="CF46" i="13"/>
  <c r="CE46" i="13"/>
  <c r="CD46" i="13"/>
  <c r="CC46" i="13"/>
  <c r="CB46" i="13"/>
  <c r="CA46" i="13"/>
  <c r="BZ46" i="13"/>
  <c r="BY46" i="13"/>
  <c r="BX46" i="13"/>
  <c r="BU46" i="13"/>
  <c r="BT46" i="13"/>
  <c r="BS46" i="13"/>
  <c r="BR46" i="13"/>
  <c r="BQ46" i="13"/>
  <c r="BP46" i="13"/>
  <c r="BO46" i="13"/>
  <c r="BN46" i="13"/>
  <c r="BM46" i="13"/>
  <c r="BL46" i="13"/>
  <c r="BK46" i="13"/>
  <c r="BJ46" i="13"/>
  <c r="BG46" i="13"/>
  <c r="BF46" i="13"/>
  <c r="BE46" i="13"/>
  <c r="BD46" i="13"/>
  <c r="BC46" i="13"/>
  <c r="BB46" i="13"/>
  <c r="BA46" i="13"/>
  <c r="AZ46" i="13"/>
  <c r="AY46" i="13"/>
  <c r="AX46" i="13"/>
  <c r="AW46" i="13"/>
  <c r="AV46" i="13"/>
  <c r="AS46" i="13"/>
  <c r="AR46" i="13"/>
  <c r="AQ46" i="13"/>
  <c r="AP46" i="13"/>
  <c r="AO46" i="13"/>
  <c r="AN46" i="13"/>
  <c r="AM46" i="13"/>
  <c r="AL46" i="13"/>
  <c r="AK46" i="13"/>
  <c r="AJ46" i="13"/>
  <c r="AI46" i="13"/>
  <c r="AH46" i="13"/>
  <c r="AE46" i="13"/>
  <c r="AD46" i="13"/>
  <c r="AC46" i="13"/>
  <c r="AB46" i="13"/>
  <c r="AA46" i="13"/>
  <c r="Z46" i="13"/>
  <c r="Y46" i="13"/>
  <c r="X46" i="13"/>
  <c r="W46" i="13"/>
  <c r="V46" i="13"/>
  <c r="U46" i="13"/>
  <c r="T46" i="13"/>
  <c r="Q46" i="13"/>
  <c r="R46" i="13" s="1"/>
  <c r="CI45" i="13"/>
  <c r="CH45" i="13"/>
  <c r="CG45" i="13"/>
  <c r="CF45" i="13"/>
  <c r="CE45" i="13"/>
  <c r="CD45" i="13"/>
  <c r="CC45" i="13"/>
  <c r="CB45" i="13"/>
  <c r="CA45" i="13"/>
  <c r="BZ45" i="13"/>
  <c r="BY45" i="13"/>
  <c r="BX45" i="13"/>
  <c r="BU45" i="13"/>
  <c r="BT45" i="13"/>
  <c r="BS45" i="13"/>
  <c r="BR45" i="13"/>
  <c r="BQ45" i="13"/>
  <c r="BP45" i="13"/>
  <c r="BO45" i="13"/>
  <c r="BN45" i="13"/>
  <c r="BM45" i="13"/>
  <c r="BL45" i="13"/>
  <c r="BK45" i="13"/>
  <c r="BJ45" i="13"/>
  <c r="BG45" i="13"/>
  <c r="BF45" i="13"/>
  <c r="BE45" i="13"/>
  <c r="BD45" i="13"/>
  <c r="BC45" i="13"/>
  <c r="BB45" i="13"/>
  <c r="BA45" i="13"/>
  <c r="AZ45" i="13"/>
  <c r="AY45" i="13"/>
  <c r="AX45" i="13"/>
  <c r="AW45" i="13"/>
  <c r="AV45" i="13"/>
  <c r="AS45" i="13"/>
  <c r="AR45" i="13"/>
  <c r="AQ45" i="13"/>
  <c r="AP45" i="13"/>
  <c r="AO45" i="13"/>
  <c r="AN45" i="13"/>
  <c r="AM45" i="13"/>
  <c r="AL45" i="13"/>
  <c r="AK45" i="13"/>
  <c r="AJ45" i="13"/>
  <c r="AI45" i="13"/>
  <c r="AH45" i="13"/>
  <c r="AE45" i="13"/>
  <c r="AD45" i="13"/>
  <c r="AC45" i="13"/>
  <c r="AB45" i="13"/>
  <c r="AA45" i="13"/>
  <c r="Z45" i="13"/>
  <c r="Y45" i="13"/>
  <c r="X45" i="13"/>
  <c r="W45" i="13"/>
  <c r="V45" i="13"/>
  <c r="U45" i="13"/>
  <c r="T45" i="13"/>
  <c r="Q45" i="13"/>
  <c r="R45" i="13" s="1"/>
  <c r="CI44" i="13"/>
  <c r="CH44" i="13"/>
  <c r="CG44" i="13"/>
  <c r="CF44" i="13"/>
  <c r="CE44" i="13"/>
  <c r="CD44" i="13"/>
  <c r="CC44" i="13"/>
  <c r="CB44" i="13"/>
  <c r="CA44" i="13"/>
  <c r="BZ44" i="13"/>
  <c r="BY44" i="13"/>
  <c r="BX44" i="13"/>
  <c r="BU44" i="13"/>
  <c r="BT44" i="13"/>
  <c r="BS44" i="13"/>
  <c r="BR44" i="13"/>
  <c r="BQ44" i="13"/>
  <c r="BP44" i="13"/>
  <c r="BO44" i="13"/>
  <c r="BN44" i="13"/>
  <c r="BM44" i="13"/>
  <c r="BL44" i="13"/>
  <c r="BK44" i="13"/>
  <c r="BJ44" i="13"/>
  <c r="BG44" i="13"/>
  <c r="BF44" i="13"/>
  <c r="BE44" i="13"/>
  <c r="BD44" i="13"/>
  <c r="BC44" i="13"/>
  <c r="BB44" i="13"/>
  <c r="BA44" i="13"/>
  <c r="AZ44" i="13"/>
  <c r="AY44" i="13"/>
  <c r="AX44" i="13"/>
  <c r="AW44" i="13"/>
  <c r="AV44" i="13"/>
  <c r="AS44" i="13"/>
  <c r="AR44" i="13"/>
  <c r="AQ44" i="13"/>
  <c r="AP44" i="13"/>
  <c r="AO44" i="13"/>
  <c r="AN44" i="13"/>
  <c r="AM44" i="13"/>
  <c r="AL44" i="13"/>
  <c r="AK44" i="13"/>
  <c r="AJ44" i="13"/>
  <c r="AI44" i="13"/>
  <c r="AH44" i="13"/>
  <c r="AE44" i="13"/>
  <c r="AD44" i="13"/>
  <c r="AC44" i="13"/>
  <c r="AB44" i="13"/>
  <c r="AA44" i="13"/>
  <c r="Z44" i="13"/>
  <c r="Y44" i="13"/>
  <c r="X44" i="13"/>
  <c r="W44" i="13"/>
  <c r="V44" i="13"/>
  <c r="U44" i="13"/>
  <c r="T44" i="13"/>
  <c r="Q44" i="13"/>
  <c r="R44" i="13" s="1"/>
  <c r="CI43" i="13"/>
  <c r="CH43" i="13"/>
  <c r="CG43" i="13"/>
  <c r="CF43" i="13"/>
  <c r="CE43" i="13"/>
  <c r="CD43" i="13"/>
  <c r="CC43" i="13"/>
  <c r="CB43" i="13"/>
  <c r="CA43" i="13"/>
  <c r="BZ43" i="13"/>
  <c r="BY43" i="13"/>
  <c r="BX43" i="13"/>
  <c r="BU43" i="13"/>
  <c r="BT43" i="13"/>
  <c r="BS43" i="13"/>
  <c r="BR43" i="13"/>
  <c r="BQ43" i="13"/>
  <c r="BP43" i="13"/>
  <c r="BO43" i="13"/>
  <c r="BN43" i="13"/>
  <c r="BM43" i="13"/>
  <c r="BL43" i="13"/>
  <c r="BK43" i="13"/>
  <c r="BJ43" i="13"/>
  <c r="BG43" i="13"/>
  <c r="BF43" i="13"/>
  <c r="BE43" i="13"/>
  <c r="BD43" i="13"/>
  <c r="BC43" i="13"/>
  <c r="BB43" i="13"/>
  <c r="BA43" i="13"/>
  <c r="AZ43" i="13"/>
  <c r="AY43" i="13"/>
  <c r="AX43" i="13"/>
  <c r="AW43" i="13"/>
  <c r="AV43" i="13"/>
  <c r="AS43" i="13"/>
  <c r="AR43" i="13"/>
  <c r="AQ43" i="13"/>
  <c r="AP43" i="13"/>
  <c r="AO43" i="13"/>
  <c r="AN43" i="13"/>
  <c r="AM43" i="13"/>
  <c r="AL43" i="13"/>
  <c r="AK43" i="13"/>
  <c r="AJ43" i="13"/>
  <c r="AI43" i="13"/>
  <c r="AH43" i="13"/>
  <c r="AE43" i="13"/>
  <c r="AD43" i="13"/>
  <c r="AC43" i="13"/>
  <c r="AB43" i="13"/>
  <c r="AA43" i="13"/>
  <c r="Z43" i="13"/>
  <c r="Y43" i="13"/>
  <c r="X43" i="13"/>
  <c r="W43" i="13"/>
  <c r="V43" i="13"/>
  <c r="U43" i="13"/>
  <c r="T43" i="13"/>
  <c r="Q43" i="13"/>
  <c r="R43" i="13" s="1"/>
  <c r="CI42" i="13"/>
  <c r="CH42" i="13"/>
  <c r="CG42" i="13"/>
  <c r="CF42" i="13"/>
  <c r="CE42" i="13"/>
  <c r="CD42" i="13"/>
  <c r="CC42" i="13"/>
  <c r="CB42" i="13"/>
  <c r="CA42" i="13"/>
  <c r="BZ42" i="13"/>
  <c r="BY42" i="13"/>
  <c r="BX42" i="13"/>
  <c r="BU42" i="13"/>
  <c r="BT42" i="13"/>
  <c r="BS42" i="13"/>
  <c r="BR42" i="13"/>
  <c r="BQ42" i="13"/>
  <c r="BP42" i="13"/>
  <c r="BO42" i="13"/>
  <c r="BN42" i="13"/>
  <c r="BM42" i="13"/>
  <c r="BL42" i="13"/>
  <c r="BK42" i="13"/>
  <c r="BJ42" i="13"/>
  <c r="BG42" i="13"/>
  <c r="BF42" i="13"/>
  <c r="BE42" i="13"/>
  <c r="BD42" i="13"/>
  <c r="BC42" i="13"/>
  <c r="BB42" i="13"/>
  <c r="BA42" i="13"/>
  <c r="AZ42" i="13"/>
  <c r="AY42" i="13"/>
  <c r="AX42" i="13"/>
  <c r="AW42" i="13"/>
  <c r="AV42" i="13"/>
  <c r="AS42" i="13"/>
  <c r="AR42" i="13"/>
  <c r="AQ42" i="13"/>
  <c r="AP42" i="13"/>
  <c r="AO42" i="13"/>
  <c r="AN42" i="13"/>
  <c r="AM42" i="13"/>
  <c r="AL42" i="13"/>
  <c r="AK42" i="13"/>
  <c r="AJ42" i="13"/>
  <c r="AI42" i="13"/>
  <c r="AH42" i="13"/>
  <c r="AE42" i="13"/>
  <c r="AD42" i="13"/>
  <c r="AC42" i="13"/>
  <c r="AB42" i="13"/>
  <c r="AA42" i="13"/>
  <c r="Z42" i="13"/>
  <c r="Y42" i="13"/>
  <c r="X42" i="13"/>
  <c r="W42" i="13"/>
  <c r="V42" i="13"/>
  <c r="U42" i="13"/>
  <c r="T42" i="13"/>
  <c r="Q42" i="13"/>
  <c r="R42" i="13" s="1"/>
  <c r="CI41" i="13"/>
  <c r="CH41" i="13"/>
  <c r="CG41" i="13"/>
  <c r="CF41" i="13"/>
  <c r="CE41" i="13"/>
  <c r="CD41" i="13"/>
  <c r="CC41" i="13"/>
  <c r="CB41" i="13"/>
  <c r="CA41" i="13"/>
  <c r="BZ41" i="13"/>
  <c r="BY41" i="13"/>
  <c r="BX41" i="13"/>
  <c r="BU41" i="13"/>
  <c r="BT41" i="13"/>
  <c r="BS41" i="13"/>
  <c r="BR41" i="13"/>
  <c r="BQ41" i="13"/>
  <c r="BP41" i="13"/>
  <c r="BO41" i="13"/>
  <c r="BN41" i="13"/>
  <c r="BM41" i="13"/>
  <c r="BL41" i="13"/>
  <c r="BK41" i="13"/>
  <c r="BJ41" i="13"/>
  <c r="BG41" i="13"/>
  <c r="BF41" i="13"/>
  <c r="BE41" i="13"/>
  <c r="BD41" i="13"/>
  <c r="BC41" i="13"/>
  <c r="BB41" i="13"/>
  <c r="BA41" i="13"/>
  <c r="AZ41" i="13"/>
  <c r="AY41" i="13"/>
  <c r="AX41" i="13"/>
  <c r="AW41" i="13"/>
  <c r="AV41" i="13"/>
  <c r="AS41" i="13"/>
  <c r="AR41" i="13"/>
  <c r="AQ41" i="13"/>
  <c r="AP41" i="13"/>
  <c r="AO41" i="13"/>
  <c r="AN41" i="13"/>
  <c r="AM41" i="13"/>
  <c r="AL41" i="13"/>
  <c r="AK41" i="13"/>
  <c r="AJ41" i="13"/>
  <c r="AI41" i="13"/>
  <c r="AH41" i="13"/>
  <c r="AE41" i="13"/>
  <c r="AD41" i="13"/>
  <c r="AC41" i="13"/>
  <c r="AB41" i="13"/>
  <c r="AA41" i="13"/>
  <c r="Z41" i="13"/>
  <c r="Y41" i="13"/>
  <c r="X41" i="13"/>
  <c r="W41" i="13"/>
  <c r="V41" i="13"/>
  <c r="U41" i="13"/>
  <c r="T41" i="13"/>
  <c r="Q41" i="13"/>
  <c r="R41" i="13" s="1"/>
  <c r="CI40" i="13"/>
  <c r="CH40" i="13"/>
  <c r="CG40" i="13"/>
  <c r="CF40" i="13"/>
  <c r="CE40" i="13"/>
  <c r="CD40" i="13"/>
  <c r="CC40" i="13"/>
  <c r="CB40" i="13"/>
  <c r="CA40" i="13"/>
  <c r="BZ40" i="13"/>
  <c r="BY40" i="13"/>
  <c r="BX40" i="13"/>
  <c r="BU40" i="13"/>
  <c r="BT40" i="13"/>
  <c r="BS40" i="13"/>
  <c r="BR40" i="13"/>
  <c r="BQ40" i="13"/>
  <c r="BP40" i="13"/>
  <c r="BO40" i="13"/>
  <c r="BN40" i="13"/>
  <c r="BM40" i="13"/>
  <c r="BL40" i="13"/>
  <c r="BK40" i="13"/>
  <c r="BJ40" i="13"/>
  <c r="BG40" i="13"/>
  <c r="BF40" i="13"/>
  <c r="BE40" i="13"/>
  <c r="BD40" i="13"/>
  <c r="BC40" i="13"/>
  <c r="BB40" i="13"/>
  <c r="BA40" i="13"/>
  <c r="AZ40" i="13"/>
  <c r="AY40" i="13"/>
  <c r="AX40" i="13"/>
  <c r="AW40" i="13"/>
  <c r="AV40" i="13"/>
  <c r="AS40" i="13"/>
  <c r="AR40" i="13"/>
  <c r="AQ40" i="13"/>
  <c r="AP40" i="13"/>
  <c r="AO40" i="13"/>
  <c r="AN40" i="13"/>
  <c r="AM40" i="13"/>
  <c r="AL40" i="13"/>
  <c r="AK40" i="13"/>
  <c r="AJ40" i="13"/>
  <c r="AI40" i="13"/>
  <c r="AH40" i="13"/>
  <c r="AE40" i="13"/>
  <c r="AD40" i="13"/>
  <c r="AC40" i="13"/>
  <c r="AB40" i="13"/>
  <c r="AA40" i="13"/>
  <c r="Z40" i="13"/>
  <c r="Y40" i="13"/>
  <c r="X40" i="13"/>
  <c r="W40" i="13"/>
  <c r="V40" i="13"/>
  <c r="U40" i="13"/>
  <c r="T40" i="13"/>
  <c r="Q40" i="13"/>
  <c r="R40" i="13" s="1"/>
  <c r="CI39" i="13"/>
  <c r="CH39" i="13"/>
  <c r="CG39" i="13"/>
  <c r="CF39" i="13"/>
  <c r="CE39" i="13"/>
  <c r="CD39" i="13"/>
  <c r="CC39" i="13"/>
  <c r="CB39" i="13"/>
  <c r="CA39" i="13"/>
  <c r="BZ39" i="13"/>
  <c r="BY39" i="13"/>
  <c r="BX39" i="13"/>
  <c r="BU39" i="13"/>
  <c r="BT39" i="13"/>
  <c r="BS39" i="13"/>
  <c r="BR39" i="13"/>
  <c r="BQ39" i="13"/>
  <c r="BP39" i="13"/>
  <c r="BO39" i="13"/>
  <c r="BN39" i="13"/>
  <c r="BM39" i="13"/>
  <c r="BL39" i="13"/>
  <c r="BK39" i="13"/>
  <c r="BJ39" i="13"/>
  <c r="BG39" i="13"/>
  <c r="BF39" i="13"/>
  <c r="BE39" i="13"/>
  <c r="BD39" i="13"/>
  <c r="BC39" i="13"/>
  <c r="BB39" i="13"/>
  <c r="BA39" i="13"/>
  <c r="AZ39" i="13"/>
  <c r="AY39" i="13"/>
  <c r="AX39" i="13"/>
  <c r="AW39" i="13"/>
  <c r="AV39" i="13"/>
  <c r="AS39" i="13"/>
  <c r="AR39" i="13"/>
  <c r="AQ39" i="13"/>
  <c r="AP39" i="13"/>
  <c r="AO39" i="13"/>
  <c r="AN39" i="13"/>
  <c r="AM39" i="13"/>
  <c r="AL39" i="13"/>
  <c r="AK39" i="13"/>
  <c r="AJ39" i="13"/>
  <c r="AI39" i="13"/>
  <c r="AH39" i="13"/>
  <c r="AE39" i="13"/>
  <c r="AD39" i="13"/>
  <c r="AC39" i="13"/>
  <c r="AB39" i="13"/>
  <c r="AA39" i="13"/>
  <c r="Z39" i="13"/>
  <c r="Y39" i="13"/>
  <c r="X39" i="13"/>
  <c r="W39" i="13"/>
  <c r="V39" i="13"/>
  <c r="U39" i="13"/>
  <c r="T39" i="13"/>
  <c r="Q39" i="13"/>
  <c r="R39" i="13" s="1"/>
  <c r="CI38" i="13"/>
  <c r="CH38" i="13"/>
  <c r="CG38" i="13"/>
  <c r="CF38" i="13"/>
  <c r="CE38" i="13"/>
  <c r="CD38" i="13"/>
  <c r="CC38" i="13"/>
  <c r="CB38" i="13"/>
  <c r="CA38" i="13"/>
  <c r="BZ38" i="13"/>
  <c r="BY38" i="13"/>
  <c r="BX38" i="13"/>
  <c r="BU38" i="13"/>
  <c r="BT38" i="13"/>
  <c r="BS38" i="13"/>
  <c r="BR38" i="13"/>
  <c r="BQ38" i="13"/>
  <c r="BP38" i="13"/>
  <c r="BO38" i="13"/>
  <c r="BN38" i="13"/>
  <c r="BM38" i="13"/>
  <c r="BL38" i="13"/>
  <c r="BK38" i="13"/>
  <c r="BJ38" i="13"/>
  <c r="BG38" i="13"/>
  <c r="BF38" i="13"/>
  <c r="BE38" i="13"/>
  <c r="BD38" i="13"/>
  <c r="BC38" i="13"/>
  <c r="BB38" i="13"/>
  <c r="BA38" i="13"/>
  <c r="AZ38" i="13"/>
  <c r="AY38" i="13"/>
  <c r="AX38" i="13"/>
  <c r="AW38" i="13"/>
  <c r="AV38" i="13"/>
  <c r="AS38" i="13"/>
  <c r="AR38" i="13"/>
  <c r="AQ38" i="13"/>
  <c r="AP38" i="13"/>
  <c r="AO38" i="13"/>
  <c r="AN38" i="13"/>
  <c r="AM38" i="13"/>
  <c r="AL38" i="13"/>
  <c r="AK38" i="13"/>
  <c r="AJ38" i="13"/>
  <c r="AI38" i="13"/>
  <c r="AH38" i="13"/>
  <c r="AE38" i="13"/>
  <c r="AD38" i="13"/>
  <c r="AC38" i="13"/>
  <c r="AB38" i="13"/>
  <c r="AA38" i="13"/>
  <c r="Z38" i="13"/>
  <c r="Y38" i="13"/>
  <c r="X38" i="13"/>
  <c r="W38" i="13"/>
  <c r="V38" i="13"/>
  <c r="U38" i="13"/>
  <c r="T38" i="13"/>
  <c r="Q38" i="13"/>
  <c r="R38" i="13" s="1"/>
  <c r="CI37" i="13"/>
  <c r="CH37" i="13"/>
  <c r="CG37" i="13"/>
  <c r="CF37" i="13"/>
  <c r="CE37" i="13"/>
  <c r="CD37" i="13"/>
  <c r="CC37" i="13"/>
  <c r="CB37" i="13"/>
  <c r="CA37" i="13"/>
  <c r="BZ37" i="13"/>
  <c r="BY37" i="13"/>
  <c r="BX37" i="13"/>
  <c r="BU37" i="13"/>
  <c r="BT37" i="13"/>
  <c r="BS37" i="13"/>
  <c r="BR37" i="13"/>
  <c r="BQ37" i="13"/>
  <c r="BP37" i="13"/>
  <c r="BO37" i="13"/>
  <c r="BN37" i="13"/>
  <c r="BM37" i="13"/>
  <c r="BL37" i="13"/>
  <c r="BK37" i="13"/>
  <c r="BJ37" i="13"/>
  <c r="BG37" i="13"/>
  <c r="BF37" i="13"/>
  <c r="BE37" i="13"/>
  <c r="BD37" i="13"/>
  <c r="BC37" i="13"/>
  <c r="BB37" i="13"/>
  <c r="BA37" i="13"/>
  <c r="AZ37" i="13"/>
  <c r="AY37" i="13"/>
  <c r="AX37" i="13"/>
  <c r="AW37" i="13"/>
  <c r="AV37" i="13"/>
  <c r="AS37" i="13"/>
  <c r="AR37" i="13"/>
  <c r="AQ37" i="13"/>
  <c r="AP37" i="13"/>
  <c r="AO37" i="13"/>
  <c r="AN37" i="13"/>
  <c r="AM37" i="13"/>
  <c r="AL37" i="13"/>
  <c r="AK37" i="13"/>
  <c r="AJ37" i="13"/>
  <c r="AI37" i="13"/>
  <c r="AH37" i="13"/>
  <c r="AE37" i="13"/>
  <c r="AD37" i="13"/>
  <c r="AC37" i="13"/>
  <c r="AB37" i="13"/>
  <c r="AA37" i="13"/>
  <c r="Z37" i="13"/>
  <c r="Y37" i="13"/>
  <c r="X37" i="13"/>
  <c r="W37" i="13"/>
  <c r="V37" i="13"/>
  <c r="U37" i="13"/>
  <c r="T37" i="13"/>
  <c r="Q37" i="13"/>
  <c r="R37" i="13" s="1"/>
  <c r="CI36" i="13"/>
  <c r="CH36" i="13"/>
  <c r="CG36" i="13"/>
  <c r="CF36" i="13"/>
  <c r="CE36" i="13"/>
  <c r="CD36" i="13"/>
  <c r="CC36" i="13"/>
  <c r="CB36" i="13"/>
  <c r="CA36" i="13"/>
  <c r="BZ36" i="13"/>
  <c r="BY36" i="13"/>
  <c r="BX36" i="13"/>
  <c r="BU36" i="13"/>
  <c r="BT36" i="13"/>
  <c r="BS36" i="13"/>
  <c r="BR36" i="13"/>
  <c r="BQ36" i="13"/>
  <c r="BP36" i="13"/>
  <c r="BO36" i="13"/>
  <c r="BN36" i="13"/>
  <c r="BM36" i="13"/>
  <c r="BL36" i="13"/>
  <c r="BK36" i="13"/>
  <c r="BJ36" i="13"/>
  <c r="BG36" i="13"/>
  <c r="BF36" i="13"/>
  <c r="BE36" i="13"/>
  <c r="BD36" i="13"/>
  <c r="BC36" i="13"/>
  <c r="BB36" i="13"/>
  <c r="BA36" i="13"/>
  <c r="AZ36" i="13"/>
  <c r="AY36" i="13"/>
  <c r="AX36" i="13"/>
  <c r="AW36" i="13"/>
  <c r="AV36" i="13"/>
  <c r="AS36" i="13"/>
  <c r="AR36" i="13"/>
  <c r="AQ36" i="13"/>
  <c r="AP36" i="13"/>
  <c r="AO36" i="13"/>
  <c r="AN36" i="13"/>
  <c r="AM36" i="13"/>
  <c r="AL36" i="13"/>
  <c r="AK36" i="13"/>
  <c r="AJ36" i="13"/>
  <c r="AI36" i="13"/>
  <c r="AH36" i="13"/>
  <c r="AE36" i="13"/>
  <c r="AD36" i="13"/>
  <c r="AC36" i="13"/>
  <c r="AB36" i="13"/>
  <c r="AA36" i="13"/>
  <c r="Z36" i="13"/>
  <c r="Y36" i="13"/>
  <c r="X36" i="13"/>
  <c r="W36" i="13"/>
  <c r="V36" i="13"/>
  <c r="U36" i="13"/>
  <c r="T36" i="13"/>
  <c r="Q36" i="13"/>
  <c r="R36" i="13" s="1"/>
  <c r="CI35" i="13"/>
  <c r="CH35" i="13"/>
  <c r="CG35" i="13"/>
  <c r="CF35" i="13"/>
  <c r="CE35" i="13"/>
  <c r="CD35" i="13"/>
  <c r="CC35" i="13"/>
  <c r="CB35" i="13"/>
  <c r="CA35" i="13"/>
  <c r="BZ35" i="13"/>
  <c r="BY35" i="13"/>
  <c r="BX35" i="13"/>
  <c r="BU35" i="13"/>
  <c r="BT35" i="13"/>
  <c r="BS35" i="13"/>
  <c r="BR35" i="13"/>
  <c r="BQ35" i="13"/>
  <c r="BP35" i="13"/>
  <c r="BO35" i="13"/>
  <c r="BN35" i="13"/>
  <c r="BM35" i="13"/>
  <c r="BL35" i="13"/>
  <c r="BK35" i="13"/>
  <c r="BJ35" i="13"/>
  <c r="BG35" i="13"/>
  <c r="BF35" i="13"/>
  <c r="BE35" i="13"/>
  <c r="BD35" i="13"/>
  <c r="BC35" i="13"/>
  <c r="BB35" i="13"/>
  <c r="BA35" i="13"/>
  <c r="AZ35" i="13"/>
  <c r="AY35" i="13"/>
  <c r="AX35" i="13"/>
  <c r="AW35" i="13"/>
  <c r="AV35" i="13"/>
  <c r="AS35" i="13"/>
  <c r="AR35" i="13"/>
  <c r="AQ35" i="13"/>
  <c r="AP35" i="13"/>
  <c r="AO35" i="13"/>
  <c r="AN35" i="13"/>
  <c r="AM35" i="13"/>
  <c r="AL35" i="13"/>
  <c r="AK35" i="13"/>
  <c r="AJ35" i="13"/>
  <c r="AI35" i="13"/>
  <c r="AH35" i="13"/>
  <c r="AE35" i="13"/>
  <c r="AD35" i="13"/>
  <c r="AC35" i="13"/>
  <c r="AB35" i="13"/>
  <c r="AA35" i="13"/>
  <c r="Z35" i="13"/>
  <c r="Y35" i="13"/>
  <c r="X35" i="13"/>
  <c r="W35" i="13"/>
  <c r="V35" i="13"/>
  <c r="U35" i="13"/>
  <c r="T35" i="13"/>
  <c r="Q35" i="13"/>
  <c r="R35" i="13" s="1"/>
  <c r="CI31" i="13"/>
  <c r="CH31" i="13"/>
  <c r="CG31" i="13"/>
  <c r="CF31" i="13"/>
  <c r="CE31" i="13"/>
  <c r="CD31" i="13"/>
  <c r="CC31" i="13"/>
  <c r="CB31" i="13"/>
  <c r="CA31" i="13"/>
  <c r="BZ31" i="13"/>
  <c r="BY31" i="13"/>
  <c r="BX31" i="13"/>
  <c r="BU31" i="13"/>
  <c r="BT31" i="13"/>
  <c r="BS31" i="13"/>
  <c r="BR31" i="13"/>
  <c r="BQ31" i="13"/>
  <c r="BP31" i="13"/>
  <c r="BO31" i="13"/>
  <c r="BN31" i="13"/>
  <c r="BM31" i="13"/>
  <c r="BL31" i="13"/>
  <c r="BK31" i="13"/>
  <c r="BJ31" i="13"/>
  <c r="BG31" i="13"/>
  <c r="BF31" i="13"/>
  <c r="BE31" i="13"/>
  <c r="BD31" i="13"/>
  <c r="BC31" i="13"/>
  <c r="BB31" i="13"/>
  <c r="BA31" i="13"/>
  <c r="AZ31" i="13"/>
  <c r="AY31" i="13"/>
  <c r="AX31" i="13"/>
  <c r="AW31" i="13"/>
  <c r="AV31" i="13"/>
  <c r="AS31" i="13"/>
  <c r="AR31" i="13"/>
  <c r="AQ31" i="13"/>
  <c r="AP31" i="13"/>
  <c r="AO31" i="13"/>
  <c r="AN31" i="13"/>
  <c r="AM31" i="13"/>
  <c r="AL31" i="13"/>
  <c r="AK31" i="13"/>
  <c r="AJ31" i="13"/>
  <c r="AI31" i="13"/>
  <c r="AH31" i="13"/>
  <c r="AE31" i="13"/>
  <c r="AD31" i="13"/>
  <c r="AC31" i="13"/>
  <c r="AB31" i="13"/>
  <c r="AA31" i="13"/>
  <c r="Z31" i="13"/>
  <c r="Y31" i="13"/>
  <c r="X31" i="13"/>
  <c r="W31" i="13"/>
  <c r="V31" i="13"/>
  <c r="U31" i="13"/>
  <c r="T31" i="13"/>
  <c r="Q31" i="13"/>
  <c r="R31" i="13" s="1"/>
  <c r="CI30" i="13"/>
  <c r="CH30" i="13"/>
  <c r="CG30" i="13"/>
  <c r="CF30" i="13"/>
  <c r="CE30" i="13"/>
  <c r="CD30" i="13"/>
  <c r="CC30" i="13"/>
  <c r="CB30" i="13"/>
  <c r="CA30" i="13"/>
  <c r="BZ30" i="13"/>
  <c r="BY30" i="13"/>
  <c r="BX30" i="13"/>
  <c r="BU30" i="13"/>
  <c r="BT30" i="13"/>
  <c r="BS30" i="13"/>
  <c r="BR30" i="13"/>
  <c r="BQ30" i="13"/>
  <c r="BP30" i="13"/>
  <c r="BO30" i="13"/>
  <c r="BN30" i="13"/>
  <c r="BM30" i="13"/>
  <c r="BL30" i="13"/>
  <c r="BK30" i="13"/>
  <c r="BJ30" i="13"/>
  <c r="BG30" i="13"/>
  <c r="BF30" i="13"/>
  <c r="BE30" i="13"/>
  <c r="BD30" i="13"/>
  <c r="BC30" i="13"/>
  <c r="BB30" i="13"/>
  <c r="BA30" i="13"/>
  <c r="AZ30" i="13"/>
  <c r="AY30" i="13"/>
  <c r="AX30" i="13"/>
  <c r="AW30" i="13"/>
  <c r="AV30" i="13"/>
  <c r="AS30" i="13"/>
  <c r="AR30" i="13"/>
  <c r="AQ30" i="13"/>
  <c r="AP30" i="13"/>
  <c r="AO30" i="13"/>
  <c r="AN30" i="13"/>
  <c r="AM30" i="13"/>
  <c r="AL30" i="13"/>
  <c r="AK30" i="13"/>
  <c r="AJ30" i="13"/>
  <c r="AI30" i="13"/>
  <c r="AH30" i="13"/>
  <c r="AE30" i="13"/>
  <c r="AD30" i="13"/>
  <c r="AC30" i="13"/>
  <c r="AB30" i="13"/>
  <c r="AA30" i="13"/>
  <c r="Z30" i="13"/>
  <c r="Y30" i="13"/>
  <c r="X30" i="13"/>
  <c r="W30" i="13"/>
  <c r="V30" i="13"/>
  <c r="U30" i="13"/>
  <c r="T30" i="13"/>
  <c r="Q30" i="13"/>
  <c r="R30" i="13" s="1"/>
  <c r="CI29" i="13"/>
  <c r="CH29" i="13"/>
  <c r="CG29" i="13"/>
  <c r="CF29" i="13"/>
  <c r="CE29" i="13"/>
  <c r="CD29" i="13"/>
  <c r="CC29" i="13"/>
  <c r="CB29" i="13"/>
  <c r="CA29" i="13"/>
  <c r="BZ29" i="13"/>
  <c r="BY29" i="13"/>
  <c r="BX29" i="13"/>
  <c r="BU29" i="13"/>
  <c r="BT29" i="13"/>
  <c r="BS29" i="13"/>
  <c r="BR29" i="13"/>
  <c r="BQ29" i="13"/>
  <c r="BP29" i="13"/>
  <c r="BO29" i="13"/>
  <c r="BN29" i="13"/>
  <c r="BM29" i="13"/>
  <c r="BL29" i="13"/>
  <c r="BK29" i="13"/>
  <c r="BJ29" i="13"/>
  <c r="BG29" i="13"/>
  <c r="BF29" i="13"/>
  <c r="BE29" i="13"/>
  <c r="BD29" i="13"/>
  <c r="BC29" i="13"/>
  <c r="BB29" i="13"/>
  <c r="BA29" i="13"/>
  <c r="AZ29" i="13"/>
  <c r="AY29" i="13"/>
  <c r="AX29" i="13"/>
  <c r="AW29" i="13"/>
  <c r="AV29" i="13"/>
  <c r="AS29" i="13"/>
  <c r="AR29" i="13"/>
  <c r="AQ29" i="13"/>
  <c r="AP29" i="13"/>
  <c r="AO29" i="13"/>
  <c r="AN29" i="13"/>
  <c r="AM29" i="13"/>
  <c r="AL29" i="13"/>
  <c r="AK29" i="13"/>
  <c r="AJ29" i="13"/>
  <c r="AI29" i="13"/>
  <c r="AH29" i="13"/>
  <c r="AE29" i="13"/>
  <c r="AD29" i="13"/>
  <c r="AC29" i="13"/>
  <c r="AB29" i="13"/>
  <c r="AA29" i="13"/>
  <c r="Z29" i="13"/>
  <c r="Y29" i="13"/>
  <c r="X29" i="13"/>
  <c r="W29" i="13"/>
  <c r="V29" i="13"/>
  <c r="U29" i="13"/>
  <c r="T29" i="13"/>
  <c r="Q29" i="13"/>
  <c r="R29" i="13" s="1"/>
  <c r="CI28" i="13"/>
  <c r="CH28" i="13"/>
  <c r="CG28" i="13"/>
  <c r="CF28" i="13"/>
  <c r="CE28" i="13"/>
  <c r="CD28" i="13"/>
  <c r="CC28" i="13"/>
  <c r="CB28" i="13"/>
  <c r="CA28" i="13"/>
  <c r="BZ28" i="13"/>
  <c r="BY28" i="13"/>
  <c r="BX28" i="13"/>
  <c r="BU28" i="13"/>
  <c r="BT28" i="13"/>
  <c r="BS28" i="13"/>
  <c r="BR28" i="13"/>
  <c r="BQ28" i="13"/>
  <c r="BP28" i="13"/>
  <c r="BO28" i="13"/>
  <c r="BN28" i="13"/>
  <c r="BM28" i="13"/>
  <c r="BL28" i="13"/>
  <c r="BK28" i="13"/>
  <c r="BJ28" i="13"/>
  <c r="BG28" i="13"/>
  <c r="BF28" i="13"/>
  <c r="BE28" i="13"/>
  <c r="BD28" i="13"/>
  <c r="BC28" i="13"/>
  <c r="BB28" i="13"/>
  <c r="BA28" i="13"/>
  <c r="AZ28" i="13"/>
  <c r="AY28" i="13"/>
  <c r="AX28" i="13"/>
  <c r="AW28" i="13"/>
  <c r="AV28" i="13"/>
  <c r="AS28" i="13"/>
  <c r="AR28" i="13"/>
  <c r="AQ28" i="13"/>
  <c r="AP28" i="13"/>
  <c r="AO28" i="13"/>
  <c r="AN28" i="13"/>
  <c r="AM28" i="13"/>
  <c r="AL28" i="13"/>
  <c r="AK28" i="13"/>
  <c r="AJ28" i="13"/>
  <c r="AI28" i="13"/>
  <c r="AH28" i="13"/>
  <c r="AE28" i="13"/>
  <c r="AD28" i="13"/>
  <c r="AC28" i="13"/>
  <c r="AB28" i="13"/>
  <c r="AA28" i="13"/>
  <c r="Z28" i="13"/>
  <c r="Y28" i="13"/>
  <c r="X28" i="13"/>
  <c r="W28" i="13"/>
  <c r="V28" i="13"/>
  <c r="U28" i="13"/>
  <c r="T28" i="13"/>
  <c r="Q28" i="13"/>
  <c r="R28" i="13" s="1"/>
  <c r="CI27" i="13"/>
  <c r="CH27" i="13"/>
  <c r="CG27" i="13"/>
  <c r="CF27" i="13"/>
  <c r="CE27" i="13"/>
  <c r="CD27" i="13"/>
  <c r="CC27" i="13"/>
  <c r="CB27" i="13"/>
  <c r="CA27" i="13"/>
  <c r="BZ27" i="13"/>
  <c r="BY27" i="13"/>
  <c r="BX27" i="13"/>
  <c r="BU27" i="13"/>
  <c r="BT27" i="13"/>
  <c r="BS27" i="13"/>
  <c r="BR27" i="13"/>
  <c r="BQ27" i="13"/>
  <c r="BP27" i="13"/>
  <c r="BO27" i="13"/>
  <c r="BN27" i="13"/>
  <c r="BM27" i="13"/>
  <c r="BL27" i="13"/>
  <c r="BK27" i="13"/>
  <c r="BJ27" i="13"/>
  <c r="BG27" i="13"/>
  <c r="BF27" i="13"/>
  <c r="BE27" i="13"/>
  <c r="BD27" i="13"/>
  <c r="BC27" i="13"/>
  <c r="BB27" i="13"/>
  <c r="BA27" i="13"/>
  <c r="AZ27" i="13"/>
  <c r="AY27" i="13"/>
  <c r="AX27" i="13"/>
  <c r="AW27" i="13"/>
  <c r="AV27" i="13"/>
  <c r="AS27" i="13"/>
  <c r="AR27" i="13"/>
  <c r="AQ27" i="13"/>
  <c r="AP27" i="13"/>
  <c r="AO27" i="13"/>
  <c r="AN27" i="13"/>
  <c r="AM27" i="13"/>
  <c r="AL27" i="13"/>
  <c r="AK27" i="13"/>
  <c r="AJ27" i="13"/>
  <c r="AI27" i="13"/>
  <c r="AH27" i="13"/>
  <c r="AE27" i="13"/>
  <c r="AD27" i="13"/>
  <c r="AC27" i="13"/>
  <c r="AB27" i="13"/>
  <c r="AA27" i="13"/>
  <c r="Z27" i="13"/>
  <c r="Y27" i="13"/>
  <c r="X27" i="13"/>
  <c r="W27" i="13"/>
  <c r="V27" i="13"/>
  <c r="U27" i="13"/>
  <c r="T27" i="13"/>
  <c r="Q27" i="13"/>
  <c r="R27" i="13" s="1"/>
  <c r="CI26" i="13"/>
  <c r="CH26" i="13"/>
  <c r="CG26" i="13"/>
  <c r="CF26" i="13"/>
  <c r="CE26" i="13"/>
  <c r="CD26" i="13"/>
  <c r="CC26" i="13"/>
  <c r="CB26" i="13"/>
  <c r="CA26" i="13"/>
  <c r="BZ26" i="13"/>
  <c r="BY26" i="13"/>
  <c r="BX26" i="13"/>
  <c r="BU26" i="13"/>
  <c r="BT26" i="13"/>
  <c r="BS26" i="13"/>
  <c r="BR26" i="13"/>
  <c r="BQ26" i="13"/>
  <c r="BP26" i="13"/>
  <c r="BO26" i="13"/>
  <c r="BN26" i="13"/>
  <c r="BM26" i="13"/>
  <c r="BL26" i="13"/>
  <c r="BK26" i="13"/>
  <c r="BJ26" i="13"/>
  <c r="BG26" i="13"/>
  <c r="BF26" i="13"/>
  <c r="BE26" i="13"/>
  <c r="BD26" i="13"/>
  <c r="BC26" i="13"/>
  <c r="BB26" i="13"/>
  <c r="BA26" i="13"/>
  <c r="AZ26" i="13"/>
  <c r="AY26" i="13"/>
  <c r="AX26" i="13"/>
  <c r="AW26" i="13"/>
  <c r="AV26" i="13"/>
  <c r="AS26" i="13"/>
  <c r="AR26" i="13"/>
  <c r="AQ26" i="13"/>
  <c r="AP26" i="13"/>
  <c r="AO26" i="13"/>
  <c r="AN26" i="13"/>
  <c r="AM26" i="13"/>
  <c r="AL26" i="13"/>
  <c r="AK26" i="13"/>
  <c r="AJ26" i="13"/>
  <c r="AI26" i="13"/>
  <c r="AH26" i="13"/>
  <c r="AE26" i="13"/>
  <c r="AD26" i="13"/>
  <c r="AC26" i="13"/>
  <c r="AB26" i="13"/>
  <c r="AA26" i="13"/>
  <c r="Z26" i="13"/>
  <c r="Y26" i="13"/>
  <c r="X26" i="13"/>
  <c r="W26" i="13"/>
  <c r="V26" i="13"/>
  <c r="U26" i="13"/>
  <c r="T26" i="13"/>
  <c r="Q26" i="13"/>
  <c r="R26" i="13" s="1"/>
  <c r="CI25" i="13"/>
  <c r="CH25" i="13"/>
  <c r="CG25" i="13"/>
  <c r="CF25" i="13"/>
  <c r="CE25" i="13"/>
  <c r="CD25" i="13"/>
  <c r="CC25" i="13"/>
  <c r="CB25" i="13"/>
  <c r="CA25" i="13"/>
  <c r="BZ25" i="13"/>
  <c r="BY25" i="13"/>
  <c r="BX25" i="13"/>
  <c r="BU25" i="13"/>
  <c r="BT25" i="13"/>
  <c r="BS25" i="13"/>
  <c r="BR25" i="13"/>
  <c r="BQ25" i="13"/>
  <c r="BP25" i="13"/>
  <c r="BO25" i="13"/>
  <c r="BN25" i="13"/>
  <c r="BM25" i="13"/>
  <c r="BL25" i="13"/>
  <c r="BK25" i="13"/>
  <c r="BJ25" i="13"/>
  <c r="BG25" i="13"/>
  <c r="BF25" i="13"/>
  <c r="BE25" i="13"/>
  <c r="BD25" i="13"/>
  <c r="BC25" i="13"/>
  <c r="BB25" i="13"/>
  <c r="BA25" i="13"/>
  <c r="AZ25" i="13"/>
  <c r="AY25" i="13"/>
  <c r="AX25" i="13"/>
  <c r="AW25" i="13"/>
  <c r="AV25" i="13"/>
  <c r="AS25" i="13"/>
  <c r="AR25" i="13"/>
  <c r="AQ25" i="13"/>
  <c r="AP25" i="13"/>
  <c r="AO25" i="13"/>
  <c r="AN25" i="13"/>
  <c r="AM25" i="13"/>
  <c r="AL25" i="13"/>
  <c r="AK25" i="13"/>
  <c r="AJ25" i="13"/>
  <c r="AI25" i="13"/>
  <c r="AH25" i="13"/>
  <c r="AE25" i="13"/>
  <c r="AD25" i="13"/>
  <c r="AC25" i="13"/>
  <c r="AB25" i="13"/>
  <c r="AA25" i="13"/>
  <c r="Z25" i="13"/>
  <c r="Y25" i="13"/>
  <c r="X25" i="13"/>
  <c r="W25" i="13"/>
  <c r="V25" i="13"/>
  <c r="U25" i="13"/>
  <c r="T25" i="13"/>
  <c r="Q25" i="13"/>
  <c r="R25" i="13" s="1"/>
  <c r="CI24" i="13"/>
  <c r="CH24" i="13"/>
  <c r="CG24" i="13"/>
  <c r="CF24" i="13"/>
  <c r="CE24" i="13"/>
  <c r="CD24" i="13"/>
  <c r="CC24" i="13"/>
  <c r="CB24" i="13"/>
  <c r="CA24" i="13"/>
  <c r="BZ24" i="13"/>
  <c r="BY24" i="13"/>
  <c r="BX24" i="13"/>
  <c r="BU24" i="13"/>
  <c r="BT24" i="13"/>
  <c r="BS24" i="13"/>
  <c r="BR24" i="13"/>
  <c r="BQ24" i="13"/>
  <c r="BP24" i="13"/>
  <c r="BO24" i="13"/>
  <c r="BN24" i="13"/>
  <c r="BM24" i="13"/>
  <c r="BL24" i="13"/>
  <c r="BK24" i="13"/>
  <c r="BJ24" i="13"/>
  <c r="BG24" i="13"/>
  <c r="BF24" i="13"/>
  <c r="BE24" i="13"/>
  <c r="BD24" i="13"/>
  <c r="BC24" i="13"/>
  <c r="BB24" i="13"/>
  <c r="BA24" i="13"/>
  <c r="AZ24" i="13"/>
  <c r="AY24" i="13"/>
  <c r="AX24" i="13"/>
  <c r="AW24" i="13"/>
  <c r="AV24" i="13"/>
  <c r="AS24" i="13"/>
  <c r="AR24" i="13"/>
  <c r="AQ24" i="13"/>
  <c r="AP24" i="13"/>
  <c r="AO24" i="13"/>
  <c r="AN24" i="13"/>
  <c r="AM24" i="13"/>
  <c r="AL24" i="13"/>
  <c r="AK24" i="13"/>
  <c r="AJ24" i="13"/>
  <c r="AI24" i="13"/>
  <c r="AH24" i="13"/>
  <c r="AE24" i="13"/>
  <c r="AD24" i="13"/>
  <c r="AC24" i="13"/>
  <c r="AB24" i="13"/>
  <c r="AA24" i="13"/>
  <c r="Z24" i="13"/>
  <c r="Y24" i="13"/>
  <c r="X24" i="13"/>
  <c r="W24" i="13"/>
  <c r="V24" i="13"/>
  <c r="U24" i="13"/>
  <c r="T24" i="13"/>
  <c r="Q24" i="13"/>
  <c r="R24" i="13" s="1"/>
  <c r="CI23" i="13"/>
  <c r="CH23" i="13"/>
  <c r="CG23" i="13"/>
  <c r="CF23" i="13"/>
  <c r="CE23" i="13"/>
  <c r="CD23" i="13"/>
  <c r="CC23" i="13"/>
  <c r="CB23" i="13"/>
  <c r="CA23" i="13"/>
  <c r="BZ23" i="13"/>
  <c r="BY23" i="13"/>
  <c r="BX23" i="13"/>
  <c r="BU23" i="13"/>
  <c r="BT23" i="13"/>
  <c r="BS23" i="13"/>
  <c r="BR23" i="13"/>
  <c r="BQ23" i="13"/>
  <c r="BP23" i="13"/>
  <c r="BO23" i="13"/>
  <c r="BN23" i="13"/>
  <c r="BM23" i="13"/>
  <c r="BL23" i="13"/>
  <c r="BK23" i="13"/>
  <c r="BJ23" i="13"/>
  <c r="BG23" i="13"/>
  <c r="BF23" i="13"/>
  <c r="BE23" i="13"/>
  <c r="BD23" i="13"/>
  <c r="BC23" i="13"/>
  <c r="BB23" i="13"/>
  <c r="BA23" i="13"/>
  <c r="AZ23" i="13"/>
  <c r="AY23" i="13"/>
  <c r="AX23" i="13"/>
  <c r="AW23" i="13"/>
  <c r="AV23" i="13"/>
  <c r="AS23" i="13"/>
  <c r="AR23" i="13"/>
  <c r="AQ23" i="13"/>
  <c r="AP23" i="13"/>
  <c r="AO23" i="13"/>
  <c r="AN23" i="13"/>
  <c r="AM23" i="13"/>
  <c r="AL23" i="13"/>
  <c r="AK23" i="13"/>
  <c r="AJ23" i="13"/>
  <c r="AI23" i="13"/>
  <c r="AH23" i="13"/>
  <c r="AE23" i="13"/>
  <c r="AD23" i="13"/>
  <c r="AC23" i="13"/>
  <c r="AB23" i="13"/>
  <c r="AA23" i="13"/>
  <c r="Z23" i="13"/>
  <c r="Y23" i="13"/>
  <c r="X23" i="13"/>
  <c r="W23" i="13"/>
  <c r="V23" i="13"/>
  <c r="U23" i="13"/>
  <c r="T23" i="13"/>
  <c r="Q23" i="13"/>
  <c r="R23" i="13" s="1"/>
  <c r="CI22" i="13"/>
  <c r="CH22" i="13"/>
  <c r="CG22" i="13"/>
  <c r="CF22" i="13"/>
  <c r="CE22" i="13"/>
  <c r="CD22" i="13"/>
  <c r="CC22" i="13"/>
  <c r="CB22" i="13"/>
  <c r="CA22" i="13"/>
  <c r="BZ22" i="13"/>
  <c r="BY22" i="13"/>
  <c r="BX22" i="13"/>
  <c r="BU22" i="13"/>
  <c r="BT22" i="13"/>
  <c r="BS22" i="13"/>
  <c r="BR22" i="13"/>
  <c r="BQ22" i="13"/>
  <c r="BP22" i="13"/>
  <c r="BO22" i="13"/>
  <c r="BN22" i="13"/>
  <c r="BM22" i="13"/>
  <c r="BL22" i="13"/>
  <c r="BK22" i="13"/>
  <c r="BJ22" i="13"/>
  <c r="BG22" i="13"/>
  <c r="BF22" i="13"/>
  <c r="BE22" i="13"/>
  <c r="BD22" i="13"/>
  <c r="BC22" i="13"/>
  <c r="BB22" i="13"/>
  <c r="BA22" i="13"/>
  <c r="AZ22" i="13"/>
  <c r="AY22" i="13"/>
  <c r="AX22" i="13"/>
  <c r="AW22" i="13"/>
  <c r="AV22" i="13"/>
  <c r="AS22" i="13"/>
  <c r="AR22" i="13"/>
  <c r="AQ22" i="13"/>
  <c r="AP22" i="13"/>
  <c r="AO22" i="13"/>
  <c r="AN22" i="13"/>
  <c r="AM22" i="13"/>
  <c r="AL22" i="13"/>
  <c r="AK22" i="13"/>
  <c r="AJ22" i="13"/>
  <c r="AI22" i="13"/>
  <c r="AH22" i="13"/>
  <c r="AE22" i="13"/>
  <c r="AD22" i="13"/>
  <c r="AC22" i="13"/>
  <c r="AB22" i="13"/>
  <c r="AA22" i="13"/>
  <c r="Z22" i="13"/>
  <c r="Y22" i="13"/>
  <c r="X22" i="13"/>
  <c r="W22" i="13"/>
  <c r="V22" i="13"/>
  <c r="U22" i="13"/>
  <c r="T22" i="13"/>
  <c r="Q22" i="13"/>
  <c r="R22" i="13" s="1"/>
  <c r="CI21" i="13"/>
  <c r="CH21" i="13"/>
  <c r="CG21" i="13"/>
  <c r="CF21" i="13"/>
  <c r="CE21" i="13"/>
  <c r="CD21" i="13"/>
  <c r="CC21" i="13"/>
  <c r="CB21" i="13"/>
  <c r="CA21" i="13"/>
  <c r="BZ21" i="13"/>
  <c r="BY21" i="13"/>
  <c r="BX21" i="13"/>
  <c r="BU21" i="13"/>
  <c r="BT21" i="13"/>
  <c r="BS21" i="13"/>
  <c r="BR21" i="13"/>
  <c r="BQ21" i="13"/>
  <c r="BP21" i="13"/>
  <c r="BO21" i="13"/>
  <c r="BN21" i="13"/>
  <c r="BM21" i="13"/>
  <c r="BL21" i="13"/>
  <c r="BK21" i="13"/>
  <c r="BJ21" i="13"/>
  <c r="BG21" i="13"/>
  <c r="BF21" i="13"/>
  <c r="BE21" i="13"/>
  <c r="BD21" i="13"/>
  <c r="BC21" i="13"/>
  <c r="BB21" i="13"/>
  <c r="BA21" i="13"/>
  <c r="AZ21" i="13"/>
  <c r="AY21" i="13"/>
  <c r="AX21" i="13"/>
  <c r="AW21" i="13"/>
  <c r="AV21" i="13"/>
  <c r="AS21" i="13"/>
  <c r="AR21" i="13"/>
  <c r="AQ21" i="13"/>
  <c r="AP21" i="13"/>
  <c r="AO21" i="13"/>
  <c r="AN21" i="13"/>
  <c r="AM21" i="13"/>
  <c r="AL21" i="13"/>
  <c r="AK21" i="13"/>
  <c r="AJ21" i="13"/>
  <c r="AI21" i="13"/>
  <c r="AH21" i="13"/>
  <c r="AE21" i="13"/>
  <c r="AD21" i="13"/>
  <c r="AC21" i="13"/>
  <c r="AB21" i="13"/>
  <c r="AA21" i="13"/>
  <c r="Z21" i="13"/>
  <c r="Y21" i="13"/>
  <c r="X21" i="13"/>
  <c r="W21" i="13"/>
  <c r="V21" i="13"/>
  <c r="U21" i="13"/>
  <c r="T21" i="13"/>
  <c r="Q21" i="13"/>
  <c r="R21" i="13" s="1"/>
  <c r="CI20" i="13"/>
  <c r="CH20" i="13"/>
  <c r="CG20" i="13"/>
  <c r="CF20" i="13"/>
  <c r="CE20" i="13"/>
  <c r="CD20" i="13"/>
  <c r="CC20" i="13"/>
  <c r="CB20" i="13"/>
  <c r="CA20" i="13"/>
  <c r="BZ20" i="13"/>
  <c r="BY20" i="13"/>
  <c r="BX20" i="13"/>
  <c r="BU20" i="13"/>
  <c r="BT20" i="13"/>
  <c r="BS20" i="13"/>
  <c r="BR20" i="13"/>
  <c r="BQ20" i="13"/>
  <c r="BP20" i="13"/>
  <c r="BO20" i="13"/>
  <c r="BN20" i="13"/>
  <c r="BM20" i="13"/>
  <c r="BL20" i="13"/>
  <c r="BK20" i="13"/>
  <c r="BJ20" i="13"/>
  <c r="BG20" i="13"/>
  <c r="BF20" i="13"/>
  <c r="BE20" i="13"/>
  <c r="BD20" i="13"/>
  <c r="BC20" i="13"/>
  <c r="BB20" i="13"/>
  <c r="BA20" i="13"/>
  <c r="AZ20" i="13"/>
  <c r="AY20" i="13"/>
  <c r="AX20" i="13"/>
  <c r="AW20" i="13"/>
  <c r="AV20" i="13"/>
  <c r="AS20" i="13"/>
  <c r="AR20" i="13"/>
  <c r="AQ20" i="13"/>
  <c r="AP20" i="13"/>
  <c r="AO20" i="13"/>
  <c r="AN20" i="13"/>
  <c r="AM20" i="13"/>
  <c r="AL20" i="13"/>
  <c r="AK20" i="13"/>
  <c r="AJ20" i="13"/>
  <c r="AI20" i="13"/>
  <c r="AH20" i="13"/>
  <c r="AE20" i="13"/>
  <c r="AD20" i="13"/>
  <c r="AC20" i="13"/>
  <c r="AB20" i="13"/>
  <c r="AA20" i="13"/>
  <c r="Z20" i="13"/>
  <c r="Y20" i="13"/>
  <c r="X20" i="13"/>
  <c r="W20" i="13"/>
  <c r="V20" i="13"/>
  <c r="U20" i="13"/>
  <c r="T20" i="13"/>
  <c r="Q20" i="13"/>
  <c r="R20" i="13" s="1"/>
  <c r="CI19" i="13"/>
  <c r="CH19" i="13"/>
  <c r="CG19" i="13"/>
  <c r="CF19" i="13"/>
  <c r="CE19" i="13"/>
  <c r="CD19" i="13"/>
  <c r="CC19" i="13"/>
  <c r="CB19" i="13"/>
  <c r="CA19" i="13"/>
  <c r="BZ19" i="13"/>
  <c r="BY19" i="13"/>
  <c r="BX19" i="13"/>
  <c r="BU19" i="13"/>
  <c r="BT19" i="13"/>
  <c r="BS19" i="13"/>
  <c r="BR19" i="13"/>
  <c r="BQ19" i="13"/>
  <c r="BP19" i="13"/>
  <c r="BO19" i="13"/>
  <c r="BN19" i="13"/>
  <c r="BM19" i="13"/>
  <c r="BL19" i="13"/>
  <c r="BK19" i="13"/>
  <c r="BJ19" i="13"/>
  <c r="BG19" i="13"/>
  <c r="BF19" i="13"/>
  <c r="BE19" i="13"/>
  <c r="BD19" i="13"/>
  <c r="BC19" i="13"/>
  <c r="BB19" i="13"/>
  <c r="BA19" i="13"/>
  <c r="AZ19" i="13"/>
  <c r="AY19" i="13"/>
  <c r="AX19" i="13"/>
  <c r="AW19" i="13"/>
  <c r="AV19" i="13"/>
  <c r="AS19" i="13"/>
  <c r="AR19" i="13"/>
  <c r="AQ19" i="13"/>
  <c r="AP19" i="13"/>
  <c r="AO19" i="13"/>
  <c r="AN19" i="13"/>
  <c r="AM19" i="13"/>
  <c r="AL19" i="13"/>
  <c r="AK19" i="13"/>
  <c r="AJ19" i="13"/>
  <c r="AI19" i="13"/>
  <c r="AH19" i="13"/>
  <c r="AE19" i="13"/>
  <c r="AD19" i="13"/>
  <c r="AC19" i="13"/>
  <c r="AB19" i="13"/>
  <c r="AA19" i="13"/>
  <c r="Z19" i="13"/>
  <c r="Y19" i="13"/>
  <c r="X19" i="13"/>
  <c r="W19" i="13"/>
  <c r="V19" i="13"/>
  <c r="U19" i="13"/>
  <c r="T19" i="13"/>
  <c r="Q19" i="13"/>
  <c r="R19" i="13" s="1"/>
  <c r="CI18" i="13"/>
  <c r="CH18" i="13"/>
  <c r="CG18" i="13"/>
  <c r="CF18" i="13"/>
  <c r="CE18" i="13"/>
  <c r="CD18" i="13"/>
  <c r="CC18" i="13"/>
  <c r="CB18" i="13"/>
  <c r="CA18" i="13"/>
  <c r="BZ18" i="13"/>
  <c r="BY18" i="13"/>
  <c r="BX18" i="13"/>
  <c r="BU18" i="13"/>
  <c r="BT18" i="13"/>
  <c r="BS18" i="13"/>
  <c r="BR18" i="13"/>
  <c r="BQ18" i="13"/>
  <c r="BP18" i="13"/>
  <c r="BO18" i="13"/>
  <c r="BN18" i="13"/>
  <c r="BM18" i="13"/>
  <c r="BL18" i="13"/>
  <c r="BK18" i="13"/>
  <c r="BJ18" i="13"/>
  <c r="BG18" i="13"/>
  <c r="BF18" i="13"/>
  <c r="BE18" i="13"/>
  <c r="BD18" i="13"/>
  <c r="BC18" i="13"/>
  <c r="BB18" i="13"/>
  <c r="BA18" i="13"/>
  <c r="AZ18" i="13"/>
  <c r="AY18" i="13"/>
  <c r="AX18" i="13"/>
  <c r="AW18" i="13"/>
  <c r="AV18" i="13"/>
  <c r="AS18" i="13"/>
  <c r="AR18" i="13"/>
  <c r="AQ18" i="13"/>
  <c r="AP18" i="13"/>
  <c r="AO18" i="13"/>
  <c r="AN18" i="13"/>
  <c r="AM18" i="13"/>
  <c r="AL18" i="13"/>
  <c r="AK18" i="13"/>
  <c r="AJ18" i="13"/>
  <c r="AI18" i="13"/>
  <c r="AH18" i="13"/>
  <c r="AE18" i="13"/>
  <c r="AD18" i="13"/>
  <c r="AC18" i="13"/>
  <c r="AB18" i="13"/>
  <c r="AA18" i="13"/>
  <c r="Z18" i="13"/>
  <c r="Y18" i="13"/>
  <c r="X18" i="13"/>
  <c r="W18" i="13"/>
  <c r="V18" i="13"/>
  <c r="U18" i="13"/>
  <c r="T18" i="13"/>
  <c r="Q18" i="13"/>
  <c r="R18" i="13" s="1"/>
  <c r="CI17" i="13"/>
  <c r="CH17" i="13"/>
  <c r="CG17" i="13"/>
  <c r="CF17" i="13"/>
  <c r="CE17" i="13"/>
  <c r="CD17" i="13"/>
  <c r="CC17" i="13"/>
  <c r="CB17" i="13"/>
  <c r="CA17" i="13"/>
  <c r="BZ17" i="13"/>
  <c r="BY17" i="13"/>
  <c r="BX17" i="13"/>
  <c r="BU17" i="13"/>
  <c r="BT17" i="13"/>
  <c r="BS17" i="13"/>
  <c r="BR17" i="13"/>
  <c r="BQ17" i="13"/>
  <c r="BP17" i="13"/>
  <c r="BO17" i="13"/>
  <c r="BN17" i="13"/>
  <c r="BM17" i="13"/>
  <c r="BL17" i="13"/>
  <c r="BK17" i="13"/>
  <c r="BJ17" i="13"/>
  <c r="BG17" i="13"/>
  <c r="BF17" i="13"/>
  <c r="BE17" i="13"/>
  <c r="BD17" i="13"/>
  <c r="BC17" i="13"/>
  <c r="BB17" i="13"/>
  <c r="BA17" i="13"/>
  <c r="AZ17" i="13"/>
  <c r="AY17" i="13"/>
  <c r="AX17" i="13"/>
  <c r="AW17" i="13"/>
  <c r="AV17" i="13"/>
  <c r="AS17" i="13"/>
  <c r="AR17" i="13"/>
  <c r="AQ17" i="13"/>
  <c r="AP17" i="13"/>
  <c r="AO17" i="13"/>
  <c r="AN17" i="13"/>
  <c r="AM17" i="13"/>
  <c r="AL17" i="13"/>
  <c r="AK17" i="13"/>
  <c r="AJ17" i="13"/>
  <c r="AI17" i="13"/>
  <c r="AH17" i="13"/>
  <c r="AE17" i="13"/>
  <c r="AD17" i="13"/>
  <c r="AC17" i="13"/>
  <c r="AB17" i="13"/>
  <c r="AA17" i="13"/>
  <c r="Z17" i="13"/>
  <c r="Y17" i="13"/>
  <c r="X17" i="13"/>
  <c r="W17" i="13"/>
  <c r="V17" i="13"/>
  <c r="U17" i="13"/>
  <c r="T17" i="13"/>
  <c r="Q17" i="13"/>
  <c r="R17" i="13" s="1"/>
  <c r="CI16" i="13"/>
  <c r="CH16" i="13"/>
  <c r="CG16" i="13"/>
  <c r="CF16" i="13"/>
  <c r="CE16" i="13"/>
  <c r="CD16" i="13"/>
  <c r="CC16" i="13"/>
  <c r="CB16" i="13"/>
  <c r="CA16" i="13"/>
  <c r="BZ16" i="13"/>
  <c r="BY16" i="13"/>
  <c r="BX16" i="13"/>
  <c r="BU16" i="13"/>
  <c r="BT16" i="13"/>
  <c r="BS16" i="13"/>
  <c r="BR16" i="13"/>
  <c r="BQ16" i="13"/>
  <c r="BP16" i="13"/>
  <c r="BO16" i="13"/>
  <c r="BN16" i="13"/>
  <c r="BM16" i="13"/>
  <c r="BL16" i="13"/>
  <c r="BK16" i="13"/>
  <c r="BJ16" i="13"/>
  <c r="BG16" i="13"/>
  <c r="BF16" i="13"/>
  <c r="BE16" i="13"/>
  <c r="BD16" i="13"/>
  <c r="BC16" i="13"/>
  <c r="BB16" i="13"/>
  <c r="BA16" i="13"/>
  <c r="AZ16" i="13"/>
  <c r="AY16" i="13"/>
  <c r="AX16" i="13"/>
  <c r="AW16" i="13"/>
  <c r="AV16" i="13"/>
  <c r="AS16" i="13"/>
  <c r="AR16" i="13"/>
  <c r="AQ16" i="13"/>
  <c r="AP16" i="13"/>
  <c r="AO16" i="13"/>
  <c r="AN16" i="13"/>
  <c r="AM16" i="13"/>
  <c r="AL16" i="13"/>
  <c r="AK16" i="13"/>
  <c r="AJ16" i="13"/>
  <c r="AI16" i="13"/>
  <c r="AH16" i="13"/>
  <c r="AE16" i="13"/>
  <c r="AD16" i="13"/>
  <c r="AC16" i="13"/>
  <c r="AB16" i="13"/>
  <c r="AA16" i="13"/>
  <c r="Z16" i="13"/>
  <c r="Y16" i="13"/>
  <c r="X16" i="13"/>
  <c r="W16" i="13"/>
  <c r="V16" i="13"/>
  <c r="U16" i="13"/>
  <c r="T16" i="13"/>
  <c r="Q16" i="13"/>
  <c r="R16" i="13" s="1"/>
  <c r="CI15" i="13"/>
  <c r="CH15" i="13"/>
  <c r="CG15" i="13"/>
  <c r="CF15" i="13"/>
  <c r="CE15" i="13"/>
  <c r="CD15" i="13"/>
  <c r="CC15" i="13"/>
  <c r="CB15" i="13"/>
  <c r="CA15" i="13"/>
  <c r="BZ15" i="13"/>
  <c r="BY15" i="13"/>
  <c r="BX15" i="13"/>
  <c r="BU15" i="13"/>
  <c r="BT15" i="13"/>
  <c r="BS15" i="13"/>
  <c r="BR15" i="13"/>
  <c r="BQ15" i="13"/>
  <c r="BP15" i="13"/>
  <c r="BO15" i="13"/>
  <c r="BN15" i="13"/>
  <c r="BM15" i="13"/>
  <c r="BL15" i="13"/>
  <c r="BK15" i="13"/>
  <c r="BJ15" i="13"/>
  <c r="BG15" i="13"/>
  <c r="BF15" i="13"/>
  <c r="BE15" i="13"/>
  <c r="BD15" i="13"/>
  <c r="BC15" i="13"/>
  <c r="BB15" i="13"/>
  <c r="BA15" i="13"/>
  <c r="AZ15" i="13"/>
  <c r="AY15" i="13"/>
  <c r="AX15" i="13"/>
  <c r="AW15" i="13"/>
  <c r="AV15" i="13"/>
  <c r="AS15" i="13"/>
  <c r="AR15" i="13"/>
  <c r="AQ15" i="13"/>
  <c r="AP15" i="13"/>
  <c r="AO15" i="13"/>
  <c r="AN15" i="13"/>
  <c r="AM15" i="13"/>
  <c r="AL15" i="13"/>
  <c r="AK15" i="13"/>
  <c r="AJ15" i="13"/>
  <c r="AI15" i="13"/>
  <c r="AH15" i="13"/>
  <c r="AE15" i="13"/>
  <c r="AD15" i="13"/>
  <c r="AC15" i="13"/>
  <c r="AB15" i="13"/>
  <c r="AA15" i="13"/>
  <c r="Z15" i="13"/>
  <c r="Y15" i="13"/>
  <c r="X15" i="13"/>
  <c r="W15" i="13"/>
  <c r="V15" i="13"/>
  <c r="U15" i="13"/>
  <c r="T15" i="13"/>
  <c r="Q15" i="13"/>
  <c r="R15" i="13" s="1"/>
  <c r="CI14" i="13"/>
  <c r="CH14" i="13"/>
  <c r="CG14" i="13"/>
  <c r="CF14" i="13"/>
  <c r="CE14" i="13"/>
  <c r="CD14" i="13"/>
  <c r="CC14" i="13"/>
  <c r="CB14" i="13"/>
  <c r="CA14" i="13"/>
  <c r="BZ14" i="13"/>
  <c r="BY14" i="13"/>
  <c r="BX14" i="13"/>
  <c r="BU14" i="13"/>
  <c r="BT14" i="13"/>
  <c r="BS14" i="13"/>
  <c r="BR14" i="13"/>
  <c r="BQ14" i="13"/>
  <c r="BP14" i="13"/>
  <c r="BO14" i="13"/>
  <c r="BN14" i="13"/>
  <c r="BM14" i="13"/>
  <c r="BL14" i="13"/>
  <c r="BK14" i="13"/>
  <c r="BJ14" i="13"/>
  <c r="BG14" i="13"/>
  <c r="BF14" i="13"/>
  <c r="BE14" i="13"/>
  <c r="BD14" i="13"/>
  <c r="BC14" i="13"/>
  <c r="BB14" i="13"/>
  <c r="BA14" i="13"/>
  <c r="AZ14" i="13"/>
  <c r="AY14" i="13"/>
  <c r="AX14" i="13"/>
  <c r="AW14" i="13"/>
  <c r="AV14" i="13"/>
  <c r="AS14" i="13"/>
  <c r="AR14" i="13"/>
  <c r="AQ14" i="13"/>
  <c r="AP14" i="13"/>
  <c r="AO14" i="13"/>
  <c r="AN14" i="13"/>
  <c r="AM14" i="13"/>
  <c r="AL14" i="13"/>
  <c r="AK14" i="13"/>
  <c r="AJ14" i="13"/>
  <c r="AI14" i="13"/>
  <c r="AH14" i="13"/>
  <c r="AE14" i="13"/>
  <c r="AD14" i="13"/>
  <c r="AC14" i="13"/>
  <c r="AB14" i="13"/>
  <c r="AA14" i="13"/>
  <c r="Z14" i="13"/>
  <c r="Y14" i="13"/>
  <c r="X14" i="13"/>
  <c r="W14" i="13"/>
  <c r="V14" i="13"/>
  <c r="U14" i="13"/>
  <c r="T14" i="13"/>
  <c r="Q14" i="13"/>
  <c r="R14" i="13" s="1"/>
  <c r="CI13" i="13"/>
  <c r="CH13" i="13"/>
  <c r="CG13" i="13"/>
  <c r="CF13" i="13"/>
  <c r="CE13" i="13"/>
  <c r="CD13" i="13"/>
  <c r="CC13" i="13"/>
  <c r="CB13" i="13"/>
  <c r="CA13" i="13"/>
  <c r="BZ13" i="13"/>
  <c r="BY13" i="13"/>
  <c r="BX13" i="13"/>
  <c r="BU13" i="13"/>
  <c r="BT13" i="13"/>
  <c r="BS13" i="13"/>
  <c r="BR13" i="13"/>
  <c r="BQ13" i="13"/>
  <c r="BP13" i="13"/>
  <c r="BO13" i="13"/>
  <c r="BN13" i="13"/>
  <c r="BM13" i="13"/>
  <c r="BL13" i="13"/>
  <c r="BK13" i="13"/>
  <c r="BJ13" i="13"/>
  <c r="BG13" i="13"/>
  <c r="BF13" i="13"/>
  <c r="BE13" i="13"/>
  <c r="BD13" i="13"/>
  <c r="BC13" i="13"/>
  <c r="BB13" i="13"/>
  <c r="BA13" i="13"/>
  <c r="AZ13" i="13"/>
  <c r="AY13" i="13"/>
  <c r="AX13" i="13"/>
  <c r="AW13" i="13"/>
  <c r="AV13" i="13"/>
  <c r="AS13" i="13"/>
  <c r="AR13" i="13"/>
  <c r="AQ13" i="13"/>
  <c r="AP13" i="13"/>
  <c r="AO13" i="13"/>
  <c r="AN13" i="13"/>
  <c r="AM13" i="13"/>
  <c r="AL13" i="13"/>
  <c r="AK13" i="13"/>
  <c r="AJ13" i="13"/>
  <c r="AI13" i="13"/>
  <c r="AH13" i="13"/>
  <c r="AE13" i="13"/>
  <c r="AD13" i="13"/>
  <c r="AC13" i="13"/>
  <c r="AB13" i="13"/>
  <c r="AA13" i="13"/>
  <c r="Z13" i="13"/>
  <c r="Y13" i="13"/>
  <c r="X13" i="13"/>
  <c r="W13" i="13"/>
  <c r="V13" i="13"/>
  <c r="U13" i="13"/>
  <c r="T13" i="13"/>
  <c r="Q13" i="13"/>
  <c r="R13" i="13" s="1"/>
  <c r="CI12" i="13"/>
  <c r="CH12" i="13"/>
  <c r="CG12" i="13"/>
  <c r="CF12" i="13"/>
  <c r="CE12" i="13"/>
  <c r="CD12" i="13"/>
  <c r="CC12" i="13"/>
  <c r="CB12" i="13"/>
  <c r="CA12" i="13"/>
  <c r="BZ12" i="13"/>
  <c r="BY12" i="13"/>
  <c r="BX12" i="13"/>
  <c r="BU12" i="13"/>
  <c r="BT12" i="13"/>
  <c r="BS12" i="13"/>
  <c r="BR12" i="13"/>
  <c r="BQ12" i="13"/>
  <c r="BP12" i="13"/>
  <c r="BO12" i="13"/>
  <c r="BN12" i="13"/>
  <c r="BM12" i="13"/>
  <c r="BL12" i="13"/>
  <c r="BK12" i="13"/>
  <c r="BJ12" i="13"/>
  <c r="BG12" i="13"/>
  <c r="BF12" i="13"/>
  <c r="BE12" i="13"/>
  <c r="BD12" i="13"/>
  <c r="BC12" i="13"/>
  <c r="BB12" i="13"/>
  <c r="BA12" i="13"/>
  <c r="AZ12" i="13"/>
  <c r="AY12" i="13"/>
  <c r="AX12" i="13"/>
  <c r="AW12" i="13"/>
  <c r="AV12" i="13"/>
  <c r="AS12" i="13"/>
  <c r="AR12" i="13"/>
  <c r="AQ12" i="13"/>
  <c r="AP12" i="13"/>
  <c r="AO12" i="13"/>
  <c r="AN12" i="13"/>
  <c r="AM12" i="13"/>
  <c r="AL12" i="13"/>
  <c r="AK12" i="13"/>
  <c r="AJ12" i="13"/>
  <c r="AI12" i="13"/>
  <c r="AH12" i="13"/>
  <c r="AE12" i="13"/>
  <c r="AD12" i="13"/>
  <c r="AC12" i="13"/>
  <c r="AB12" i="13"/>
  <c r="AA12" i="13"/>
  <c r="Z12" i="13"/>
  <c r="Y12" i="13"/>
  <c r="X12" i="13"/>
  <c r="W12" i="13"/>
  <c r="V12" i="13"/>
  <c r="U12" i="13"/>
  <c r="T12" i="13"/>
  <c r="Q12" i="13"/>
  <c r="R12" i="13" s="1"/>
  <c r="CI11" i="13"/>
  <c r="CH11" i="13"/>
  <c r="CG11" i="13"/>
  <c r="CF11" i="13"/>
  <c r="CE11" i="13"/>
  <c r="CD11" i="13"/>
  <c r="CC11" i="13"/>
  <c r="CB11" i="13"/>
  <c r="CA11" i="13"/>
  <c r="BZ11" i="13"/>
  <c r="BY11" i="13"/>
  <c r="BX11" i="13"/>
  <c r="BU11" i="13"/>
  <c r="BT11" i="13"/>
  <c r="BS11" i="13"/>
  <c r="BR11" i="13"/>
  <c r="BQ11" i="13"/>
  <c r="BP11" i="13"/>
  <c r="BO11" i="13"/>
  <c r="BN11" i="13"/>
  <c r="BM11" i="13"/>
  <c r="BL11" i="13"/>
  <c r="BK11" i="13"/>
  <c r="BJ11" i="13"/>
  <c r="BG11" i="13"/>
  <c r="BF11" i="13"/>
  <c r="BE11" i="13"/>
  <c r="BD11" i="13"/>
  <c r="BC11" i="13"/>
  <c r="BB11" i="13"/>
  <c r="BA11" i="13"/>
  <c r="AZ11" i="13"/>
  <c r="AY11" i="13"/>
  <c r="AX11" i="13"/>
  <c r="AW11" i="13"/>
  <c r="AV11" i="13"/>
  <c r="AS11" i="13"/>
  <c r="AR11" i="13"/>
  <c r="AQ11" i="13"/>
  <c r="AP11" i="13"/>
  <c r="AO11" i="13"/>
  <c r="AN11" i="13"/>
  <c r="AM11" i="13"/>
  <c r="AL11" i="13"/>
  <c r="AK11" i="13"/>
  <c r="AJ11" i="13"/>
  <c r="AI11" i="13"/>
  <c r="AH11" i="13"/>
  <c r="AE11" i="13"/>
  <c r="AD11" i="13"/>
  <c r="AC11" i="13"/>
  <c r="AB11" i="13"/>
  <c r="AA11" i="13"/>
  <c r="Z11" i="13"/>
  <c r="Y11" i="13"/>
  <c r="X11" i="13"/>
  <c r="W11" i="13"/>
  <c r="V11" i="13"/>
  <c r="U11" i="13"/>
  <c r="T11" i="13"/>
  <c r="Q11" i="13"/>
  <c r="R11" i="13" s="1"/>
  <c r="CI10" i="13"/>
  <c r="CH10" i="13"/>
  <c r="CG10" i="13"/>
  <c r="CF10" i="13"/>
  <c r="CE10" i="13"/>
  <c r="CD10" i="13"/>
  <c r="CC10" i="13"/>
  <c r="CB10" i="13"/>
  <c r="CA10" i="13"/>
  <c r="BZ10" i="13"/>
  <c r="BY10" i="13"/>
  <c r="BX10" i="13"/>
  <c r="BU10" i="13"/>
  <c r="BT10" i="13"/>
  <c r="BS10" i="13"/>
  <c r="BR10" i="13"/>
  <c r="BQ10" i="13"/>
  <c r="BP10" i="13"/>
  <c r="BO10" i="13"/>
  <c r="BN10" i="13"/>
  <c r="BM10" i="13"/>
  <c r="BL10" i="13"/>
  <c r="BK10" i="13"/>
  <c r="BJ10" i="13"/>
  <c r="BG10" i="13"/>
  <c r="BF10" i="13"/>
  <c r="BE10" i="13"/>
  <c r="BD10" i="13"/>
  <c r="BC10" i="13"/>
  <c r="BB10" i="13"/>
  <c r="BA10" i="13"/>
  <c r="AZ10" i="13"/>
  <c r="AY10" i="13"/>
  <c r="AX10" i="13"/>
  <c r="AW10" i="13"/>
  <c r="AV10" i="13"/>
  <c r="AS10" i="13"/>
  <c r="AR10" i="13"/>
  <c r="AQ10" i="13"/>
  <c r="AP10" i="13"/>
  <c r="AO10" i="13"/>
  <c r="AN10" i="13"/>
  <c r="AM10" i="13"/>
  <c r="AL10" i="13"/>
  <c r="AK10" i="13"/>
  <c r="AJ10" i="13"/>
  <c r="AI10" i="13"/>
  <c r="AH10" i="13"/>
  <c r="AE10" i="13"/>
  <c r="AD10" i="13"/>
  <c r="AC10" i="13"/>
  <c r="AB10" i="13"/>
  <c r="AA10" i="13"/>
  <c r="Z10" i="13"/>
  <c r="Y10" i="13"/>
  <c r="X10" i="13"/>
  <c r="W10" i="13"/>
  <c r="V10" i="13"/>
  <c r="U10" i="13"/>
  <c r="T10" i="13"/>
  <c r="Q10" i="13"/>
  <c r="R10" i="13" s="1"/>
  <c r="CI9" i="13"/>
  <c r="CH9" i="13"/>
  <c r="CG9" i="13"/>
  <c r="CF9" i="13"/>
  <c r="CE9" i="13"/>
  <c r="CD9" i="13"/>
  <c r="CC9" i="13"/>
  <c r="CB9" i="13"/>
  <c r="CA9" i="13"/>
  <c r="BZ9" i="13"/>
  <c r="BY9" i="13"/>
  <c r="BX9" i="13"/>
  <c r="BU9" i="13"/>
  <c r="BT9" i="13"/>
  <c r="BS9" i="13"/>
  <c r="BR9" i="13"/>
  <c r="BQ9" i="13"/>
  <c r="BP9" i="13"/>
  <c r="BO9" i="13"/>
  <c r="BN9" i="13"/>
  <c r="BM9" i="13"/>
  <c r="BL9" i="13"/>
  <c r="BK9" i="13"/>
  <c r="BJ9" i="13"/>
  <c r="BG9" i="13"/>
  <c r="BF9" i="13"/>
  <c r="BE9" i="13"/>
  <c r="BD9" i="13"/>
  <c r="BC9" i="13"/>
  <c r="BB9" i="13"/>
  <c r="BA9" i="13"/>
  <c r="AZ9" i="13"/>
  <c r="AY9" i="13"/>
  <c r="AX9" i="13"/>
  <c r="AW9" i="13"/>
  <c r="AV9" i="13"/>
  <c r="AS9" i="13"/>
  <c r="AR9" i="13"/>
  <c r="AQ9" i="13"/>
  <c r="AP9" i="13"/>
  <c r="AO9" i="13"/>
  <c r="AN9" i="13"/>
  <c r="AM9" i="13"/>
  <c r="AL9" i="13"/>
  <c r="AK9" i="13"/>
  <c r="AJ9" i="13"/>
  <c r="AI9" i="13"/>
  <c r="AH9" i="13"/>
  <c r="AE9" i="13"/>
  <c r="AD9" i="13"/>
  <c r="AC9" i="13"/>
  <c r="AB9" i="13"/>
  <c r="AA9" i="13"/>
  <c r="Z9" i="13"/>
  <c r="Y9" i="13"/>
  <c r="X9" i="13"/>
  <c r="W9" i="13"/>
  <c r="V9" i="13"/>
  <c r="U9" i="13"/>
  <c r="T9" i="13"/>
  <c r="Q9" i="13"/>
  <c r="R9" i="13" s="1"/>
  <c r="CI8" i="13"/>
  <c r="CH8" i="13"/>
  <c r="CG8" i="13"/>
  <c r="CF8" i="13"/>
  <c r="CE8" i="13"/>
  <c r="CD8" i="13"/>
  <c r="CC8" i="13"/>
  <c r="CB8" i="13"/>
  <c r="CA8" i="13"/>
  <c r="BZ8" i="13"/>
  <c r="BY8" i="13"/>
  <c r="BX8" i="13"/>
  <c r="BU8" i="13"/>
  <c r="BT8" i="13"/>
  <c r="BS8" i="13"/>
  <c r="BR8" i="13"/>
  <c r="BQ8" i="13"/>
  <c r="BP8" i="13"/>
  <c r="BO8" i="13"/>
  <c r="BN8" i="13"/>
  <c r="BM8" i="13"/>
  <c r="BL8" i="13"/>
  <c r="BK8" i="13"/>
  <c r="BJ8" i="13"/>
  <c r="BG8" i="13"/>
  <c r="BF8" i="13"/>
  <c r="BE8" i="13"/>
  <c r="BD8" i="13"/>
  <c r="BC8" i="13"/>
  <c r="BB8" i="13"/>
  <c r="BA8" i="13"/>
  <c r="AZ8" i="13"/>
  <c r="AY8" i="13"/>
  <c r="AX8" i="13"/>
  <c r="AW8" i="13"/>
  <c r="AV8" i="13"/>
  <c r="AS8" i="13"/>
  <c r="AR8" i="13"/>
  <c r="AQ8" i="13"/>
  <c r="AP8" i="13"/>
  <c r="AO8" i="13"/>
  <c r="AN8" i="13"/>
  <c r="AM8" i="13"/>
  <c r="AL8" i="13"/>
  <c r="AK8" i="13"/>
  <c r="AJ8" i="13"/>
  <c r="AI8" i="13"/>
  <c r="AH8" i="13"/>
  <c r="AE8" i="13"/>
  <c r="AD8" i="13"/>
  <c r="AC8" i="13"/>
  <c r="AB8" i="13"/>
  <c r="AA8" i="13"/>
  <c r="Z8" i="13"/>
  <c r="Y8" i="13"/>
  <c r="X8" i="13"/>
  <c r="W8" i="13"/>
  <c r="V8" i="13"/>
  <c r="U8" i="13"/>
  <c r="T8" i="13"/>
  <c r="Q8" i="13"/>
  <c r="R8" i="13" s="1"/>
  <c r="CI7" i="13"/>
  <c r="CH7" i="13"/>
  <c r="CG7" i="13"/>
  <c r="CF7" i="13"/>
  <c r="CE7" i="13"/>
  <c r="CD7" i="13"/>
  <c r="CC7" i="13"/>
  <c r="CB7" i="13"/>
  <c r="CA7" i="13"/>
  <c r="BZ7" i="13"/>
  <c r="BY7" i="13"/>
  <c r="BX7" i="13"/>
  <c r="BU7" i="13"/>
  <c r="BT7" i="13"/>
  <c r="BS7" i="13"/>
  <c r="BR7" i="13"/>
  <c r="BQ7" i="13"/>
  <c r="BP7" i="13"/>
  <c r="BO7" i="13"/>
  <c r="BN7" i="13"/>
  <c r="BM7" i="13"/>
  <c r="BL7" i="13"/>
  <c r="BK7" i="13"/>
  <c r="BJ7" i="13"/>
  <c r="BG7" i="13"/>
  <c r="BF7" i="13"/>
  <c r="BE7" i="13"/>
  <c r="BD7" i="13"/>
  <c r="BC7" i="13"/>
  <c r="BB7" i="13"/>
  <c r="BA7" i="13"/>
  <c r="AZ7" i="13"/>
  <c r="AY7" i="13"/>
  <c r="AX7" i="13"/>
  <c r="AW7" i="13"/>
  <c r="AV7" i="13"/>
  <c r="AS7" i="13"/>
  <c r="AR7" i="13"/>
  <c r="AQ7" i="13"/>
  <c r="AP7" i="13"/>
  <c r="AO7" i="13"/>
  <c r="AN7" i="13"/>
  <c r="AM7" i="13"/>
  <c r="AL7" i="13"/>
  <c r="AK7" i="13"/>
  <c r="AJ7" i="13"/>
  <c r="AI7" i="13"/>
  <c r="AH7" i="13"/>
  <c r="AE7" i="13"/>
  <c r="AD7" i="13"/>
  <c r="AC7" i="13"/>
  <c r="AB7" i="13"/>
  <c r="AA7" i="13"/>
  <c r="Z7" i="13"/>
  <c r="Y7" i="13"/>
  <c r="X7" i="13"/>
  <c r="W7" i="13"/>
  <c r="V7" i="13"/>
  <c r="U7" i="13"/>
  <c r="T7" i="13"/>
  <c r="Q7" i="13"/>
  <c r="R102" i="13"/>
  <c r="AF16" i="13" l="1"/>
  <c r="AT16" i="13"/>
  <c r="BV16" i="13"/>
  <c r="CJ16" i="13"/>
  <c r="AF24" i="13"/>
  <c r="BH24" i="13"/>
  <c r="BV24" i="13"/>
  <c r="CJ24" i="13"/>
  <c r="AF35" i="13"/>
  <c r="AT35" i="13"/>
  <c r="BH35" i="13"/>
  <c r="BV35" i="13"/>
  <c r="CJ35" i="13"/>
  <c r="AF43" i="13"/>
  <c r="AT43" i="13"/>
  <c r="BH43" i="13"/>
  <c r="BV43" i="13"/>
  <c r="CJ43" i="13"/>
  <c r="AF51" i="13"/>
  <c r="AT51" i="13"/>
  <c r="BH51" i="13"/>
  <c r="Q68" i="13"/>
  <c r="W68" i="13"/>
  <c r="AA68" i="13"/>
  <c r="AE68" i="13"/>
  <c r="AK68" i="13"/>
  <c r="AO68" i="13"/>
  <c r="AS68" i="13"/>
  <c r="AY68" i="13"/>
  <c r="BC68" i="13"/>
  <c r="BG68" i="13"/>
  <c r="BM68" i="13"/>
  <c r="BQ68" i="13"/>
  <c r="BU68" i="13"/>
  <c r="CA68" i="13"/>
  <c r="CE68" i="13"/>
  <c r="CI68" i="13"/>
  <c r="CJ65" i="13"/>
  <c r="AT79" i="13"/>
  <c r="BH82" i="13"/>
  <c r="BV82" i="13"/>
  <c r="AF62" i="13"/>
  <c r="AT62" i="13"/>
  <c r="BV62" i="13"/>
  <c r="CJ62" i="13"/>
  <c r="R83" i="13"/>
  <c r="R98" i="13" s="1"/>
  <c r="AT24" i="13"/>
  <c r="BV8" i="13"/>
  <c r="AF8" i="13"/>
  <c r="AT8" i="13"/>
  <c r="BH8" i="13"/>
  <c r="AF52" i="13"/>
  <c r="AT52" i="13"/>
  <c r="BH52" i="13"/>
  <c r="T68" i="13"/>
  <c r="X68" i="13"/>
  <c r="AB68" i="13"/>
  <c r="AV68" i="13"/>
  <c r="AZ68" i="13"/>
  <c r="BD68" i="13"/>
  <c r="BJ68" i="13"/>
  <c r="BN68" i="13"/>
  <c r="BR68" i="13"/>
  <c r="BX68" i="13"/>
  <c r="CB68" i="13"/>
  <c r="CF68" i="13"/>
  <c r="AQ83" i="13"/>
  <c r="AW83" i="13"/>
  <c r="BA83" i="13"/>
  <c r="BE83" i="13"/>
  <c r="BK83" i="13"/>
  <c r="BO83" i="13"/>
  <c r="BS83" i="13"/>
  <c r="AT11" i="13"/>
  <c r="BH11" i="13"/>
  <c r="BV11" i="13"/>
  <c r="CJ11" i="13"/>
  <c r="AF22" i="13"/>
  <c r="AT22" i="13"/>
  <c r="BH22" i="13"/>
  <c r="BV22" i="13"/>
  <c r="CJ22" i="13"/>
  <c r="AF30" i="13"/>
  <c r="AT30" i="13"/>
  <c r="BH30" i="13"/>
  <c r="BV30" i="13"/>
  <c r="CJ30" i="13"/>
  <c r="AF41" i="13"/>
  <c r="AT41" i="13"/>
  <c r="BH41" i="13"/>
  <c r="BV41" i="13"/>
  <c r="CJ41" i="13"/>
  <c r="AF49" i="13"/>
  <c r="AT49" i="13"/>
  <c r="BH49" i="13"/>
  <c r="BV49" i="13"/>
  <c r="CJ49" i="13"/>
  <c r="AF53" i="13"/>
  <c r="AT53" i="13"/>
  <c r="BH53" i="13"/>
  <c r="U68" i="13"/>
  <c r="Y68" i="13"/>
  <c r="AC68" i="13"/>
  <c r="AI68" i="13"/>
  <c r="AM68" i="13"/>
  <c r="AQ68" i="13"/>
  <c r="AW68" i="13"/>
  <c r="BA68" i="13"/>
  <c r="BE68" i="13"/>
  <c r="BK68" i="13"/>
  <c r="BO68" i="13"/>
  <c r="BS68" i="13"/>
  <c r="BY68" i="13"/>
  <c r="CC68" i="13"/>
  <c r="CG68" i="13"/>
  <c r="AJ83" i="13"/>
  <c r="AN83" i="13"/>
  <c r="AR83" i="13"/>
  <c r="U92" i="13"/>
  <c r="Y92" i="13"/>
  <c r="AC92" i="13"/>
  <c r="AI92" i="13"/>
  <c r="AM92" i="13"/>
  <c r="AQ92" i="13"/>
  <c r="BK92" i="13"/>
  <c r="BO92" i="13"/>
  <c r="BS92" i="13"/>
  <c r="BY92" i="13"/>
  <c r="CC92" i="13"/>
  <c r="CG92" i="13"/>
  <c r="BH90" i="13"/>
  <c r="CJ8" i="13"/>
  <c r="AF11" i="13"/>
  <c r="V55" i="13"/>
  <c r="Z55" i="13"/>
  <c r="AD55" i="13"/>
  <c r="AX55" i="13"/>
  <c r="BB55" i="13"/>
  <c r="BF55" i="13"/>
  <c r="BL55" i="13"/>
  <c r="BP55" i="13"/>
  <c r="BT55" i="13"/>
  <c r="BZ55" i="13"/>
  <c r="CD55" i="13"/>
  <c r="CH55" i="13"/>
  <c r="AF19" i="13"/>
  <c r="AT19" i="13"/>
  <c r="BH19" i="13"/>
  <c r="BV19" i="13"/>
  <c r="CJ19" i="13"/>
  <c r="AF27" i="13"/>
  <c r="AT27" i="13"/>
  <c r="BH27" i="13"/>
  <c r="BV27" i="13"/>
  <c r="CJ27" i="13"/>
  <c r="AF38" i="13"/>
  <c r="AT38" i="13"/>
  <c r="BH38" i="13"/>
  <c r="BV38" i="13"/>
  <c r="CJ38" i="13"/>
  <c r="AF46" i="13"/>
  <c r="AT46" i="13"/>
  <c r="BH46" i="13"/>
  <c r="BV46" i="13"/>
  <c r="CJ46" i="13"/>
  <c r="AF54" i="13"/>
  <c r="AT54" i="13"/>
  <c r="V68" i="13"/>
  <c r="Z68" i="13"/>
  <c r="AD68" i="13"/>
  <c r="AJ68" i="13"/>
  <c r="AN68" i="13"/>
  <c r="AR68" i="13"/>
  <c r="AX68" i="13"/>
  <c r="BB68" i="13"/>
  <c r="BF68" i="13"/>
  <c r="BL68" i="13"/>
  <c r="BP68" i="13"/>
  <c r="BT68" i="13"/>
  <c r="BZ68" i="13"/>
  <c r="CD68" i="13"/>
  <c r="CH68" i="13"/>
  <c r="W83" i="13"/>
  <c r="AA83" i="13"/>
  <c r="AE83" i="13"/>
  <c r="BG83" i="13"/>
  <c r="CA83" i="13"/>
  <c r="CE83" i="13"/>
  <c r="CI83" i="13"/>
  <c r="BV76" i="13"/>
  <c r="AF81" i="13"/>
  <c r="AT81" i="13"/>
  <c r="BV81" i="13"/>
  <c r="CJ81" i="13"/>
  <c r="V92" i="13"/>
  <c r="Z92" i="13"/>
  <c r="AD92" i="13"/>
  <c r="AX92" i="13"/>
  <c r="BB92" i="13"/>
  <c r="BF92" i="13"/>
  <c r="BL92" i="13"/>
  <c r="BP92" i="13"/>
  <c r="BT92" i="13"/>
  <c r="BZ92" i="13"/>
  <c r="CD92" i="13"/>
  <c r="CH92" i="13"/>
  <c r="AF89" i="13"/>
  <c r="AT89" i="13"/>
  <c r="BV89" i="13"/>
  <c r="CJ89" i="13"/>
  <c r="AF91" i="13"/>
  <c r="BV51" i="13"/>
  <c r="CJ51" i="13"/>
  <c r="BH54" i="13"/>
  <c r="BV54" i="13"/>
  <c r="CJ54" i="13"/>
  <c r="AF61" i="13"/>
  <c r="AT61" i="13"/>
  <c r="BV61" i="13"/>
  <c r="CJ61" i="13"/>
  <c r="BH64" i="13"/>
  <c r="BV64" i="13"/>
  <c r="CJ64" i="13"/>
  <c r="AF66" i="13"/>
  <c r="AT66" i="13"/>
  <c r="CJ66" i="13"/>
  <c r="AF74" i="13"/>
  <c r="CJ74" i="13"/>
  <c r="AY83" i="13"/>
  <c r="AF77" i="13"/>
  <c r="AT77" i="13"/>
  <c r="AF80" i="13"/>
  <c r="BH80" i="13"/>
  <c r="BV80" i="13"/>
  <c r="CJ80" i="13"/>
  <c r="Q55" i="13"/>
  <c r="AK55" i="13"/>
  <c r="AO55" i="13"/>
  <c r="AS55" i="13"/>
  <c r="AY55" i="13"/>
  <c r="AY96" i="13" s="1"/>
  <c r="AY98" i="13" s="1"/>
  <c r="BC55" i="13"/>
  <c r="BG55" i="13"/>
  <c r="BG96" i="13" s="1"/>
  <c r="BG98" i="13" s="1"/>
  <c r="BM55" i="13"/>
  <c r="BQ55" i="13"/>
  <c r="BU55" i="13"/>
  <c r="AF9" i="13"/>
  <c r="AT9" i="13"/>
  <c r="BH9" i="13"/>
  <c r="BV9" i="13"/>
  <c r="CJ9" i="13"/>
  <c r="AF14" i="13"/>
  <c r="AT14" i="13"/>
  <c r="BH14" i="13"/>
  <c r="BV14" i="13"/>
  <c r="CJ14" i="13"/>
  <c r="AF17" i="13"/>
  <c r="AT17" i="13"/>
  <c r="BV17" i="13"/>
  <c r="CJ17" i="13"/>
  <c r="AF25" i="13"/>
  <c r="AT25" i="13"/>
  <c r="BH25" i="13"/>
  <c r="BV25" i="13"/>
  <c r="CJ25" i="13"/>
  <c r="AF36" i="13"/>
  <c r="AT36" i="13"/>
  <c r="BH36" i="13"/>
  <c r="BV36" i="13"/>
  <c r="CJ36" i="13"/>
  <c r="AF44" i="13"/>
  <c r="AT44" i="13"/>
  <c r="BH44" i="13"/>
  <c r="BV44" i="13"/>
  <c r="CJ44" i="13"/>
  <c r="BV52" i="13"/>
  <c r="CJ52" i="13"/>
  <c r="AT67" i="13"/>
  <c r="BH67" i="13"/>
  <c r="CJ67" i="13"/>
  <c r="AF75" i="13"/>
  <c r="AT75" i="13"/>
  <c r="CJ75" i="13"/>
  <c r="AF78" i="13"/>
  <c r="BH78" i="13"/>
  <c r="CJ78" i="13"/>
  <c r="CJ90" i="13"/>
  <c r="T55" i="13"/>
  <c r="AB55" i="13"/>
  <c r="AL55" i="13"/>
  <c r="AV55" i="13"/>
  <c r="BD55" i="13"/>
  <c r="BX55" i="13"/>
  <c r="CF55" i="13"/>
  <c r="AF12" i="13"/>
  <c r="AT12" i="13"/>
  <c r="BH12" i="13"/>
  <c r="BV12" i="13"/>
  <c r="CJ12" i="13"/>
  <c r="AF15" i="13"/>
  <c r="AT15" i="13"/>
  <c r="BH15" i="13"/>
  <c r="BV15" i="13"/>
  <c r="CJ15" i="13"/>
  <c r="AT18" i="13"/>
  <c r="BH18" i="13"/>
  <c r="BV18" i="13"/>
  <c r="CJ18" i="13"/>
  <c r="AF20" i="13"/>
  <c r="AT20" i="13"/>
  <c r="BH20" i="13"/>
  <c r="BV20" i="13"/>
  <c r="CJ20" i="13"/>
  <c r="AF23" i="13"/>
  <c r="AT23" i="13"/>
  <c r="BH23" i="13"/>
  <c r="BV23" i="13"/>
  <c r="CJ23" i="13"/>
  <c r="AF26" i="13"/>
  <c r="AT26" i="13"/>
  <c r="BH26" i="13"/>
  <c r="BV26" i="13"/>
  <c r="CJ26" i="13"/>
  <c r="AF28" i="13"/>
  <c r="AT28" i="13"/>
  <c r="BH28" i="13"/>
  <c r="BV28" i="13"/>
  <c r="CJ28" i="13"/>
  <c r="AF31" i="13"/>
  <c r="AT31" i="13"/>
  <c r="BH31" i="13"/>
  <c r="BV31" i="13"/>
  <c r="CJ31" i="13"/>
  <c r="AF37" i="13"/>
  <c r="AT37" i="13"/>
  <c r="BH37" i="13"/>
  <c r="BV37" i="13"/>
  <c r="CJ37" i="13"/>
  <c r="AF39" i="13"/>
  <c r="AT39" i="13"/>
  <c r="BH39" i="13"/>
  <c r="BV39" i="13"/>
  <c r="CJ39" i="13"/>
  <c r="AF42" i="13"/>
  <c r="AT42" i="13"/>
  <c r="BH42" i="13"/>
  <c r="BV42" i="13"/>
  <c r="CJ42" i="13"/>
  <c r="AF45" i="13"/>
  <c r="AT45" i="13"/>
  <c r="BH45" i="13"/>
  <c r="BV45" i="13"/>
  <c r="CJ45" i="13"/>
  <c r="AF47" i="13"/>
  <c r="AT47" i="13"/>
  <c r="BH47" i="13"/>
  <c r="BV47" i="13"/>
  <c r="CJ47" i="13"/>
  <c r="AF50" i="13"/>
  <c r="AT50" i="13"/>
  <c r="BH50" i="13"/>
  <c r="BV50" i="13"/>
  <c r="CJ50" i="13"/>
  <c r="BV53" i="13"/>
  <c r="CJ53" i="13"/>
  <c r="CJ76" i="13"/>
  <c r="X55" i="13"/>
  <c r="AH55" i="13"/>
  <c r="AP55" i="13"/>
  <c r="AZ55" i="13"/>
  <c r="CB55" i="13"/>
  <c r="U55" i="13"/>
  <c r="Y55" i="13"/>
  <c r="AC55" i="13"/>
  <c r="AI55" i="13"/>
  <c r="AM55" i="13"/>
  <c r="AQ55" i="13"/>
  <c r="AQ96" i="13" s="1"/>
  <c r="AQ98" i="13" s="1"/>
  <c r="BK55" i="13"/>
  <c r="BK96" i="13" s="1"/>
  <c r="BK98" i="13" s="1"/>
  <c r="BO55" i="13"/>
  <c r="BS55" i="13"/>
  <c r="AF10" i="13"/>
  <c r="AT10" i="13"/>
  <c r="BH10" i="13"/>
  <c r="BV10" i="13"/>
  <c r="CJ10" i="13"/>
  <c r="AF13" i="13"/>
  <c r="AT13" i="13"/>
  <c r="BH13" i="13"/>
  <c r="BV13" i="13"/>
  <c r="CJ13" i="13"/>
  <c r="AF21" i="13"/>
  <c r="AT21" i="13"/>
  <c r="BH21" i="13"/>
  <c r="BV21" i="13"/>
  <c r="CJ21" i="13"/>
  <c r="AF29" i="13"/>
  <c r="AT29" i="13"/>
  <c r="BH29" i="13"/>
  <c r="BV29" i="13"/>
  <c r="CJ29" i="13"/>
  <c r="AF40" i="13"/>
  <c r="AT40" i="13"/>
  <c r="BH40" i="13"/>
  <c r="BV40" i="13"/>
  <c r="CJ40" i="13"/>
  <c r="AF48" i="13"/>
  <c r="AT48" i="13"/>
  <c r="BH48" i="13"/>
  <c r="BV48" i="13"/>
  <c r="CJ48" i="13"/>
  <c r="AT63" i="13"/>
  <c r="BH63" i="13"/>
  <c r="CJ63" i="13"/>
  <c r="BC83" i="13"/>
  <c r="AI83" i="13"/>
  <c r="BV91" i="13"/>
  <c r="CJ91" i="13"/>
  <c r="AF97" i="13"/>
  <c r="AT97" i="13"/>
  <c r="BH97" i="13"/>
  <c r="BV97" i="13"/>
  <c r="X58" i="14"/>
  <c r="BH7" i="13"/>
  <c r="BH17" i="13"/>
  <c r="R7" i="13"/>
  <c r="R55" i="13" s="1"/>
  <c r="R96" i="13" s="1"/>
  <c r="W55" i="13"/>
  <c r="W96" i="13" s="1"/>
  <c r="W98" i="13" s="1"/>
  <c r="AA55" i="13"/>
  <c r="AE55" i="13"/>
  <c r="AE96" i="13" s="1"/>
  <c r="AE98" i="13" s="1"/>
  <c r="AJ55" i="13"/>
  <c r="AN55" i="13"/>
  <c r="AR55" i="13"/>
  <c r="AW55" i="13"/>
  <c r="BA55" i="13"/>
  <c r="BE55" i="13"/>
  <c r="BJ55" i="13"/>
  <c r="BJ96" i="13" s="1"/>
  <c r="BJ98" i="13" s="1"/>
  <c r="BN55" i="13"/>
  <c r="BN96" i="13" s="1"/>
  <c r="BN98" i="13" s="1"/>
  <c r="BR55" i="13"/>
  <c r="BR96" i="13" s="1"/>
  <c r="BR98" i="13" s="1"/>
  <c r="BV7" i="13"/>
  <c r="CA55" i="13"/>
  <c r="CA95" i="13" s="1"/>
  <c r="CA97" i="13" s="1"/>
  <c r="CE55" i="13"/>
  <c r="CI55" i="13"/>
  <c r="CI95" i="13" s="1"/>
  <c r="CI97" i="13" s="1"/>
  <c r="AF7" i="13"/>
  <c r="CJ7" i="13"/>
  <c r="AF18" i="13"/>
  <c r="AT7" i="13"/>
  <c r="BY55" i="13"/>
  <c r="CC55" i="13"/>
  <c r="CG55" i="13"/>
  <c r="BH16" i="13"/>
  <c r="R60" i="13"/>
  <c r="R68" i="13" s="1"/>
  <c r="R97" i="13" s="1"/>
  <c r="BH62" i="13"/>
  <c r="BV63" i="13"/>
  <c r="BV73" i="13"/>
  <c r="AH68" i="13"/>
  <c r="AL68" i="13"/>
  <c r="AP68" i="13"/>
  <c r="BH60" i="13"/>
  <c r="BH66" i="13"/>
  <c r="BV66" i="13"/>
  <c r="BV67" i="13"/>
  <c r="BV60" i="13"/>
  <c r="BH61" i="13"/>
  <c r="AF63" i="13"/>
  <c r="AF64" i="13"/>
  <c r="AT64" i="13"/>
  <c r="AM83" i="13"/>
  <c r="AM96" i="13" s="1"/>
  <c r="AM98" i="13" s="1"/>
  <c r="BH75" i="13"/>
  <c r="BV75" i="13"/>
  <c r="BH65" i="13"/>
  <c r="AF67" i="13"/>
  <c r="AT74" i="13"/>
  <c r="BH74" i="13"/>
  <c r="BV74" i="13"/>
  <c r="AF76" i="13"/>
  <c r="BH76" i="13"/>
  <c r="BV77" i="13"/>
  <c r="BV79" i="13"/>
  <c r="AF88" i="13"/>
  <c r="AF92" i="13" s="1"/>
  <c r="CE95" i="13"/>
  <c r="CE97" i="13" s="1"/>
  <c r="T83" i="13"/>
  <c r="T96" i="13" s="1"/>
  <c r="T98" i="13" s="1"/>
  <c r="X83" i="13"/>
  <c r="X96" i="13" s="1"/>
  <c r="X98" i="13" s="1"/>
  <c r="AB83" i="13"/>
  <c r="AB96" i="13" s="1"/>
  <c r="AB98" i="13" s="1"/>
  <c r="AF73" i="13"/>
  <c r="AK83" i="13"/>
  <c r="AK96" i="13" s="1"/>
  <c r="AK98" i="13" s="1"/>
  <c r="AO83" i="13"/>
  <c r="AO96" i="13" s="1"/>
  <c r="AO98" i="13" s="1"/>
  <c r="AS83" i="13"/>
  <c r="AS96" i="13" s="1"/>
  <c r="AS98" i="13" s="1"/>
  <c r="AX83" i="13"/>
  <c r="AX96" i="13" s="1"/>
  <c r="AX98" i="13" s="1"/>
  <c r="BB83" i="13"/>
  <c r="BB96" i="13" s="1"/>
  <c r="BB98" i="13" s="1"/>
  <c r="BF83" i="13"/>
  <c r="BX83" i="13"/>
  <c r="BX95" i="13" s="1"/>
  <c r="BX97" i="13" s="1"/>
  <c r="CB83" i="13"/>
  <c r="CB95" i="13" s="1"/>
  <c r="CB97" i="13" s="1"/>
  <c r="CF83" i="13"/>
  <c r="CJ73" i="13"/>
  <c r="AT78" i="13"/>
  <c r="AF79" i="13"/>
  <c r="AT80" i="13"/>
  <c r="BH81" i="13"/>
  <c r="AH92" i="13"/>
  <c r="AL92" i="13"/>
  <c r="AP92" i="13"/>
  <c r="AV92" i="13"/>
  <c r="AZ92" i="13"/>
  <c r="BD92" i="13"/>
  <c r="CF95" i="13"/>
  <c r="CF97" i="13" s="1"/>
  <c r="CJ88" i="13"/>
  <c r="BH89" i="13"/>
  <c r="BV90" i="13"/>
  <c r="AF60" i="13"/>
  <c r="CJ60" i="13"/>
  <c r="U83" i="13"/>
  <c r="U96" i="13" s="1"/>
  <c r="U98" i="13" s="1"/>
  <c r="Y83" i="13"/>
  <c r="AC83" i="13"/>
  <c r="AC96" i="13" s="1"/>
  <c r="AC98" i="13" s="1"/>
  <c r="AH83" i="13"/>
  <c r="AL83" i="13"/>
  <c r="AP83" i="13"/>
  <c r="AT73" i="13"/>
  <c r="BL83" i="13"/>
  <c r="BL96" i="13" s="1"/>
  <c r="BL98" i="13" s="1"/>
  <c r="BP83" i="13"/>
  <c r="BP96" i="13" s="1"/>
  <c r="BP98" i="13" s="1"/>
  <c r="BT83" i="13"/>
  <c r="BT96" i="13" s="1"/>
  <c r="BT98" i="13" s="1"/>
  <c r="BY83" i="13"/>
  <c r="CC83" i="13"/>
  <c r="CC95" i="13" s="1"/>
  <c r="CC97" i="13" s="1"/>
  <c r="CG83" i="13"/>
  <c r="CG95" i="13" s="1"/>
  <c r="CG97" i="13" s="1"/>
  <c r="BH77" i="13"/>
  <c r="BV78" i="13"/>
  <c r="BH79" i="13"/>
  <c r="AF82" i="13"/>
  <c r="AT82" i="13"/>
  <c r="AW92" i="13"/>
  <c r="BA92" i="13"/>
  <c r="BE92" i="13"/>
  <c r="AT60" i="13"/>
  <c r="Q83" i="13"/>
  <c r="V83" i="13"/>
  <c r="V96" i="13" s="1"/>
  <c r="V98" i="13" s="1"/>
  <c r="Z83" i="13"/>
  <c r="Z96" i="13" s="1"/>
  <c r="Z98" i="13" s="1"/>
  <c r="AD83" i="13"/>
  <c r="AD96" i="13" s="1"/>
  <c r="AD98" i="13" s="1"/>
  <c r="AV83" i="13"/>
  <c r="AV96" i="13" s="1"/>
  <c r="AV98" i="13" s="1"/>
  <c r="AZ83" i="13"/>
  <c r="BD83" i="13"/>
  <c r="BD96" i="13" s="1"/>
  <c r="BD98" i="13" s="1"/>
  <c r="BH73" i="13"/>
  <c r="BM83" i="13"/>
  <c r="BM96" i="13" s="1"/>
  <c r="BM98" i="13" s="1"/>
  <c r="BQ83" i="13"/>
  <c r="BU83" i="13"/>
  <c r="BU96" i="13" s="1"/>
  <c r="BU98" i="13" s="1"/>
  <c r="BZ83" i="13"/>
  <c r="CD83" i="13"/>
  <c r="CD95" i="13" s="1"/>
  <c r="CD97" i="13" s="1"/>
  <c r="CH83" i="13"/>
  <c r="CH95" i="13" s="1"/>
  <c r="CH97" i="13" s="1"/>
  <c r="AT76" i="13"/>
  <c r="CJ77" i="13"/>
  <c r="CJ79" i="13"/>
  <c r="CJ82" i="13"/>
  <c r="R92" i="13"/>
  <c r="R99" i="13" s="1"/>
  <c r="AJ92" i="13"/>
  <c r="AN92" i="13"/>
  <c r="AR92" i="13"/>
  <c r="BZ95" i="13"/>
  <c r="BZ97" i="13" s="1"/>
  <c r="AT91" i="13"/>
  <c r="BH91" i="13"/>
  <c r="AT88" i="13"/>
  <c r="BH88" i="13"/>
  <c r="Q92" i="13"/>
  <c r="BV88" i="13"/>
  <c r="BQ96" i="13" l="1"/>
  <c r="BQ98" i="13" s="1"/>
  <c r="CJ68" i="13"/>
  <c r="CJ92" i="13"/>
  <c r="BF96" i="13"/>
  <c r="BF98" i="13" s="1"/>
  <c r="AT55" i="13"/>
  <c r="BS96" i="13"/>
  <c r="BS98" i="13" s="1"/>
  <c r="BV92" i="13"/>
  <c r="BY95" i="13"/>
  <c r="BY97" i="13" s="1"/>
  <c r="AF68" i="13"/>
  <c r="BO96" i="13"/>
  <c r="BO98" i="13" s="1"/>
  <c r="Y96" i="13"/>
  <c r="Y98" i="13" s="1"/>
  <c r="CJ55" i="13"/>
  <c r="AA96" i="13"/>
  <c r="AA98" i="13" s="1"/>
  <c r="AZ96" i="13"/>
  <c r="AZ98" i="13" s="1"/>
  <c r="BV55" i="13"/>
  <c r="AT68" i="13"/>
  <c r="AT92" i="13"/>
  <c r="AH96" i="13"/>
  <c r="AH98" i="13" s="1"/>
  <c r="AI96" i="13"/>
  <c r="AI98" i="13" s="1"/>
  <c r="AP96" i="13"/>
  <c r="AP98" i="13" s="1"/>
  <c r="BC96" i="13"/>
  <c r="BC98" i="13" s="1"/>
  <c r="AL96" i="13"/>
  <c r="AL98" i="13" s="1"/>
  <c r="BH83" i="13"/>
  <c r="AF55" i="13"/>
  <c r="AW96" i="13"/>
  <c r="AW98" i="13" s="1"/>
  <c r="BH55" i="13"/>
  <c r="AF83" i="13"/>
  <c r="AF98" i="13"/>
  <c r="AR96" i="13"/>
  <c r="AR98" i="13" s="1"/>
  <c r="AT83" i="13"/>
  <c r="AT96" i="13" s="1"/>
  <c r="AT98" i="13" s="1"/>
  <c r="BV68" i="13"/>
  <c r="BH68" i="13"/>
  <c r="BV83" i="13"/>
  <c r="BV96" i="13" s="1"/>
  <c r="BV98" i="13" s="1"/>
  <c r="BE96" i="13"/>
  <c r="BE98" i="13" s="1"/>
  <c r="AN96" i="13"/>
  <c r="AN98" i="13" s="1"/>
  <c r="BH92" i="13"/>
  <c r="CJ83" i="13"/>
  <c r="CJ95" i="13" s="1"/>
  <c r="CJ97" i="13" s="1"/>
  <c r="BA96" i="13"/>
  <c r="BA98" i="13" s="1"/>
  <c r="AJ96" i="13"/>
  <c r="AJ98" i="13" s="1"/>
  <c r="R100" i="13"/>
  <c r="R104" i="13" s="1"/>
  <c r="BH96" i="13" l="1"/>
  <c r="BH98" i="13" s="1"/>
  <c r="AF96" i="13"/>
  <c r="D84" i="12" l="1"/>
  <c r="D108" i="12"/>
  <c r="G108" i="12" s="1"/>
  <c r="D107" i="12"/>
  <c r="G107" i="12" s="1"/>
  <c r="D106" i="12"/>
  <c r="G106" i="12" s="1"/>
  <c r="D105" i="12"/>
  <c r="G105" i="12" s="1"/>
  <c r="D104" i="12"/>
  <c r="G104" i="12" s="1"/>
  <c r="D98" i="12"/>
  <c r="G98" i="12" s="1"/>
  <c r="D97" i="12"/>
  <c r="G97" i="12" s="1"/>
  <c r="D96" i="12"/>
  <c r="G96" i="12" s="1"/>
  <c r="D95" i="12"/>
  <c r="G95" i="12" s="1"/>
  <c r="D88" i="12"/>
  <c r="G88" i="12" s="1"/>
  <c r="D87" i="12"/>
  <c r="G87" i="12" s="1"/>
  <c r="D86" i="12"/>
  <c r="G86" i="12" s="1"/>
  <c r="D85" i="12"/>
  <c r="G85" i="12" s="1"/>
  <c r="G84" i="12"/>
  <c r="D83" i="12"/>
  <c r="G83" i="12" s="1"/>
  <c r="D82" i="12"/>
  <c r="G82" i="12" s="1"/>
  <c r="D74" i="12"/>
  <c r="G74" i="12" s="1"/>
  <c r="D73" i="12"/>
  <c r="G73" i="12" s="1"/>
  <c r="D72" i="12"/>
  <c r="G72" i="12" s="1"/>
  <c r="D71" i="12"/>
  <c r="G71" i="12" s="1"/>
  <c r="D64" i="12"/>
  <c r="G64" i="12" s="1"/>
  <c r="D63" i="12"/>
  <c r="G63" i="12" s="1"/>
  <c r="D62" i="12"/>
  <c r="G62" i="12" s="1"/>
  <c r="G61" i="12"/>
  <c r="D61" i="12"/>
  <c r="D60" i="12"/>
  <c r="G60" i="12" s="1"/>
  <c r="D53" i="12"/>
  <c r="G53" i="12" s="1"/>
  <c r="D52" i="12"/>
  <c r="G52" i="12" s="1"/>
  <c r="D51" i="12"/>
  <c r="G51" i="12" s="1"/>
  <c r="D50" i="12"/>
  <c r="G50" i="12" s="1"/>
  <c r="D49" i="12"/>
  <c r="G49" i="12" s="1"/>
  <c r="D48" i="12"/>
  <c r="G48" i="12" s="1"/>
  <c r="D42" i="12"/>
  <c r="D41" i="12"/>
  <c r="G41" i="12" s="1"/>
  <c r="D40" i="12"/>
  <c r="G40" i="12" s="1"/>
  <c r="D39" i="12"/>
  <c r="G39" i="12" s="1"/>
  <c r="D38" i="12"/>
  <c r="G38" i="12" s="1"/>
  <c r="D32" i="12"/>
  <c r="G32" i="12" s="1"/>
  <c r="D31" i="12"/>
  <c r="G31" i="12" s="1"/>
  <c r="D30" i="12"/>
  <c r="G30" i="12" s="1"/>
  <c r="D29" i="12"/>
  <c r="G29" i="12" s="1"/>
  <c r="D23" i="12"/>
  <c r="G23" i="12" s="1"/>
  <c r="D22" i="12"/>
  <c r="G22" i="12" s="1"/>
  <c r="D21" i="12"/>
  <c r="G21" i="12" s="1"/>
  <c r="D20" i="12"/>
  <c r="G20" i="12" s="1"/>
  <c r="D19" i="12"/>
  <c r="G19" i="12" s="1"/>
  <c r="D18" i="12"/>
  <c r="G18" i="12" s="1"/>
  <c r="D11" i="12"/>
  <c r="G11" i="12" s="1"/>
  <c r="D10" i="12"/>
  <c r="G10" i="12" s="1"/>
  <c r="D9" i="12"/>
  <c r="G9" i="12" s="1"/>
  <c r="D8" i="12"/>
  <c r="G8" i="12" s="1"/>
  <c r="D7" i="12"/>
  <c r="G7" i="12" s="1"/>
  <c r="D6" i="12"/>
  <c r="G6" i="12" s="1"/>
  <c r="G115" i="12"/>
  <c r="G12" i="12" l="1"/>
  <c r="G24" i="12"/>
  <c r="G33" i="12"/>
  <c r="G65" i="12"/>
  <c r="G89" i="12"/>
  <c r="G109" i="12"/>
  <c r="G43" i="12"/>
  <c r="G54" i="12"/>
  <c r="G75" i="12"/>
  <c r="G99" i="12"/>
  <c r="G113" i="12" l="1"/>
  <c r="G117" i="12" s="1"/>
  <c r="E20" i="11"/>
  <c r="G5" i="11" s="1"/>
  <c r="G7" i="11" s="1"/>
  <c r="C54" i="11"/>
  <c r="H6" i="11" s="1"/>
  <c r="H449" i="6" s="1"/>
  <c r="H665" i="6" s="1"/>
  <c r="E40" i="11"/>
  <c r="D40" i="11"/>
  <c r="D6" i="11" s="1"/>
  <c r="C40" i="11"/>
  <c r="F39" i="11"/>
  <c r="F38" i="11"/>
  <c r="F37" i="11"/>
  <c r="F36" i="11"/>
  <c r="F35" i="11"/>
  <c r="F34" i="11"/>
  <c r="F33" i="11"/>
  <c r="F32" i="11"/>
  <c r="F31" i="11"/>
  <c r="I30" i="11"/>
  <c r="G28" i="11"/>
  <c r="B29" i="11" s="1"/>
  <c r="G29" i="11" s="1"/>
  <c r="B30" i="11" s="1"/>
  <c r="G30" i="11" s="1"/>
  <c r="B31" i="11" s="1"/>
  <c r="G31" i="11" s="1"/>
  <c r="B32" i="11" s="1"/>
  <c r="G32" i="11" s="1"/>
  <c r="B33" i="11" s="1"/>
  <c r="G33" i="11" s="1"/>
  <c r="B34" i="11" s="1"/>
  <c r="G34" i="11" s="1"/>
  <c r="B35" i="11" s="1"/>
  <c r="G35" i="11" s="1"/>
  <c r="B36" i="11" s="1"/>
  <c r="G36" i="11" s="1"/>
  <c r="B37" i="11" s="1"/>
  <c r="G37" i="11" s="1"/>
  <c r="B38" i="11" s="1"/>
  <c r="G38" i="11" s="1"/>
  <c r="B39" i="11" s="1"/>
  <c r="G39" i="11" s="1"/>
  <c r="L19" i="11"/>
  <c r="G9" i="11" s="1"/>
  <c r="J18" i="11"/>
  <c r="M17" i="11"/>
  <c r="D20" i="11"/>
  <c r="D5" i="11" s="1"/>
  <c r="D7" i="11" s="1"/>
  <c r="K16" i="11"/>
  <c r="K19" i="11" s="1"/>
  <c r="D9" i="11" s="1"/>
  <c r="J16" i="11"/>
  <c r="J15" i="11"/>
  <c r="N15" i="11" s="1"/>
  <c r="I16" i="11" s="1"/>
  <c r="F15" i="11"/>
  <c r="B16" i="11" s="1"/>
  <c r="F16" i="11" s="1"/>
  <c r="B17" i="11" s="1"/>
  <c r="F17" i="11" s="1"/>
  <c r="B18" i="11" s="1"/>
  <c r="F18" i="11" s="1"/>
  <c r="B19" i="11" s="1"/>
  <c r="F19" i="11" s="1"/>
  <c r="B22" i="11" s="1"/>
  <c r="E6" i="11"/>
  <c r="B6" i="11"/>
  <c r="I5" i="11"/>
  <c r="F5" i="11"/>
  <c r="E5" i="11"/>
  <c r="E7" i="11" s="1"/>
  <c r="I40" i="11" l="1"/>
  <c r="H7" i="11"/>
  <c r="N16" i="11"/>
  <c r="I17" i="11" s="1"/>
  <c r="N17" i="11" s="1"/>
  <c r="I18" i="11" s="1"/>
  <c r="N18" i="11" s="1"/>
  <c r="I21" i="11" s="1"/>
  <c r="N21" i="11" s="1"/>
  <c r="I22" i="11" s="1"/>
  <c r="N22" i="11" s="1"/>
  <c r="I23" i="11" s="1"/>
  <c r="N23" i="11" s="1"/>
  <c r="I24" i="11" s="1"/>
  <c r="N24" i="11" s="1"/>
  <c r="B42" i="11"/>
  <c r="C6" i="11"/>
  <c r="F22" i="11"/>
  <c r="B23" i="11" s="1"/>
  <c r="D22" i="11"/>
  <c r="H373" i="6"/>
  <c r="F25" i="27" l="1"/>
  <c r="F26" i="27" s="1"/>
  <c r="I6" i="11"/>
  <c r="I7" i="11" s="1"/>
  <c r="C7" i="11"/>
  <c r="D42" i="11"/>
  <c r="E42" i="11" s="1"/>
  <c r="F6" i="11"/>
  <c r="F7" i="11" s="1"/>
  <c r="G42" i="11" l="1"/>
  <c r="B43" i="11" s="1"/>
  <c r="D43" i="11" l="1"/>
  <c r="E43" i="11" s="1"/>
  <c r="G43" i="11" l="1"/>
  <c r="B44" i="11" s="1"/>
  <c r="D44" i="11" l="1"/>
  <c r="E44" i="11" s="1"/>
  <c r="G44" i="11" l="1"/>
  <c r="B45" i="11" s="1"/>
  <c r="D45" i="11" l="1"/>
  <c r="E45" i="11" s="1"/>
  <c r="G45" i="11" l="1"/>
  <c r="B46" i="11" s="1"/>
  <c r="D46" i="11" l="1"/>
  <c r="E46" i="11" s="1"/>
  <c r="G46" i="11" l="1"/>
  <c r="B47" i="11" s="1"/>
  <c r="D47" i="11" l="1"/>
  <c r="E47" i="11" s="1"/>
  <c r="G47" i="11" l="1"/>
  <c r="B48" i="11" s="1"/>
  <c r="D48" i="11" l="1"/>
  <c r="E48" i="11" s="1"/>
  <c r="G48" i="11" l="1"/>
  <c r="B49" i="11" s="1"/>
  <c r="D49" i="11" l="1"/>
  <c r="E49" i="11" s="1"/>
  <c r="G49" i="11" l="1"/>
  <c r="B50" i="11" s="1"/>
  <c r="D50" i="11" l="1"/>
  <c r="E50" i="11" s="1"/>
  <c r="G50" i="11" l="1"/>
  <c r="B51" i="11" s="1"/>
  <c r="D51" i="11" l="1"/>
  <c r="E51" i="11" s="1"/>
  <c r="G51" i="11" l="1"/>
  <c r="B52" i="11" s="1"/>
  <c r="D52" i="11" l="1"/>
  <c r="E52" i="11" s="1"/>
  <c r="G52" i="11" l="1"/>
  <c r="B53" i="11" s="1"/>
  <c r="D53" i="11" l="1"/>
  <c r="E53" i="11" s="1"/>
  <c r="G53" i="11" l="1"/>
  <c r="J265" i="2" l="1"/>
  <c r="G265" i="2"/>
  <c r="J231" i="2"/>
  <c r="G231" i="2"/>
  <c r="J230" i="2"/>
  <c r="G230" i="2"/>
  <c r="F18" i="8"/>
  <c r="E18" i="8"/>
  <c r="E20" i="8" s="1"/>
  <c r="D18" i="8"/>
  <c r="C18" i="8"/>
  <c r="G17" i="8"/>
  <c r="G16" i="8"/>
  <c r="G15" i="8"/>
  <c r="G14" i="8"/>
  <c r="G13" i="8"/>
  <c r="G12" i="8"/>
  <c r="G11" i="8"/>
  <c r="G10" i="8"/>
  <c r="G9" i="8"/>
  <c r="G8" i="8"/>
  <c r="G7" i="8"/>
  <c r="G6" i="8"/>
  <c r="G5" i="8"/>
  <c r="G4" i="8"/>
  <c r="H484" i="6"/>
  <c r="H455" i="6"/>
  <c r="D39" i="30" l="1"/>
  <c r="G18" i="8"/>
  <c r="G20" i="8" s="1"/>
  <c r="H240" i="6"/>
  <c r="K10" i="39" s="1"/>
  <c r="O10" i="39" s="1"/>
  <c r="I480" i="6"/>
  <c r="I274" i="6"/>
  <c r="H526" i="6"/>
  <c r="H452" i="6"/>
  <c r="I285" i="6"/>
  <c r="I485" i="6"/>
  <c r="H290" i="6"/>
  <c r="P494" i="6"/>
  <c r="H292" i="6"/>
  <c r="H528" i="6"/>
  <c r="I499" i="6"/>
  <c r="I515" i="6"/>
  <c r="H281" i="6"/>
  <c r="I233" i="6"/>
  <c r="I514" i="6"/>
  <c r="H277" i="6"/>
  <c r="H541" i="6"/>
  <c r="I277" i="6"/>
  <c r="I470" i="6"/>
  <c r="H500" i="6"/>
  <c r="H293" i="6"/>
  <c r="I508" i="6"/>
  <c r="H232" i="6"/>
  <c r="I543" i="6"/>
  <c r="I544" i="6"/>
  <c r="H407" i="6"/>
  <c r="I450" i="6"/>
  <c r="H226" i="6"/>
  <c r="H379" i="6"/>
  <c r="I87" i="6"/>
  <c r="H515" i="6"/>
  <c r="I547" i="6"/>
  <c r="H522" i="6"/>
  <c r="I479" i="6"/>
  <c r="H496" i="6"/>
  <c r="H516" i="6"/>
  <c r="H532" i="6"/>
  <c r="H523" i="6"/>
  <c r="H533" i="6"/>
  <c r="I509" i="6"/>
  <c r="I494" i="6"/>
  <c r="H552" i="6"/>
  <c r="H529" i="6"/>
  <c r="U494" i="6"/>
  <c r="I289" i="6"/>
  <c r="H285" i="6"/>
  <c r="H470" i="6"/>
  <c r="H530" i="6"/>
  <c r="H479" i="6"/>
  <c r="H525" i="6"/>
  <c r="H494" i="6"/>
  <c r="I500" i="6"/>
  <c r="H480" i="6"/>
  <c r="H514" i="6"/>
  <c r="H535" i="6"/>
  <c r="H551" i="6"/>
  <c r="I516" i="6"/>
  <c r="I541" i="6"/>
  <c r="I481" i="6"/>
  <c r="H474" i="6"/>
  <c r="I232" i="6"/>
  <c r="S494" i="6"/>
  <c r="H481" i="6"/>
  <c r="H508" i="6"/>
  <c r="I226" i="6"/>
  <c r="I474" i="6"/>
  <c r="H462" i="6"/>
  <c r="I452" i="6"/>
  <c r="I545" i="6"/>
  <c r="H450" i="6"/>
  <c r="I379" i="6"/>
  <c r="I407" i="6"/>
  <c r="I512" i="6"/>
  <c r="H518" i="6"/>
  <c r="H499" i="6"/>
  <c r="H524" i="6"/>
  <c r="H550" i="6"/>
  <c r="H291" i="6"/>
  <c r="I540" i="6"/>
  <c r="I9" i="6"/>
  <c r="I291" i="6"/>
  <c r="I293" i="6"/>
  <c r="H289" i="6"/>
  <c r="H233" i="6"/>
  <c r="I496" i="6"/>
  <c r="I281" i="6"/>
  <c r="I546" i="6"/>
  <c r="H512" i="6"/>
  <c r="H274" i="6"/>
  <c r="H553" i="6"/>
  <c r="H527" i="6"/>
  <c r="H509" i="6"/>
  <c r="I290" i="6"/>
  <c r="H627" i="6" l="1"/>
  <c r="H548" i="6"/>
  <c r="F68" i="23"/>
  <c r="F63" i="23"/>
  <c r="F64" i="23"/>
  <c r="F18" i="34"/>
  <c r="F67" i="23"/>
  <c r="D12" i="35"/>
  <c r="F69" i="23"/>
  <c r="F66" i="23"/>
  <c r="F70" i="23"/>
  <c r="F65" i="23"/>
  <c r="B50" i="22"/>
  <c r="D44" i="36" s="1"/>
  <c r="H287" i="6"/>
  <c r="K20" i="25"/>
  <c r="B26" i="22"/>
  <c r="D24" i="36" s="1"/>
  <c r="B28" i="22"/>
  <c r="D26" i="36" s="1"/>
  <c r="B38" i="22"/>
  <c r="B30" i="22"/>
  <c r="D28" i="36" s="1"/>
  <c r="C12" i="22"/>
  <c r="E12" i="36" s="1"/>
  <c r="J9" i="6"/>
  <c r="I287" i="6"/>
  <c r="G9" i="30"/>
  <c r="E10" i="30"/>
  <c r="D10" i="30"/>
  <c r="D9" i="30"/>
  <c r="E9" i="30"/>
  <c r="E39" i="30"/>
  <c r="H9" i="30"/>
  <c r="E26" i="17"/>
  <c r="G26" i="17" s="1"/>
  <c r="L514" i="6"/>
  <c r="I16" i="17"/>
  <c r="I19" i="17"/>
  <c r="E7" i="21"/>
  <c r="D7" i="21" s="1"/>
  <c r="I17" i="25"/>
  <c r="E17" i="21"/>
  <c r="E21" i="17"/>
  <c r="G21" i="17" s="1"/>
  <c r="H21" i="17" s="1"/>
  <c r="H28" i="17" s="1"/>
  <c r="H29" i="17" s="1"/>
  <c r="I18" i="17"/>
  <c r="J509" i="6"/>
  <c r="E19" i="17"/>
  <c r="G19" i="17" s="1"/>
  <c r="J514" i="6"/>
  <c r="E16" i="17"/>
  <c r="G16" i="17" s="1"/>
  <c r="J508" i="6"/>
  <c r="E17" i="17"/>
  <c r="G17" i="17" s="1"/>
  <c r="J515" i="6"/>
  <c r="I10" i="17"/>
  <c r="F23" i="27"/>
  <c r="I26" i="17"/>
  <c r="J516" i="6"/>
  <c r="E13" i="17"/>
  <c r="G13" i="17" s="1"/>
  <c r="E10" i="17"/>
  <c r="G10" i="17" s="1"/>
  <c r="E24" i="17"/>
  <c r="G24" i="17" s="1"/>
  <c r="J512" i="6"/>
  <c r="E18" i="17"/>
  <c r="G18" i="17" s="1"/>
  <c r="I24" i="17"/>
  <c r="I17" i="17"/>
  <c r="G23" i="27"/>
  <c r="J518" i="6"/>
  <c r="E20" i="17"/>
  <c r="G20" i="17" s="1"/>
  <c r="H17" i="21"/>
  <c r="I21" i="17"/>
  <c r="I13" i="17"/>
  <c r="I548" i="6"/>
  <c r="H490" i="6"/>
  <c r="G32" i="17" l="1"/>
  <c r="G35" i="17" s="1"/>
  <c r="H589" i="6" s="1"/>
  <c r="B45" i="22"/>
  <c r="D34" i="36"/>
  <c r="D40" i="36" s="1"/>
  <c r="K17" i="25"/>
  <c r="I463" i="6"/>
  <c r="F981" i="6" l="1"/>
  <c r="F979" i="6"/>
  <c r="F975" i="6"/>
  <c r="F974" i="6"/>
  <c r="F970" i="6"/>
  <c r="F969" i="6"/>
  <c r="F965" i="6"/>
  <c r="F964" i="6"/>
  <c r="F960" i="6"/>
  <c r="F959" i="6"/>
  <c r="I748" i="6"/>
  <c r="I750" i="6" s="1"/>
  <c r="H748" i="6"/>
  <c r="H750" i="6" s="1"/>
  <c r="I738" i="6"/>
  <c r="I737" i="6"/>
  <c r="I784" i="6" s="1"/>
  <c r="I832" i="6" s="1"/>
  <c r="I853" i="6" s="1"/>
  <c r="H737" i="6"/>
  <c r="H784" i="6" s="1"/>
  <c r="H832" i="6" s="1"/>
  <c r="H853" i="6" s="1"/>
  <c r="I718" i="6"/>
  <c r="I717" i="6"/>
  <c r="I711" i="6"/>
  <c r="I559" i="6" s="1"/>
  <c r="H711" i="6"/>
  <c r="H559" i="6" s="1"/>
  <c r="I710" i="6"/>
  <c r="H710" i="6"/>
  <c r="I709" i="6"/>
  <c r="H709" i="6"/>
  <c r="I708" i="6"/>
  <c r="H708" i="6"/>
  <c r="I707" i="6"/>
  <c r="H707" i="6"/>
  <c r="I701" i="6"/>
  <c r="I703" i="6" s="1"/>
  <c r="I694" i="6"/>
  <c r="I704" i="6" s="1"/>
  <c r="H685" i="6"/>
  <c r="H738" i="6" s="1"/>
  <c r="H663" i="6"/>
  <c r="I632" i="6"/>
  <c r="I662" i="6" s="1"/>
  <c r="H625" i="6"/>
  <c r="H632" i="6" s="1"/>
  <c r="H662" i="6" s="1"/>
  <c r="H677" i="6" s="1"/>
  <c r="I600" i="6"/>
  <c r="I572" i="6"/>
  <c r="H572" i="6"/>
  <c r="H539" i="6"/>
  <c r="I492" i="6"/>
  <c r="I84" i="6" s="1"/>
  <c r="Q480" i="6"/>
  <c r="R478" i="6"/>
  <c r="S477" i="6"/>
  <c r="S480" i="6" s="1"/>
  <c r="R477" i="6"/>
  <c r="P477" i="6"/>
  <c r="P480" i="6" s="1"/>
  <c r="R476" i="6"/>
  <c r="T467" i="6"/>
  <c r="R467" i="6"/>
  <c r="P467" i="6"/>
  <c r="H467" i="6"/>
  <c r="H505" i="6" s="1"/>
  <c r="T466" i="6"/>
  <c r="R466" i="6"/>
  <c r="P466" i="6"/>
  <c r="I399" i="6"/>
  <c r="H399" i="6"/>
  <c r="I394" i="6"/>
  <c r="H394" i="6"/>
  <c r="H301" i="6"/>
  <c r="H221" i="6"/>
  <c r="H271" i="6" s="1"/>
  <c r="I174" i="6"/>
  <c r="I176" i="6" s="1"/>
  <c r="H171" i="6" s="1"/>
  <c r="H174" i="6" s="1"/>
  <c r="H176" i="6" s="1"/>
  <c r="I166" i="6"/>
  <c r="I168" i="6" s="1"/>
  <c r="H164" i="6" s="1"/>
  <c r="H166" i="6" s="1"/>
  <c r="H168" i="6" s="1"/>
  <c r="I159" i="6"/>
  <c r="I161" i="6" s="1"/>
  <c r="H157" i="6" s="1"/>
  <c r="H159" i="6" s="1"/>
  <c r="H161" i="6" s="1"/>
  <c r="I152" i="6"/>
  <c r="I154" i="6" s="1"/>
  <c r="H150" i="6" s="1"/>
  <c r="H152" i="6" s="1"/>
  <c r="H154" i="6" s="1"/>
  <c r="I146" i="6"/>
  <c r="H144" i="6" s="1"/>
  <c r="H146" i="6" s="1"/>
  <c r="H29" i="6" s="1"/>
  <c r="C31" i="35" s="1"/>
  <c r="H142" i="6"/>
  <c r="G138" i="6"/>
  <c r="G217" i="6" s="1"/>
  <c r="G137" i="6"/>
  <c r="G216" i="6" s="1"/>
  <c r="G135" i="6"/>
  <c r="G214" i="6" s="1"/>
  <c r="G132" i="6"/>
  <c r="G211" i="6" s="1"/>
  <c r="G210" i="6"/>
  <c r="G128" i="6"/>
  <c r="G207" i="6" s="1"/>
  <c r="G127" i="6"/>
  <c r="G206" i="6" s="1"/>
  <c r="G124" i="6"/>
  <c r="G203" i="6" s="1"/>
  <c r="G123" i="6"/>
  <c r="G202" i="6" s="1"/>
  <c r="G120" i="6"/>
  <c r="G199" i="6" s="1"/>
  <c r="G119" i="6"/>
  <c r="G198" i="6" s="1"/>
  <c r="I99" i="6"/>
  <c r="N92" i="6"/>
  <c r="H77" i="6"/>
  <c r="H76" i="6"/>
  <c r="N9" i="6"/>
  <c r="J740" i="2"/>
  <c r="G740" i="2"/>
  <c r="J739" i="2"/>
  <c r="G739" i="2"/>
  <c r="J738" i="2"/>
  <c r="G738" i="2"/>
  <c r="J737" i="2"/>
  <c r="G737" i="2"/>
  <c r="J736" i="2"/>
  <c r="G736" i="2"/>
  <c r="J735" i="2"/>
  <c r="G735" i="2"/>
  <c r="J734" i="2"/>
  <c r="G734" i="2"/>
  <c r="J733" i="2"/>
  <c r="G733" i="2"/>
  <c r="J732" i="2"/>
  <c r="G732" i="2"/>
  <c r="J731" i="2"/>
  <c r="G731" i="2"/>
  <c r="J730" i="2"/>
  <c r="G730" i="2"/>
  <c r="J729" i="2"/>
  <c r="G729" i="2"/>
  <c r="J728" i="2"/>
  <c r="G728" i="2"/>
  <c r="J727" i="2"/>
  <c r="G727" i="2"/>
  <c r="J726" i="2"/>
  <c r="G726" i="2"/>
  <c r="J725" i="2"/>
  <c r="G725" i="2"/>
  <c r="J724" i="2"/>
  <c r="G724" i="2"/>
  <c r="J723" i="2"/>
  <c r="G723" i="2"/>
  <c r="J722" i="2"/>
  <c r="G722" i="2"/>
  <c r="J721" i="2"/>
  <c r="G721" i="2"/>
  <c r="J720" i="2"/>
  <c r="G720" i="2"/>
  <c r="J719" i="2"/>
  <c r="G719" i="2"/>
  <c r="J718" i="2"/>
  <c r="G718" i="2"/>
  <c r="J717" i="2"/>
  <c r="G717" i="2"/>
  <c r="J716" i="2"/>
  <c r="G716" i="2"/>
  <c r="J715" i="2"/>
  <c r="G715" i="2"/>
  <c r="J714" i="2"/>
  <c r="G714" i="2"/>
  <c r="J713" i="2"/>
  <c r="G713" i="2"/>
  <c r="J712" i="2"/>
  <c r="G712" i="2"/>
  <c r="J711" i="2"/>
  <c r="G711" i="2"/>
  <c r="J710" i="2"/>
  <c r="G710" i="2"/>
  <c r="J709" i="2"/>
  <c r="G709" i="2"/>
  <c r="J708" i="2"/>
  <c r="G708" i="2"/>
  <c r="J707" i="2"/>
  <c r="G707" i="2"/>
  <c r="J706" i="2"/>
  <c r="G706" i="2"/>
  <c r="J705" i="2"/>
  <c r="G705" i="2"/>
  <c r="J704" i="2"/>
  <c r="G704" i="2"/>
  <c r="J703" i="2"/>
  <c r="G703" i="2"/>
  <c r="J702" i="2"/>
  <c r="G702" i="2"/>
  <c r="J701" i="2"/>
  <c r="G701" i="2"/>
  <c r="J700" i="2"/>
  <c r="G700" i="2"/>
  <c r="J699" i="2"/>
  <c r="G699" i="2"/>
  <c r="J698" i="2"/>
  <c r="G698" i="2"/>
  <c r="J697" i="2"/>
  <c r="G697" i="2"/>
  <c r="J696" i="2"/>
  <c r="G696" i="2"/>
  <c r="J695" i="2"/>
  <c r="G695" i="2"/>
  <c r="J694" i="2"/>
  <c r="G694" i="2"/>
  <c r="J693" i="2"/>
  <c r="G693" i="2"/>
  <c r="J692" i="2"/>
  <c r="G692" i="2"/>
  <c r="J691" i="2"/>
  <c r="G691" i="2"/>
  <c r="J690" i="2"/>
  <c r="G690" i="2"/>
  <c r="J689" i="2"/>
  <c r="G689" i="2"/>
  <c r="J688" i="2"/>
  <c r="G688" i="2"/>
  <c r="J687" i="2"/>
  <c r="G687" i="2"/>
  <c r="J686" i="2"/>
  <c r="G686" i="2"/>
  <c r="J685" i="2"/>
  <c r="G685" i="2"/>
  <c r="J684" i="2"/>
  <c r="G684" i="2"/>
  <c r="J683" i="2"/>
  <c r="G683" i="2"/>
  <c r="J682" i="2"/>
  <c r="G682" i="2"/>
  <c r="J681" i="2"/>
  <c r="G681" i="2"/>
  <c r="J680" i="2"/>
  <c r="G680" i="2"/>
  <c r="J679" i="2"/>
  <c r="G679" i="2"/>
  <c r="J678" i="2"/>
  <c r="G678" i="2"/>
  <c r="J677" i="2"/>
  <c r="G677" i="2"/>
  <c r="J676" i="2"/>
  <c r="G676" i="2"/>
  <c r="J675" i="2"/>
  <c r="G675" i="2"/>
  <c r="J674" i="2"/>
  <c r="G674" i="2"/>
  <c r="J673" i="2"/>
  <c r="G673" i="2"/>
  <c r="J672" i="2"/>
  <c r="G672" i="2"/>
  <c r="J671" i="2"/>
  <c r="G671" i="2"/>
  <c r="J19" i="2"/>
  <c r="G19" i="2"/>
  <c r="J14" i="2"/>
  <c r="G14" i="2"/>
  <c r="J532" i="2"/>
  <c r="G532" i="2"/>
  <c r="J509" i="2"/>
  <c r="G509" i="2"/>
  <c r="J40" i="2"/>
  <c r="F14" i="1" s="1"/>
  <c r="I14" i="1" s="1"/>
  <c r="G40" i="2"/>
  <c r="E14" i="1" s="1"/>
  <c r="H14" i="1" s="1"/>
  <c r="J806" i="2"/>
  <c r="F13" i="1" s="1"/>
  <c r="I13" i="1" s="1"/>
  <c r="G806" i="2"/>
  <c r="E13" i="1" s="1"/>
  <c r="H13" i="1" s="1"/>
  <c r="J808" i="2"/>
  <c r="G808" i="2"/>
  <c r="J807" i="2"/>
  <c r="G807" i="2"/>
  <c r="J805" i="2"/>
  <c r="G805" i="2"/>
  <c r="J804" i="2"/>
  <c r="G804" i="2"/>
  <c r="J803" i="2"/>
  <c r="G803" i="2"/>
  <c r="J802" i="2"/>
  <c r="G802" i="2"/>
  <c r="J801" i="2"/>
  <c r="G801" i="2"/>
  <c r="J800" i="2"/>
  <c r="G800" i="2"/>
  <c r="J799" i="2"/>
  <c r="G799" i="2"/>
  <c r="J798" i="2"/>
  <c r="G798" i="2"/>
  <c r="J797" i="2"/>
  <c r="G797" i="2"/>
  <c r="J796" i="2"/>
  <c r="G796" i="2"/>
  <c r="J795" i="2"/>
  <c r="G795" i="2"/>
  <c r="J794" i="2"/>
  <c r="G794" i="2"/>
  <c r="J793" i="2"/>
  <c r="G793" i="2"/>
  <c r="J792" i="2"/>
  <c r="G792" i="2"/>
  <c r="J791" i="2"/>
  <c r="G791" i="2"/>
  <c r="J790" i="2"/>
  <c r="G790" i="2"/>
  <c r="J789" i="2"/>
  <c r="G789" i="2"/>
  <c r="J788" i="2"/>
  <c r="G788" i="2"/>
  <c r="J787" i="2"/>
  <c r="G787" i="2"/>
  <c r="J786" i="2"/>
  <c r="G786" i="2"/>
  <c r="J785" i="2"/>
  <c r="G785" i="2"/>
  <c r="J784" i="2"/>
  <c r="G784" i="2"/>
  <c r="J783" i="2"/>
  <c r="G783" i="2"/>
  <c r="J782" i="2"/>
  <c r="G782" i="2"/>
  <c r="J781" i="2"/>
  <c r="G781" i="2"/>
  <c r="J780" i="2"/>
  <c r="G780" i="2"/>
  <c r="J779" i="2"/>
  <c r="G779" i="2"/>
  <c r="J778" i="2"/>
  <c r="G778" i="2"/>
  <c r="J777" i="2"/>
  <c r="G777" i="2"/>
  <c r="J776" i="2"/>
  <c r="G776" i="2"/>
  <c r="J775" i="2"/>
  <c r="G775" i="2"/>
  <c r="J774" i="2"/>
  <c r="G774" i="2"/>
  <c r="J773" i="2"/>
  <c r="G773" i="2"/>
  <c r="J772" i="2"/>
  <c r="G772" i="2"/>
  <c r="J771" i="2"/>
  <c r="G771" i="2"/>
  <c r="J770" i="2"/>
  <c r="G770" i="2"/>
  <c r="J769" i="2"/>
  <c r="G769" i="2"/>
  <c r="J768" i="2"/>
  <c r="G768" i="2"/>
  <c r="J767" i="2"/>
  <c r="G767" i="2"/>
  <c r="J766" i="2"/>
  <c r="G766" i="2"/>
  <c r="J765" i="2"/>
  <c r="G765" i="2"/>
  <c r="J764" i="2"/>
  <c r="G764" i="2"/>
  <c r="J763" i="2"/>
  <c r="G763" i="2"/>
  <c r="J762" i="2"/>
  <c r="G762" i="2"/>
  <c r="J761" i="2"/>
  <c r="G761" i="2"/>
  <c r="J760" i="2"/>
  <c r="G760" i="2"/>
  <c r="J759" i="2"/>
  <c r="G759" i="2"/>
  <c r="J758" i="2"/>
  <c r="G758" i="2"/>
  <c r="J757" i="2"/>
  <c r="G757" i="2"/>
  <c r="J756" i="2"/>
  <c r="G756" i="2"/>
  <c r="J755" i="2"/>
  <c r="G755" i="2"/>
  <c r="J754" i="2"/>
  <c r="G754" i="2"/>
  <c r="J753" i="2"/>
  <c r="G753" i="2"/>
  <c r="J752" i="2"/>
  <c r="G752" i="2"/>
  <c r="J751" i="2"/>
  <c r="G751" i="2"/>
  <c r="J750" i="2"/>
  <c r="G750" i="2"/>
  <c r="J749" i="2"/>
  <c r="G749" i="2"/>
  <c r="J748" i="2"/>
  <c r="G748" i="2"/>
  <c r="J747" i="2"/>
  <c r="G747" i="2"/>
  <c r="J746" i="2"/>
  <c r="G746" i="2"/>
  <c r="J745" i="2"/>
  <c r="G745" i="2"/>
  <c r="J744" i="2"/>
  <c r="G744" i="2"/>
  <c r="J743" i="2"/>
  <c r="G743" i="2"/>
  <c r="J742" i="2"/>
  <c r="G742" i="2"/>
  <c r="J741" i="2"/>
  <c r="G741" i="2"/>
  <c r="J670" i="2"/>
  <c r="G670" i="2"/>
  <c r="J669" i="2"/>
  <c r="G669" i="2"/>
  <c r="J668" i="2"/>
  <c r="G668" i="2"/>
  <c r="J667" i="2"/>
  <c r="G667" i="2"/>
  <c r="J666" i="2"/>
  <c r="G666" i="2"/>
  <c r="J665" i="2"/>
  <c r="G665" i="2"/>
  <c r="J664" i="2"/>
  <c r="G664" i="2"/>
  <c r="J663" i="2"/>
  <c r="G663" i="2"/>
  <c r="J662" i="2"/>
  <c r="G662" i="2"/>
  <c r="J661" i="2"/>
  <c r="G661" i="2"/>
  <c r="J660" i="2"/>
  <c r="G660" i="2"/>
  <c r="J659" i="2"/>
  <c r="G659" i="2"/>
  <c r="J658" i="2"/>
  <c r="G658" i="2"/>
  <c r="J657" i="2"/>
  <c r="G657" i="2"/>
  <c r="J656" i="2"/>
  <c r="G656" i="2"/>
  <c r="J655" i="2"/>
  <c r="G655" i="2"/>
  <c r="J654" i="2"/>
  <c r="G654" i="2"/>
  <c r="J653" i="2"/>
  <c r="G653" i="2"/>
  <c r="J652" i="2"/>
  <c r="G652" i="2"/>
  <c r="J651" i="2"/>
  <c r="G651" i="2"/>
  <c r="J650" i="2"/>
  <c r="G650" i="2"/>
  <c r="J649" i="2"/>
  <c r="G649" i="2"/>
  <c r="J648" i="2"/>
  <c r="G648" i="2"/>
  <c r="J647" i="2"/>
  <c r="G647" i="2"/>
  <c r="J646" i="2"/>
  <c r="G646" i="2"/>
  <c r="J645" i="2"/>
  <c r="G645" i="2"/>
  <c r="J644" i="2"/>
  <c r="G644" i="2"/>
  <c r="J643" i="2"/>
  <c r="G643" i="2"/>
  <c r="J642" i="2"/>
  <c r="G642" i="2"/>
  <c r="J641" i="2"/>
  <c r="G641" i="2"/>
  <c r="J640" i="2"/>
  <c r="G640" i="2"/>
  <c r="J639" i="2"/>
  <c r="G639" i="2"/>
  <c r="J638" i="2"/>
  <c r="G638" i="2"/>
  <c r="J637" i="2"/>
  <c r="G637" i="2"/>
  <c r="J636" i="2"/>
  <c r="G636" i="2"/>
  <c r="J635" i="2"/>
  <c r="G635" i="2"/>
  <c r="J634" i="2"/>
  <c r="G634" i="2"/>
  <c r="J633" i="2"/>
  <c r="G633" i="2"/>
  <c r="J632" i="2"/>
  <c r="G632" i="2"/>
  <c r="J631" i="2"/>
  <c r="G631" i="2"/>
  <c r="J630" i="2"/>
  <c r="G630" i="2"/>
  <c r="J629" i="2"/>
  <c r="G629" i="2"/>
  <c r="J628" i="2"/>
  <c r="G628" i="2"/>
  <c r="J627" i="2"/>
  <c r="G627" i="2"/>
  <c r="J626" i="2"/>
  <c r="G626" i="2"/>
  <c r="J625" i="2"/>
  <c r="G625" i="2"/>
  <c r="J624" i="2"/>
  <c r="G624" i="2"/>
  <c r="J623" i="2"/>
  <c r="G623" i="2"/>
  <c r="J622" i="2"/>
  <c r="G622" i="2"/>
  <c r="J621" i="2"/>
  <c r="G621" i="2"/>
  <c r="J620" i="2"/>
  <c r="G620" i="2"/>
  <c r="J619" i="2"/>
  <c r="G619" i="2"/>
  <c r="J618" i="2"/>
  <c r="G618" i="2"/>
  <c r="J617" i="2"/>
  <c r="G617" i="2"/>
  <c r="J616" i="2"/>
  <c r="G616" i="2"/>
  <c r="J615" i="2"/>
  <c r="G615" i="2"/>
  <c r="J614" i="2"/>
  <c r="G614" i="2"/>
  <c r="J613" i="2"/>
  <c r="G613" i="2"/>
  <c r="J612" i="2"/>
  <c r="G612" i="2"/>
  <c r="J611" i="2"/>
  <c r="G611" i="2"/>
  <c r="J610" i="2"/>
  <c r="G610" i="2"/>
  <c r="J609" i="2"/>
  <c r="G609" i="2"/>
  <c r="J608" i="2"/>
  <c r="G608" i="2"/>
  <c r="J607" i="2"/>
  <c r="G607" i="2"/>
  <c r="J606" i="2"/>
  <c r="G606" i="2"/>
  <c r="J605" i="2"/>
  <c r="G605" i="2"/>
  <c r="J604" i="2"/>
  <c r="G604" i="2"/>
  <c r="J603" i="2"/>
  <c r="G603" i="2"/>
  <c r="J602" i="2"/>
  <c r="G602" i="2"/>
  <c r="J601" i="2"/>
  <c r="G601" i="2"/>
  <c r="J600" i="2"/>
  <c r="G600" i="2"/>
  <c r="J599" i="2"/>
  <c r="G599" i="2"/>
  <c r="J598" i="2"/>
  <c r="G598" i="2"/>
  <c r="J597" i="2"/>
  <c r="G597" i="2"/>
  <c r="J596" i="2"/>
  <c r="G596" i="2"/>
  <c r="J595" i="2"/>
  <c r="G595" i="2"/>
  <c r="J594" i="2"/>
  <c r="G594" i="2"/>
  <c r="J593" i="2"/>
  <c r="G593" i="2"/>
  <c r="J592" i="2"/>
  <c r="G592" i="2"/>
  <c r="J591" i="2"/>
  <c r="G591" i="2"/>
  <c r="J590" i="2"/>
  <c r="G590" i="2"/>
  <c r="J589" i="2"/>
  <c r="G589" i="2"/>
  <c r="J588" i="2"/>
  <c r="G588" i="2"/>
  <c r="J587" i="2"/>
  <c r="G587" i="2"/>
  <c r="J586" i="2"/>
  <c r="G586" i="2"/>
  <c r="J585" i="2"/>
  <c r="G585" i="2"/>
  <c r="J584" i="2"/>
  <c r="G584" i="2"/>
  <c r="J583" i="2"/>
  <c r="G583" i="2"/>
  <c r="J582" i="2"/>
  <c r="G582" i="2"/>
  <c r="J581" i="2"/>
  <c r="G581" i="2"/>
  <c r="J580" i="2"/>
  <c r="G580" i="2"/>
  <c r="J579" i="2"/>
  <c r="G579" i="2"/>
  <c r="J578" i="2"/>
  <c r="G578" i="2"/>
  <c r="J577" i="2"/>
  <c r="G577" i="2"/>
  <c r="J576" i="2"/>
  <c r="G576" i="2"/>
  <c r="J575" i="2"/>
  <c r="G575" i="2"/>
  <c r="J574" i="2"/>
  <c r="G574" i="2"/>
  <c r="J573" i="2"/>
  <c r="G573" i="2"/>
  <c r="J572" i="2"/>
  <c r="G572" i="2"/>
  <c r="J571" i="2"/>
  <c r="G571" i="2"/>
  <c r="J570" i="2"/>
  <c r="G570" i="2"/>
  <c r="J569" i="2"/>
  <c r="G569" i="2"/>
  <c r="J568" i="2"/>
  <c r="G568" i="2"/>
  <c r="J567" i="2"/>
  <c r="G567" i="2"/>
  <c r="J566" i="2"/>
  <c r="G566" i="2"/>
  <c r="J565" i="2"/>
  <c r="G565" i="2"/>
  <c r="J564" i="2"/>
  <c r="G564" i="2"/>
  <c r="J563" i="2"/>
  <c r="G563" i="2"/>
  <c r="J562" i="2"/>
  <c r="G562" i="2"/>
  <c r="J561" i="2"/>
  <c r="G561" i="2"/>
  <c r="J560" i="2"/>
  <c r="G560" i="2"/>
  <c r="J559" i="2"/>
  <c r="G559" i="2"/>
  <c r="J558" i="2"/>
  <c r="G558" i="2"/>
  <c r="J557" i="2"/>
  <c r="G557" i="2"/>
  <c r="J556" i="2"/>
  <c r="G556" i="2"/>
  <c r="J555" i="2"/>
  <c r="G555" i="2"/>
  <c r="J554" i="2"/>
  <c r="G554" i="2"/>
  <c r="J553" i="2"/>
  <c r="G553" i="2"/>
  <c r="J552" i="2"/>
  <c r="G552" i="2"/>
  <c r="J551" i="2"/>
  <c r="G551" i="2"/>
  <c r="J550" i="2"/>
  <c r="G550" i="2"/>
  <c r="J549" i="2"/>
  <c r="G549" i="2"/>
  <c r="J548" i="2"/>
  <c r="G548" i="2"/>
  <c r="J547" i="2"/>
  <c r="G547" i="2"/>
  <c r="J546" i="2"/>
  <c r="G546" i="2"/>
  <c r="J545" i="2"/>
  <c r="G545" i="2"/>
  <c r="J544" i="2"/>
  <c r="G544" i="2"/>
  <c r="J543" i="2"/>
  <c r="G543" i="2"/>
  <c r="J542" i="2"/>
  <c r="G542" i="2"/>
  <c r="J541" i="2"/>
  <c r="G541" i="2"/>
  <c r="J540" i="2"/>
  <c r="G540" i="2"/>
  <c r="J539" i="2"/>
  <c r="G539" i="2"/>
  <c r="J538" i="2"/>
  <c r="G538" i="2"/>
  <c r="J537" i="2"/>
  <c r="G537" i="2"/>
  <c r="J536" i="2"/>
  <c r="F294" i="1" s="1"/>
  <c r="I294" i="1" s="1"/>
  <c r="G536" i="2"/>
  <c r="E294" i="1" s="1"/>
  <c r="H294" i="1" s="1"/>
  <c r="J535" i="2"/>
  <c r="G535" i="2"/>
  <c r="E280" i="1" s="1"/>
  <c r="H280" i="1" s="1"/>
  <c r="J534" i="2"/>
  <c r="G534" i="2"/>
  <c r="J533" i="2"/>
  <c r="G533" i="2"/>
  <c r="J531" i="2"/>
  <c r="G531" i="2"/>
  <c r="J530" i="2"/>
  <c r="G530" i="2"/>
  <c r="J529" i="2"/>
  <c r="G529" i="2"/>
  <c r="J528" i="2"/>
  <c r="G528" i="2"/>
  <c r="J527" i="2"/>
  <c r="G527" i="2"/>
  <c r="J526" i="2"/>
  <c r="G526" i="2"/>
  <c r="J525" i="2"/>
  <c r="G525" i="2"/>
  <c r="J524" i="2"/>
  <c r="G524" i="2"/>
  <c r="J523" i="2"/>
  <c r="G523" i="2"/>
  <c r="J522" i="2"/>
  <c r="G522" i="2"/>
  <c r="J521" i="2"/>
  <c r="G521" i="2"/>
  <c r="J520" i="2"/>
  <c r="G520" i="2"/>
  <c r="J519" i="2"/>
  <c r="G519" i="2"/>
  <c r="J518" i="2"/>
  <c r="G518" i="2"/>
  <c r="J517" i="2"/>
  <c r="G517" i="2"/>
  <c r="J516" i="2"/>
  <c r="G516" i="2"/>
  <c r="J515" i="2"/>
  <c r="G515" i="2"/>
  <c r="J514" i="2"/>
  <c r="G514" i="2"/>
  <c r="J513" i="2"/>
  <c r="G513" i="2"/>
  <c r="J512" i="2"/>
  <c r="G512" i="2"/>
  <c r="J511" i="2"/>
  <c r="G511" i="2"/>
  <c r="J510" i="2"/>
  <c r="G510" i="2"/>
  <c r="J508" i="2"/>
  <c r="G508" i="2"/>
  <c r="J507" i="2"/>
  <c r="G507" i="2"/>
  <c r="J506" i="2"/>
  <c r="G506" i="2"/>
  <c r="J505" i="2"/>
  <c r="G505" i="2"/>
  <c r="J504" i="2"/>
  <c r="G504" i="2"/>
  <c r="J503" i="2"/>
  <c r="G503" i="2"/>
  <c r="J502" i="2"/>
  <c r="G502" i="2"/>
  <c r="J501" i="2"/>
  <c r="G501" i="2"/>
  <c r="J500" i="2"/>
  <c r="G500" i="2"/>
  <c r="J499" i="2"/>
  <c r="G499" i="2"/>
  <c r="J498" i="2"/>
  <c r="G498" i="2"/>
  <c r="J497" i="2"/>
  <c r="G497" i="2"/>
  <c r="J496" i="2"/>
  <c r="G496" i="2"/>
  <c r="J494" i="2"/>
  <c r="G494" i="2"/>
  <c r="J493" i="2"/>
  <c r="G493" i="2"/>
  <c r="J492" i="2"/>
  <c r="G492" i="2"/>
  <c r="J491" i="2"/>
  <c r="G491" i="2"/>
  <c r="J490" i="2"/>
  <c r="G490" i="2"/>
  <c r="J489" i="2"/>
  <c r="G489" i="2"/>
  <c r="J488" i="2"/>
  <c r="G488" i="2"/>
  <c r="J487" i="2"/>
  <c r="G487" i="2"/>
  <c r="J486" i="2"/>
  <c r="G486" i="2"/>
  <c r="J485" i="2"/>
  <c r="G485" i="2"/>
  <c r="J484" i="2"/>
  <c r="G484" i="2"/>
  <c r="J483" i="2"/>
  <c r="G483" i="2"/>
  <c r="J482" i="2"/>
  <c r="G482" i="2"/>
  <c r="J481" i="2"/>
  <c r="G481" i="2"/>
  <c r="J480" i="2"/>
  <c r="G480" i="2"/>
  <c r="J479" i="2"/>
  <c r="G479" i="2"/>
  <c r="J478" i="2"/>
  <c r="G478" i="2"/>
  <c r="J477" i="2"/>
  <c r="G477" i="2"/>
  <c r="J476" i="2"/>
  <c r="G476" i="2"/>
  <c r="J475" i="2"/>
  <c r="G475" i="2"/>
  <c r="J474" i="2"/>
  <c r="G474" i="2"/>
  <c r="J473" i="2"/>
  <c r="G473" i="2"/>
  <c r="J472" i="2"/>
  <c r="G472" i="2"/>
  <c r="J471" i="2"/>
  <c r="G471" i="2"/>
  <c r="J470" i="2"/>
  <c r="G470" i="2"/>
  <c r="J469" i="2"/>
  <c r="G469" i="2"/>
  <c r="J468" i="2"/>
  <c r="G468" i="2"/>
  <c r="J467" i="2"/>
  <c r="G467" i="2"/>
  <c r="J466" i="2"/>
  <c r="G466" i="2"/>
  <c r="J465" i="2"/>
  <c r="G465" i="2"/>
  <c r="J464" i="2"/>
  <c r="G464" i="2"/>
  <c r="J463" i="2"/>
  <c r="G463" i="2"/>
  <c r="J462" i="2"/>
  <c r="G462" i="2"/>
  <c r="J461" i="2"/>
  <c r="G461" i="2"/>
  <c r="J460" i="2"/>
  <c r="G460" i="2"/>
  <c r="J459" i="2"/>
  <c r="G459" i="2"/>
  <c r="J458" i="2"/>
  <c r="G458" i="2"/>
  <c r="J457" i="2"/>
  <c r="G457" i="2"/>
  <c r="J456" i="2"/>
  <c r="G456" i="2"/>
  <c r="J455" i="2"/>
  <c r="G455" i="2"/>
  <c r="J454" i="2"/>
  <c r="G454" i="2"/>
  <c r="J453" i="2"/>
  <c r="G453" i="2"/>
  <c r="J452" i="2"/>
  <c r="G452" i="2"/>
  <c r="J451" i="2"/>
  <c r="F12" i="1" s="1"/>
  <c r="G451" i="2"/>
  <c r="E12" i="1" s="1"/>
  <c r="J450" i="2"/>
  <c r="G450" i="2"/>
  <c r="J449" i="2"/>
  <c r="G449" i="2"/>
  <c r="J448" i="2"/>
  <c r="G448" i="2"/>
  <c r="J447" i="2"/>
  <c r="G447" i="2"/>
  <c r="J446" i="2"/>
  <c r="G446" i="2"/>
  <c r="J445" i="2"/>
  <c r="G445" i="2"/>
  <c r="J444" i="2"/>
  <c r="G444" i="2"/>
  <c r="J443" i="2"/>
  <c r="G443" i="2"/>
  <c r="J442" i="2"/>
  <c r="G442" i="2"/>
  <c r="J441" i="2"/>
  <c r="G441" i="2"/>
  <c r="J440" i="2"/>
  <c r="G440" i="2"/>
  <c r="J439" i="2"/>
  <c r="G439" i="2"/>
  <c r="J438" i="2"/>
  <c r="G438" i="2"/>
  <c r="J437" i="2"/>
  <c r="G437" i="2"/>
  <c r="J436" i="2"/>
  <c r="G436" i="2"/>
  <c r="J435" i="2"/>
  <c r="G435" i="2"/>
  <c r="J434" i="2"/>
  <c r="G434" i="2"/>
  <c r="J433" i="2"/>
  <c r="G433" i="2"/>
  <c r="J432" i="2"/>
  <c r="G432" i="2"/>
  <c r="J431" i="2"/>
  <c r="G431" i="2"/>
  <c r="J430" i="2"/>
  <c r="G430" i="2"/>
  <c r="J429" i="2"/>
  <c r="G429" i="2"/>
  <c r="J428" i="2"/>
  <c r="G428" i="2"/>
  <c r="J427" i="2"/>
  <c r="G427" i="2"/>
  <c r="J426" i="2"/>
  <c r="G426" i="2"/>
  <c r="J425" i="2"/>
  <c r="G425" i="2"/>
  <c r="J424" i="2"/>
  <c r="G424" i="2"/>
  <c r="J423" i="2"/>
  <c r="G423" i="2"/>
  <c r="J422" i="2"/>
  <c r="G422" i="2"/>
  <c r="J421" i="2"/>
  <c r="G421" i="2"/>
  <c r="J420" i="2"/>
  <c r="G420" i="2"/>
  <c r="J419" i="2"/>
  <c r="G419" i="2"/>
  <c r="J418" i="2"/>
  <c r="G418" i="2"/>
  <c r="J417" i="2"/>
  <c r="G417" i="2"/>
  <c r="J416" i="2"/>
  <c r="G416" i="2"/>
  <c r="J415" i="2"/>
  <c r="G415" i="2"/>
  <c r="J414" i="2"/>
  <c r="G414" i="2"/>
  <c r="J413" i="2"/>
  <c r="G413" i="2"/>
  <c r="J412" i="2"/>
  <c r="G412" i="2"/>
  <c r="J411" i="2"/>
  <c r="G411" i="2"/>
  <c r="J410" i="2"/>
  <c r="G410" i="2"/>
  <c r="J409" i="2"/>
  <c r="G409" i="2"/>
  <c r="J408" i="2"/>
  <c r="G408" i="2"/>
  <c r="J407" i="2"/>
  <c r="G407" i="2"/>
  <c r="J406" i="2"/>
  <c r="G406" i="2"/>
  <c r="J405" i="2"/>
  <c r="G405" i="2"/>
  <c r="J404" i="2"/>
  <c r="G404" i="2"/>
  <c r="J403" i="2"/>
  <c r="G403" i="2"/>
  <c r="J402" i="2"/>
  <c r="G402" i="2"/>
  <c r="J401" i="2"/>
  <c r="G401" i="2"/>
  <c r="J400" i="2"/>
  <c r="G400" i="2"/>
  <c r="J399" i="2"/>
  <c r="G399" i="2"/>
  <c r="J398" i="2"/>
  <c r="G398" i="2"/>
  <c r="J397" i="2"/>
  <c r="G397" i="2"/>
  <c r="J396" i="2"/>
  <c r="G396" i="2"/>
  <c r="J395" i="2"/>
  <c r="G395" i="2"/>
  <c r="J394" i="2"/>
  <c r="G394" i="2"/>
  <c r="J393" i="2"/>
  <c r="G393" i="2"/>
  <c r="J392" i="2"/>
  <c r="G392" i="2"/>
  <c r="J391" i="2"/>
  <c r="G391" i="2"/>
  <c r="J390" i="2"/>
  <c r="G390" i="2"/>
  <c r="J389" i="2"/>
  <c r="G389" i="2"/>
  <c r="J388" i="2"/>
  <c r="G388" i="2"/>
  <c r="J387" i="2"/>
  <c r="G387" i="2"/>
  <c r="J386" i="2"/>
  <c r="G386" i="2"/>
  <c r="J385" i="2"/>
  <c r="G385" i="2"/>
  <c r="J384" i="2"/>
  <c r="G384" i="2"/>
  <c r="J383" i="2"/>
  <c r="G383" i="2"/>
  <c r="J382" i="2"/>
  <c r="G382" i="2"/>
  <c r="J381" i="2"/>
  <c r="G381" i="2"/>
  <c r="J380" i="2"/>
  <c r="G380" i="2"/>
  <c r="J379" i="2"/>
  <c r="G379" i="2"/>
  <c r="J378" i="2"/>
  <c r="G378" i="2"/>
  <c r="J377" i="2"/>
  <c r="G377" i="2"/>
  <c r="J376" i="2"/>
  <c r="G376" i="2"/>
  <c r="J375" i="2"/>
  <c r="G375" i="2"/>
  <c r="J374" i="2"/>
  <c r="G374" i="2"/>
  <c r="J373" i="2"/>
  <c r="G373" i="2"/>
  <c r="J372" i="2"/>
  <c r="G372" i="2"/>
  <c r="J371" i="2"/>
  <c r="G371" i="2"/>
  <c r="J370" i="2"/>
  <c r="G370" i="2"/>
  <c r="J369" i="2"/>
  <c r="G369" i="2"/>
  <c r="J368" i="2"/>
  <c r="G368" i="2"/>
  <c r="J367" i="2"/>
  <c r="G367" i="2"/>
  <c r="J366" i="2"/>
  <c r="G366" i="2"/>
  <c r="J365" i="2"/>
  <c r="G365" i="2"/>
  <c r="J364" i="2"/>
  <c r="G364" i="2"/>
  <c r="J363" i="2"/>
  <c r="G363" i="2"/>
  <c r="J362" i="2"/>
  <c r="G362" i="2"/>
  <c r="J361" i="2"/>
  <c r="G361" i="2"/>
  <c r="J360" i="2"/>
  <c r="G360" i="2"/>
  <c r="J359" i="2"/>
  <c r="G359" i="2"/>
  <c r="J358" i="2"/>
  <c r="G358" i="2"/>
  <c r="J357" i="2"/>
  <c r="G357" i="2"/>
  <c r="J356" i="2"/>
  <c r="G356" i="2"/>
  <c r="J355" i="2"/>
  <c r="G355" i="2"/>
  <c r="J354" i="2"/>
  <c r="G354" i="2"/>
  <c r="J353" i="2"/>
  <c r="G353" i="2"/>
  <c r="J352" i="2"/>
  <c r="G352" i="2"/>
  <c r="J351" i="2"/>
  <c r="G351" i="2"/>
  <c r="J350" i="2"/>
  <c r="G350" i="2"/>
  <c r="J349" i="2"/>
  <c r="G349" i="2"/>
  <c r="J348" i="2"/>
  <c r="G348" i="2"/>
  <c r="J347" i="2"/>
  <c r="G347" i="2"/>
  <c r="J346" i="2"/>
  <c r="G346" i="2"/>
  <c r="J345" i="2"/>
  <c r="G345" i="2"/>
  <c r="J344" i="2"/>
  <c r="G344" i="2"/>
  <c r="J343" i="2"/>
  <c r="G343" i="2"/>
  <c r="J342" i="2"/>
  <c r="G342" i="2"/>
  <c r="J341" i="2"/>
  <c r="G341" i="2"/>
  <c r="J340" i="2"/>
  <c r="G340" i="2"/>
  <c r="J339" i="2"/>
  <c r="G339" i="2"/>
  <c r="J338" i="2"/>
  <c r="G338" i="2"/>
  <c r="J337" i="2"/>
  <c r="F153" i="1" s="1"/>
  <c r="I153" i="1" s="1"/>
  <c r="G337" i="2"/>
  <c r="E153" i="1" s="1"/>
  <c r="H153" i="1" s="1"/>
  <c r="J336" i="2"/>
  <c r="G336" i="2"/>
  <c r="J335" i="2"/>
  <c r="G335" i="2"/>
  <c r="J334" i="2"/>
  <c r="G334" i="2"/>
  <c r="J333" i="2"/>
  <c r="G333" i="2"/>
  <c r="J332" i="2"/>
  <c r="G332" i="2"/>
  <c r="J331" i="2"/>
  <c r="F149" i="1" s="1"/>
  <c r="I149" i="1" s="1"/>
  <c r="G331" i="2"/>
  <c r="J330" i="2"/>
  <c r="G330" i="2"/>
  <c r="J329" i="2"/>
  <c r="G329" i="2"/>
  <c r="J328" i="2"/>
  <c r="G328" i="2"/>
  <c r="E143" i="1" s="1"/>
  <c r="H143" i="1" s="1"/>
  <c r="J327" i="2"/>
  <c r="G327" i="2"/>
  <c r="J326" i="2"/>
  <c r="G326" i="2"/>
  <c r="J325" i="2"/>
  <c r="G325" i="2"/>
  <c r="J324" i="2"/>
  <c r="G324" i="2"/>
  <c r="J323" i="2"/>
  <c r="G323" i="2"/>
  <c r="J322" i="2"/>
  <c r="G322" i="2"/>
  <c r="J321" i="2"/>
  <c r="G321" i="2"/>
  <c r="J320" i="2"/>
  <c r="G320" i="2"/>
  <c r="J319" i="2"/>
  <c r="G319" i="2"/>
  <c r="J318" i="2"/>
  <c r="G318" i="2"/>
  <c r="J317" i="2"/>
  <c r="G317" i="2"/>
  <c r="J316" i="2"/>
  <c r="G316" i="2"/>
  <c r="J315" i="2"/>
  <c r="G315" i="2"/>
  <c r="J314" i="2"/>
  <c r="G314" i="2"/>
  <c r="J313" i="2"/>
  <c r="G313" i="2"/>
  <c r="J312" i="2"/>
  <c r="G312" i="2"/>
  <c r="J311" i="2"/>
  <c r="G311" i="2"/>
  <c r="J310" i="2"/>
  <c r="G310" i="2"/>
  <c r="J309" i="2"/>
  <c r="G309" i="2"/>
  <c r="J308" i="2"/>
  <c r="G308" i="2"/>
  <c r="J307" i="2"/>
  <c r="G307" i="2"/>
  <c r="J306" i="2"/>
  <c r="G306" i="2"/>
  <c r="J305" i="2"/>
  <c r="G305" i="2"/>
  <c r="J303" i="2"/>
  <c r="G303" i="2"/>
  <c r="J302" i="2"/>
  <c r="G302" i="2"/>
  <c r="J301" i="2"/>
  <c r="G301" i="2"/>
  <c r="J300" i="2"/>
  <c r="G300" i="2"/>
  <c r="J299" i="2"/>
  <c r="G299" i="2"/>
  <c r="J297" i="2"/>
  <c r="G297" i="2"/>
  <c r="J296" i="2"/>
  <c r="G296" i="2"/>
  <c r="J295" i="2"/>
  <c r="G295" i="2"/>
  <c r="J294" i="2"/>
  <c r="G294" i="2"/>
  <c r="J293" i="2"/>
  <c r="G293" i="2"/>
  <c r="J292" i="2"/>
  <c r="G292" i="2"/>
  <c r="J291" i="2"/>
  <c r="G291" i="2"/>
  <c r="J290" i="2"/>
  <c r="G290" i="2"/>
  <c r="J289" i="2"/>
  <c r="G289" i="2"/>
  <c r="J288" i="2"/>
  <c r="G288" i="2"/>
  <c r="J287" i="2"/>
  <c r="G287" i="2"/>
  <c r="J286" i="2"/>
  <c r="G286" i="2"/>
  <c r="J285" i="2"/>
  <c r="G285" i="2"/>
  <c r="J284" i="2"/>
  <c r="G284" i="2"/>
  <c r="J283" i="2"/>
  <c r="G283" i="2"/>
  <c r="J282" i="2"/>
  <c r="G282" i="2"/>
  <c r="J281" i="2"/>
  <c r="G281" i="2"/>
  <c r="J280" i="2"/>
  <c r="G280" i="2"/>
  <c r="J279" i="2"/>
  <c r="G279" i="2"/>
  <c r="J278" i="2"/>
  <c r="G278" i="2"/>
  <c r="J277" i="2"/>
  <c r="G277" i="2"/>
  <c r="E122" i="1" s="1"/>
  <c r="H122" i="1" s="1"/>
  <c r="J276" i="2"/>
  <c r="G276" i="2"/>
  <c r="J275" i="2"/>
  <c r="G275" i="2"/>
  <c r="J274" i="2"/>
  <c r="G274" i="2"/>
  <c r="J273" i="2"/>
  <c r="G273" i="2"/>
  <c r="J272" i="2"/>
  <c r="G272" i="2"/>
  <c r="J271" i="2"/>
  <c r="G271" i="2"/>
  <c r="J270" i="2"/>
  <c r="G270" i="2"/>
  <c r="J269" i="2"/>
  <c r="G269" i="2"/>
  <c r="J268" i="2"/>
  <c r="G268" i="2"/>
  <c r="J267" i="2"/>
  <c r="G267" i="2"/>
  <c r="J266" i="2"/>
  <c r="G266" i="2"/>
  <c r="J264" i="2"/>
  <c r="G264" i="2"/>
  <c r="J263" i="2"/>
  <c r="G263" i="2"/>
  <c r="J262" i="2"/>
  <c r="G262" i="2"/>
  <c r="J261" i="2"/>
  <c r="G261" i="2"/>
  <c r="J260" i="2"/>
  <c r="G260" i="2"/>
  <c r="J259" i="2"/>
  <c r="G259" i="2"/>
  <c r="J258" i="2"/>
  <c r="G258" i="2"/>
  <c r="J257" i="2"/>
  <c r="G257" i="2"/>
  <c r="J256" i="2"/>
  <c r="G256" i="2"/>
  <c r="J255" i="2"/>
  <c r="G255" i="2"/>
  <c r="J254" i="2"/>
  <c r="G254" i="2"/>
  <c r="J253" i="2"/>
  <c r="F101" i="1" s="1"/>
  <c r="I101" i="1" s="1"/>
  <c r="G253" i="2"/>
  <c r="J252" i="2"/>
  <c r="G252" i="2"/>
  <c r="J251" i="2"/>
  <c r="G251" i="2"/>
  <c r="J250" i="2"/>
  <c r="G250" i="2"/>
  <c r="J249" i="2"/>
  <c r="G249" i="2"/>
  <c r="J248" i="2"/>
  <c r="G248" i="2"/>
  <c r="J247" i="2"/>
  <c r="G247" i="2"/>
  <c r="J246" i="2"/>
  <c r="G246" i="2"/>
  <c r="J245" i="2"/>
  <c r="G245" i="2"/>
  <c r="J244" i="2"/>
  <c r="G244" i="2"/>
  <c r="J243" i="2"/>
  <c r="G243" i="2"/>
  <c r="J242" i="2"/>
  <c r="G242" i="2"/>
  <c r="J241" i="2"/>
  <c r="G241" i="2"/>
  <c r="J240" i="2"/>
  <c r="G240" i="2"/>
  <c r="J239" i="2"/>
  <c r="G239" i="2"/>
  <c r="J238" i="2"/>
  <c r="F94" i="1" s="1"/>
  <c r="I94" i="1" s="1"/>
  <c r="G238" i="2"/>
  <c r="J237" i="2"/>
  <c r="G237" i="2"/>
  <c r="J236" i="2"/>
  <c r="G236" i="2"/>
  <c r="J235" i="2"/>
  <c r="G235" i="2"/>
  <c r="J234" i="2"/>
  <c r="G234" i="2"/>
  <c r="J233" i="2"/>
  <c r="G233" i="2"/>
  <c r="J232" i="2"/>
  <c r="G232" i="2"/>
  <c r="J229" i="2"/>
  <c r="G229" i="2"/>
  <c r="J228" i="2"/>
  <c r="G228" i="2"/>
  <c r="J227" i="2"/>
  <c r="G227" i="2"/>
  <c r="J226" i="2"/>
  <c r="G226" i="2"/>
  <c r="J225" i="2"/>
  <c r="G225" i="2"/>
  <c r="J224" i="2"/>
  <c r="G224" i="2"/>
  <c r="J223" i="2"/>
  <c r="G223" i="2"/>
  <c r="J222" i="2"/>
  <c r="G222" i="2"/>
  <c r="J221" i="2"/>
  <c r="G221" i="2"/>
  <c r="J220" i="2"/>
  <c r="G220" i="2"/>
  <c r="J219" i="2"/>
  <c r="G219" i="2"/>
  <c r="J218" i="2"/>
  <c r="G218" i="2"/>
  <c r="J217" i="2"/>
  <c r="G217" i="2"/>
  <c r="J216" i="2"/>
  <c r="G216" i="2"/>
  <c r="J215" i="2"/>
  <c r="G215" i="2"/>
  <c r="J214" i="2"/>
  <c r="G214" i="2"/>
  <c r="J213" i="2"/>
  <c r="G213" i="2"/>
  <c r="J212" i="2"/>
  <c r="G212" i="2"/>
  <c r="J211" i="2"/>
  <c r="G211" i="2"/>
  <c r="J210" i="2"/>
  <c r="G210" i="2"/>
  <c r="J209" i="2"/>
  <c r="G209" i="2"/>
  <c r="E73" i="1" s="1"/>
  <c r="H73" i="1" s="1"/>
  <c r="J208" i="2"/>
  <c r="G208" i="2"/>
  <c r="J207" i="2"/>
  <c r="F71" i="1" s="1"/>
  <c r="I71" i="1" s="1"/>
  <c r="G207" i="2"/>
  <c r="J206" i="2"/>
  <c r="G206" i="2"/>
  <c r="J205" i="2"/>
  <c r="G205" i="2"/>
  <c r="J204" i="2"/>
  <c r="G204" i="2"/>
  <c r="J203" i="2"/>
  <c r="G203" i="2"/>
  <c r="J202" i="2"/>
  <c r="G202" i="2"/>
  <c r="J201" i="2"/>
  <c r="G201" i="2"/>
  <c r="J200" i="2"/>
  <c r="G200" i="2"/>
  <c r="J199" i="2"/>
  <c r="G199" i="2"/>
  <c r="J198" i="2"/>
  <c r="G198" i="2"/>
  <c r="J197" i="2"/>
  <c r="G197" i="2"/>
  <c r="J196" i="2"/>
  <c r="G196" i="2"/>
  <c r="J195" i="2"/>
  <c r="G195" i="2"/>
  <c r="J194" i="2"/>
  <c r="G194" i="2"/>
  <c r="J193" i="2"/>
  <c r="G193" i="2"/>
  <c r="J192" i="2"/>
  <c r="G192" i="2"/>
  <c r="J191" i="2"/>
  <c r="G191" i="2"/>
  <c r="J190" i="2"/>
  <c r="G190" i="2"/>
  <c r="J189" i="2"/>
  <c r="G189" i="2"/>
  <c r="J188" i="2"/>
  <c r="G188" i="2"/>
  <c r="J187" i="2"/>
  <c r="G187" i="2"/>
  <c r="J186" i="2"/>
  <c r="G186" i="2"/>
  <c r="J185" i="2"/>
  <c r="G185" i="2"/>
  <c r="J184" i="2"/>
  <c r="G184" i="2"/>
  <c r="J183" i="2"/>
  <c r="G183" i="2"/>
  <c r="J182" i="2"/>
  <c r="G182" i="2"/>
  <c r="J181" i="2"/>
  <c r="G181" i="2"/>
  <c r="J180" i="2"/>
  <c r="G180" i="2"/>
  <c r="J179" i="2"/>
  <c r="G179" i="2"/>
  <c r="J178" i="2"/>
  <c r="G178" i="2"/>
  <c r="J177" i="2"/>
  <c r="G177" i="2"/>
  <c r="J176" i="2"/>
  <c r="G176" i="2"/>
  <c r="J175" i="2"/>
  <c r="G175" i="2"/>
  <c r="J174" i="2"/>
  <c r="G174" i="2"/>
  <c r="J173" i="2"/>
  <c r="G173" i="2"/>
  <c r="J172" i="2"/>
  <c r="G172" i="2"/>
  <c r="J171" i="2"/>
  <c r="G171" i="2"/>
  <c r="J170" i="2"/>
  <c r="G170" i="2"/>
  <c r="J169" i="2"/>
  <c r="G169" i="2"/>
  <c r="J168" i="2"/>
  <c r="G168" i="2"/>
  <c r="J167" i="2"/>
  <c r="G167" i="2"/>
  <c r="J166" i="2"/>
  <c r="G166" i="2"/>
  <c r="J165" i="2"/>
  <c r="G165" i="2"/>
  <c r="J164" i="2"/>
  <c r="G164" i="2"/>
  <c r="J163" i="2"/>
  <c r="G163" i="2"/>
  <c r="J162" i="2"/>
  <c r="G162" i="2"/>
  <c r="J161" i="2"/>
  <c r="G161" i="2"/>
  <c r="J160" i="2"/>
  <c r="G160" i="2"/>
  <c r="J159" i="2"/>
  <c r="G159" i="2"/>
  <c r="J158" i="2"/>
  <c r="G158" i="2"/>
  <c r="J157" i="2"/>
  <c r="G157" i="2"/>
  <c r="J156" i="2"/>
  <c r="G156" i="2"/>
  <c r="J155" i="2"/>
  <c r="G155" i="2"/>
  <c r="J154" i="2"/>
  <c r="G154" i="2"/>
  <c r="J153" i="2"/>
  <c r="G153" i="2"/>
  <c r="J152" i="2"/>
  <c r="G152" i="2"/>
  <c r="J151" i="2"/>
  <c r="G151" i="2"/>
  <c r="J150" i="2"/>
  <c r="G150" i="2"/>
  <c r="J149" i="2"/>
  <c r="G149" i="2"/>
  <c r="J148" i="2"/>
  <c r="G148" i="2"/>
  <c r="J147" i="2"/>
  <c r="G147" i="2"/>
  <c r="J146" i="2"/>
  <c r="G146" i="2"/>
  <c r="J145" i="2"/>
  <c r="G145" i="2"/>
  <c r="J144" i="2"/>
  <c r="G144" i="2"/>
  <c r="J143" i="2"/>
  <c r="F52" i="1" s="1"/>
  <c r="I52" i="1" s="1"/>
  <c r="G143" i="2"/>
  <c r="E52" i="1" s="1"/>
  <c r="H52" i="1" s="1"/>
  <c r="J142" i="2"/>
  <c r="G142" i="2"/>
  <c r="J141" i="2"/>
  <c r="G141" i="2"/>
  <c r="J140" i="2"/>
  <c r="G140" i="2"/>
  <c r="J139" i="2"/>
  <c r="G139" i="2"/>
  <c r="J138" i="2"/>
  <c r="G138" i="2"/>
  <c r="J137" i="2"/>
  <c r="G137" i="2"/>
  <c r="J136" i="2"/>
  <c r="F46" i="1" s="1"/>
  <c r="I46" i="1" s="1"/>
  <c r="G136" i="2"/>
  <c r="E46" i="1" s="1"/>
  <c r="H46" i="1" s="1"/>
  <c r="J135" i="2"/>
  <c r="G135" i="2"/>
  <c r="J134" i="2"/>
  <c r="G134" i="2"/>
  <c r="J133" i="2"/>
  <c r="G133" i="2"/>
  <c r="J132" i="2"/>
  <c r="G132" i="2"/>
  <c r="J131" i="2"/>
  <c r="G131" i="2"/>
  <c r="J130" i="2"/>
  <c r="F43" i="1" s="1"/>
  <c r="I43" i="1" s="1"/>
  <c r="G130" i="2"/>
  <c r="E43" i="1" s="1"/>
  <c r="H43" i="1" s="1"/>
  <c r="J129" i="2"/>
  <c r="G129" i="2"/>
  <c r="J128" i="2"/>
  <c r="G128" i="2"/>
  <c r="J127" i="2"/>
  <c r="G127" i="2"/>
  <c r="J126" i="2"/>
  <c r="G126" i="2"/>
  <c r="J125" i="2"/>
  <c r="G125" i="2"/>
  <c r="J124" i="2"/>
  <c r="G124" i="2"/>
  <c r="J123" i="2"/>
  <c r="G123" i="2"/>
  <c r="J122" i="2"/>
  <c r="G122" i="2"/>
  <c r="J121" i="2"/>
  <c r="F41" i="1" s="1"/>
  <c r="I41" i="1" s="1"/>
  <c r="G121" i="2"/>
  <c r="E41" i="1" s="1"/>
  <c r="H41" i="1" s="1"/>
  <c r="J120" i="2"/>
  <c r="G120" i="2"/>
  <c r="J119" i="2"/>
  <c r="G119" i="2"/>
  <c r="J118" i="2"/>
  <c r="G118" i="2"/>
  <c r="J117" i="2"/>
  <c r="G117" i="2"/>
  <c r="J116" i="2"/>
  <c r="G116" i="2"/>
  <c r="J115" i="2"/>
  <c r="G115" i="2"/>
  <c r="J114" i="2"/>
  <c r="G114" i="2"/>
  <c r="J113" i="2"/>
  <c r="G113" i="2"/>
  <c r="J112" i="2"/>
  <c r="F35" i="1" s="1"/>
  <c r="I35" i="1" s="1"/>
  <c r="G112" i="2"/>
  <c r="E35" i="1" s="1"/>
  <c r="H35" i="1" s="1"/>
  <c r="J111" i="2"/>
  <c r="G111" i="2"/>
  <c r="J110" i="2"/>
  <c r="G110" i="2"/>
  <c r="J109" i="2"/>
  <c r="G109" i="2"/>
  <c r="J108" i="2"/>
  <c r="G108" i="2"/>
  <c r="J107" i="2"/>
  <c r="G107" i="2"/>
  <c r="J106" i="2"/>
  <c r="G106" i="2"/>
  <c r="J105" i="2"/>
  <c r="G105" i="2"/>
  <c r="J104" i="2"/>
  <c r="G104" i="2"/>
  <c r="J103" i="2"/>
  <c r="G103" i="2"/>
  <c r="J102" i="2"/>
  <c r="G102" i="2"/>
  <c r="J101" i="2"/>
  <c r="G101" i="2"/>
  <c r="J100" i="2"/>
  <c r="G100" i="2"/>
  <c r="J99" i="2"/>
  <c r="F33" i="1" s="1"/>
  <c r="I33" i="1" s="1"/>
  <c r="G99" i="2"/>
  <c r="E33" i="1" s="1"/>
  <c r="H33" i="1" s="1"/>
  <c r="J98" i="2"/>
  <c r="G98" i="2"/>
  <c r="J97" i="2"/>
  <c r="G97" i="2"/>
  <c r="J96" i="2"/>
  <c r="G96" i="2"/>
  <c r="J95" i="2"/>
  <c r="F32" i="1" s="1"/>
  <c r="I32" i="1" s="1"/>
  <c r="G95" i="2"/>
  <c r="E32" i="1" s="1"/>
  <c r="H32" i="1" s="1"/>
  <c r="J94" i="2"/>
  <c r="G94" i="2"/>
  <c r="J93" i="2"/>
  <c r="G93" i="2"/>
  <c r="J92" i="2"/>
  <c r="G92" i="2"/>
  <c r="J91" i="2"/>
  <c r="G91" i="2"/>
  <c r="J90" i="2"/>
  <c r="G90" i="2"/>
  <c r="J89" i="2"/>
  <c r="G89" i="2"/>
  <c r="J88" i="2"/>
  <c r="G88" i="2"/>
  <c r="J87" i="2"/>
  <c r="G87" i="2"/>
  <c r="J86" i="2"/>
  <c r="G86" i="2"/>
  <c r="J85" i="2"/>
  <c r="G85" i="2"/>
  <c r="J84" i="2"/>
  <c r="F29" i="1" s="1"/>
  <c r="I29" i="1" s="1"/>
  <c r="G84" i="2"/>
  <c r="E29" i="1" s="1"/>
  <c r="H29" i="1" s="1"/>
  <c r="J83" i="2"/>
  <c r="G83" i="2"/>
  <c r="J82" i="2"/>
  <c r="G82" i="2"/>
  <c r="J81" i="2"/>
  <c r="G81" i="2"/>
  <c r="J80" i="2"/>
  <c r="G80" i="2"/>
  <c r="J79" i="2"/>
  <c r="G79" i="2"/>
  <c r="J78" i="2"/>
  <c r="G78" i="2"/>
  <c r="J77" i="2"/>
  <c r="F27" i="1" s="1"/>
  <c r="I27" i="1" s="1"/>
  <c r="G77" i="2"/>
  <c r="E27" i="1" s="1"/>
  <c r="H27" i="1" s="1"/>
  <c r="J76" i="2"/>
  <c r="G76" i="2"/>
  <c r="J75" i="2"/>
  <c r="F26" i="1" s="1"/>
  <c r="I26" i="1" s="1"/>
  <c r="G75" i="2"/>
  <c r="E26" i="1" s="1"/>
  <c r="H26" i="1" s="1"/>
  <c r="J74" i="2"/>
  <c r="G74" i="2"/>
  <c r="J73" i="2"/>
  <c r="G73" i="2"/>
  <c r="J72" i="2"/>
  <c r="G72" i="2"/>
  <c r="J71" i="2"/>
  <c r="G71" i="2"/>
  <c r="J70" i="2"/>
  <c r="G70" i="2"/>
  <c r="J69" i="2"/>
  <c r="G69" i="2"/>
  <c r="J68" i="2"/>
  <c r="G68" i="2"/>
  <c r="E103" i="1" s="1"/>
  <c r="H103" i="1" s="1"/>
  <c r="J67" i="2"/>
  <c r="G67" i="2"/>
  <c r="J66" i="2"/>
  <c r="G66" i="2"/>
  <c r="J65" i="2"/>
  <c r="G65" i="2"/>
  <c r="J64" i="2"/>
  <c r="G64" i="2"/>
  <c r="J63" i="2"/>
  <c r="G63" i="2"/>
  <c r="J62" i="2"/>
  <c r="G62" i="2"/>
  <c r="J61" i="2"/>
  <c r="G61" i="2"/>
  <c r="J60" i="2"/>
  <c r="G60" i="2"/>
  <c r="J59" i="2"/>
  <c r="G59" i="2"/>
  <c r="J58" i="2"/>
  <c r="F22" i="1" s="1"/>
  <c r="I22" i="1" s="1"/>
  <c r="G58" i="2"/>
  <c r="E22" i="1" s="1"/>
  <c r="H22" i="1" s="1"/>
  <c r="J57" i="2"/>
  <c r="G57" i="2"/>
  <c r="J56" i="2"/>
  <c r="G56" i="2"/>
  <c r="J55" i="2"/>
  <c r="G55" i="2"/>
  <c r="J54" i="2"/>
  <c r="G54" i="2"/>
  <c r="J53" i="2"/>
  <c r="G53" i="2"/>
  <c r="J52" i="2"/>
  <c r="G52" i="2"/>
  <c r="J51" i="2"/>
  <c r="G51" i="2"/>
  <c r="J50" i="2"/>
  <c r="G50" i="2"/>
  <c r="J49" i="2"/>
  <c r="G49" i="2"/>
  <c r="J48" i="2"/>
  <c r="G48" i="2"/>
  <c r="J47" i="2"/>
  <c r="G47" i="2"/>
  <c r="J46" i="2"/>
  <c r="G46" i="2"/>
  <c r="J45" i="2"/>
  <c r="G45" i="2"/>
  <c r="J44" i="2"/>
  <c r="G44" i="2"/>
  <c r="J43" i="2"/>
  <c r="G43" i="2"/>
  <c r="J42" i="2"/>
  <c r="G42" i="2"/>
  <c r="J41" i="2"/>
  <c r="G41" i="2"/>
  <c r="J39" i="2"/>
  <c r="G39" i="2"/>
  <c r="J38" i="2"/>
  <c r="F17" i="1" s="1"/>
  <c r="I17" i="1" s="1"/>
  <c r="G38" i="2"/>
  <c r="E17" i="1" s="1"/>
  <c r="H17" i="1" s="1"/>
  <c r="J37" i="2"/>
  <c r="F15" i="1" s="1"/>
  <c r="I15" i="1" s="1"/>
  <c r="G37" i="2"/>
  <c r="E15" i="1" s="1"/>
  <c r="H15" i="1" s="1"/>
  <c r="J36" i="2"/>
  <c r="G36" i="2"/>
  <c r="J35" i="2"/>
  <c r="G35" i="2"/>
  <c r="J34" i="2"/>
  <c r="G34" i="2"/>
  <c r="J33" i="2"/>
  <c r="G33" i="2"/>
  <c r="J32" i="2"/>
  <c r="G32" i="2"/>
  <c r="J31" i="2"/>
  <c r="G31" i="2"/>
  <c r="J30" i="2"/>
  <c r="G30" i="2"/>
  <c r="J29" i="2"/>
  <c r="G29" i="2"/>
  <c r="J28" i="2"/>
  <c r="G28" i="2"/>
  <c r="J27" i="2"/>
  <c r="G27" i="2"/>
  <c r="E209" i="1" s="1"/>
  <c r="H209" i="1" s="1"/>
  <c r="J26" i="2"/>
  <c r="G26" i="2"/>
  <c r="J25" i="2"/>
  <c r="G25" i="2"/>
  <c r="J24" i="2"/>
  <c r="G24" i="2"/>
  <c r="J23" i="2"/>
  <c r="G23" i="2"/>
  <c r="J22" i="2"/>
  <c r="G22" i="2"/>
  <c r="J21" i="2"/>
  <c r="G21" i="2"/>
  <c r="J20" i="2"/>
  <c r="G20" i="2"/>
  <c r="J18" i="2"/>
  <c r="G18" i="2"/>
  <c r="J17" i="2"/>
  <c r="F319" i="1" s="1"/>
  <c r="I319" i="1" s="1"/>
  <c r="G17" i="2"/>
  <c r="J16" i="2"/>
  <c r="G16" i="2"/>
  <c r="J15" i="2"/>
  <c r="G15" i="2"/>
  <c r="J13" i="2"/>
  <c r="G13" i="2"/>
  <c r="J12" i="2"/>
  <c r="G12" i="2"/>
  <c r="J10" i="2"/>
  <c r="G10" i="2"/>
  <c r="J9" i="2"/>
  <c r="G9" i="2"/>
  <c r="J8" i="2"/>
  <c r="G8" i="2"/>
  <c r="J7" i="2"/>
  <c r="G7" i="2"/>
  <c r="J6" i="2"/>
  <c r="G6" i="2"/>
  <c r="J5" i="2"/>
  <c r="G5" i="2"/>
  <c r="G4" i="2"/>
  <c r="J4" i="2"/>
  <c r="M809" i="2"/>
  <c r="N809" i="2"/>
  <c r="O809" i="2"/>
  <c r="P809" i="2"/>
  <c r="L809" i="2"/>
  <c r="K809" i="2"/>
  <c r="I809" i="2"/>
  <c r="F809" i="2"/>
  <c r="P465" i="6"/>
  <c r="R465" i="6"/>
  <c r="T465" i="6"/>
  <c r="H495" i="6"/>
  <c r="N458" i="6"/>
  <c r="N457" i="6"/>
  <c r="I495" i="6"/>
  <c r="H362" i="6" l="1"/>
  <c r="H414" i="6" s="1"/>
  <c r="H15" i="21"/>
  <c r="F15" i="34"/>
  <c r="F230" i="1"/>
  <c r="I230" i="1" s="1"/>
  <c r="E230" i="1"/>
  <c r="H230" i="1" s="1"/>
  <c r="E290" i="1"/>
  <c r="H290" i="1" s="1"/>
  <c r="E359" i="1"/>
  <c r="H359" i="1" s="1"/>
  <c r="E19" i="1"/>
  <c r="H19" i="1" s="1"/>
  <c r="E38" i="1"/>
  <c r="H38" i="1" s="1"/>
  <c r="E47" i="1"/>
  <c r="H47" i="1" s="1"/>
  <c r="E131" i="1"/>
  <c r="H131" i="1" s="1"/>
  <c r="E156" i="1"/>
  <c r="H156" i="1" s="1"/>
  <c r="E344" i="1"/>
  <c r="H344" i="1" s="1"/>
  <c r="E370" i="1"/>
  <c r="H370" i="1" s="1"/>
  <c r="E23" i="1"/>
  <c r="H23" i="1" s="1"/>
  <c r="E30" i="1"/>
  <c r="H30" i="1" s="1"/>
  <c r="E201" i="1"/>
  <c r="H201" i="1" s="1"/>
  <c r="E40" i="1"/>
  <c r="H40" i="1" s="1"/>
  <c r="E25" i="1"/>
  <c r="H25" i="1" s="1"/>
  <c r="E44" i="1"/>
  <c r="H44" i="1" s="1"/>
  <c r="E105" i="1"/>
  <c r="H105" i="1" s="1"/>
  <c r="E109" i="1"/>
  <c r="H109" i="1" s="1"/>
  <c r="E133" i="1"/>
  <c r="H133" i="1" s="1"/>
  <c r="E23" i="17"/>
  <c r="G23" i="17" s="1"/>
  <c r="H563" i="6"/>
  <c r="H568" i="6" s="1"/>
  <c r="H103" i="6" s="1"/>
  <c r="E35" i="34" s="1"/>
  <c r="B35" i="34" s="1"/>
  <c r="E71" i="1"/>
  <c r="H71" i="1" s="1"/>
  <c r="J71" i="1" s="1"/>
  <c r="E127" i="1"/>
  <c r="H127" i="1" s="1"/>
  <c r="E20" i="1"/>
  <c r="H20" i="1" s="1"/>
  <c r="F109" i="1"/>
  <c r="I109" i="1" s="1"/>
  <c r="E319" i="1"/>
  <c r="H319" i="1" s="1"/>
  <c r="J319" i="1" s="1"/>
  <c r="F21" i="1"/>
  <c r="I21" i="1" s="1"/>
  <c r="F28" i="1"/>
  <c r="I28" i="1" s="1"/>
  <c r="F34" i="1"/>
  <c r="I34" i="1" s="1"/>
  <c r="F37" i="1"/>
  <c r="I37" i="1" s="1"/>
  <c r="F76" i="1"/>
  <c r="I76" i="1" s="1"/>
  <c r="F39" i="1"/>
  <c r="I39" i="1" s="1"/>
  <c r="F42" i="1"/>
  <c r="I42" i="1" s="1"/>
  <c r="F45" i="1"/>
  <c r="I45" i="1" s="1"/>
  <c r="F48" i="1"/>
  <c r="I48" i="1" s="1"/>
  <c r="F56" i="1"/>
  <c r="I56" i="1" s="1"/>
  <c r="F110" i="1"/>
  <c r="I110" i="1" s="1"/>
  <c r="F179" i="1"/>
  <c r="I179" i="1" s="1"/>
  <c r="F18" i="1"/>
  <c r="I18" i="1" s="1"/>
  <c r="F24" i="1"/>
  <c r="I24" i="1" s="1"/>
  <c r="E16" i="1"/>
  <c r="H16" i="1" s="1"/>
  <c r="E36" i="1"/>
  <c r="H36" i="1" s="1"/>
  <c r="F131" i="1"/>
  <c r="I131" i="1" s="1"/>
  <c r="F133" i="1"/>
  <c r="I133" i="1" s="1"/>
  <c r="F156" i="1"/>
  <c r="I156" i="1" s="1"/>
  <c r="F344" i="1"/>
  <c r="I344" i="1" s="1"/>
  <c r="F370" i="1"/>
  <c r="I370" i="1" s="1"/>
  <c r="F16" i="1"/>
  <c r="I16" i="1" s="1"/>
  <c r="F23" i="1"/>
  <c r="I23" i="1" s="1"/>
  <c r="F30" i="1"/>
  <c r="I30" i="1" s="1"/>
  <c r="F36" i="1"/>
  <c r="I36" i="1" s="1"/>
  <c r="F69" i="1"/>
  <c r="I69" i="1" s="1"/>
  <c r="F31" i="1"/>
  <c r="I31" i="1" s="1"/>
  <c r="F20" i="1"/>
  <c r="I20" i="1" s="1"/>
  <c r="F201" i="1"/>
  <c r="I201" i="1" s="1"/>
  <c r="F19" i="1"/>
  <c r="I19" i="1" s="1"/>
  <c r="F38" i="1"/>
  <c r="I38" i="1" s="1"/>
  <c r="F40" i="1"/>
  <c r="I40" i="1" s="1"/>
  <c r="F25" i="1"/>
  <c r="I25" i="1" s="1"/>
  <c r="F44" i="1"/>
  <c r="I44" i="1" s="1"/>
  <c r="J44" i="1" s="1"/>
  <c r="F47" i="1"/>
  <c r="I47" i="1" s="1"/>
  <c r="F50" i="1"/>
  <c r="I50" i="1" s="1"/>
  <c r="F66" i="1"/>
  <c r="I66" i="1" s="1"/>
  <c r="F85" i="1"/>
  <c r="I85" i="1" s="1"/>
  <c r="F97" i="1"/>
  <c r="I97" i="1" s="1"/>
  <c r="E21" i="1"/>
  <c r="H21" i="1" s="1"/>
  <c r="E28" i="1"/>
  <c r="H28" i="1" s="1"/>
  <c r="E34" i="1"/>
  <c r="H34" i="1" s="1"/>
  <c r="E37" i="1"/>
  <c r="H37" i="1" s="1"/>
  <c r="E76" i="1"/>
  <c r="H76" i="1" s="1"/>
  <c r="E39" i="1"/>
  <c r="H39" i="1" s="1"/>
  <c r="E42" i="1"/>
  <c r="H42" i="1" s="1"/>
  <c r="E45" i="1"/>
  <c r="H45" i="1" s="1"/>
  <c r="E48" i="1"/>
  <c r="H48" i="1" s="1"/>
  <c r="E56" i="1"/>
  <c r="H56" i="1" s="1"/>
  <c r="E69" i="1"/>
  <c r="H69" i="1" s="1"/>
  <c r="J69" i="1" s="1"/>
  <c r="E110" i="1"/>
  <c r="H110" i="1" s="1"/>
  <c r="J110" i="1" s="1"/>
  <c r="E179" i="1"/>
  <c r="H179" i="1" s="1"/>
  <c r="J179" i="1" s="1"/>
  <c r="E18" i="1"/>
  <c r="H18" i="1" s="1"/>
  <c r="J18" i="1" s="1"/>
  <c r="E24" i="1"/>
  <c r="H24" i="1" s="1"/>
  <c r="J24" i="1" s="1"/>
  <c r="E31" i="1"/>
  <c r="H31" i="1" s="1"/>
  <c r="J31" i="1" s="1"/>
  <c r="E120" i="1"/>
  <c r="H120" i="1" s="1"/>
  <c r="E49" i="1"/>
  <c r="H49" i="1" s="1"/>
  <c r="F49" i="1"/>
  <c r="I49" i="1" s="1"/>
  <c r="F60" i="1"/>
  <c r="I60" i="1" s="1"/>
  <c r="F80" i="1"/>
  <c r="I80" i="1" s="1"/>
  <c r="F95" i="1"/>
  <c r="I95" i="1" s="1"/>
  <c r="F98" i="1"/>
  <c r="I98" i="1" s="1"/>
  <c r="F107" i="1"/>
  <c r="I107" i="1" s="1"/>
  <c r="F126" i="1"/>
  <c r="I126" i="1" s="1"/>
  <c r="F329" i="1"/>
  <c r="I329" i="1" s="1"/>
  <c r="F210" i="1"/>
  <c r="I210" i="1" s="1"/>
  <c r="F341" i="1"/>
  <c r="I341" i="1" s="1"/>
  <c r="E60" i="1"/>
  <c r="H60" i="1" s="1"/>
  <c r="E80" i="1"/>
  <c r="H80" i="1" s="1"/>
  <c r="E95" i="1"/>
  <c r="H95" i="1" s="1"/>
  <c r="E98" i="1"/>
  <c r="H98" i="1" s="1"/>
  <c r="F280" i="1"/>
  <c r="I280" i="1" s="1"/>
  <c r="J280" i="1" s="1"/>
  <c r="E51" i="1"/>
  <c r="H51" i="1" s="1"/>
  <c r="E50" i="1"/>
  <c r="H50" i="1" s="1"/>
  <c r="E63" i="1"/>
  <c r="H63" i="1" s="1"/>
  <c r="E70" i="1"/>
  <c r="H70" i="1" s="1"/>
  <c r="E125" i="1"/>
  <c r="H125" i="1" s="1"/>
  <c r="E148" i="1"/>
  <c r="H148" i="1" s="1"/>
  <c r="F51" i="1"/>
  <c r="I51" i="1" s="1"/>
  <c r="F209" i="1"/>
  <c r="I209" i="1" s="1"/>
  <c r="J209" i="1" s="1"/>
  <c r="F349" i="1"/>
  <c r="I349" i="1" s="1"/>
  <c r="F122" i="1"/>
  <c r="I122" i="1" s="1"/>
  <c r="J122" i="1" s="1"/>
  <c r="F372" i="1"/>
  <c r="I372" i="1" s="1"/>
  <c r="E101" i="1"/>
  <c r="H101" i="1" s="1"/>
  <c r="J101" i="1" s="1"/>
  <c r="E107" i="1"/>
  <c r="H107" i="1" s="1"/>
  <c r="E126" i="1"/>
  <c r="H126" i="1" s="1"/>
  <c r="E138" i="1"/>
  <c r="H138" i="1" s="1"/>
  <c r="E372" i="1"/>
  <c r="H372" i="1" s="1"/>
  <c r="E61" i="1"/>
  <c r="H61" i="1" s="1"/>
  <c r="E64" i="1"/>
  <c r="H64" i="1" s="1"/>
  <c r="E81" i="1"/>
  <c r="H81" i="1" s="1"/>
  <c r="E93" i="1"/>
  <c r="H93" i="1" s="1"/>
  <c r="E96" i="1"/>
  <c r="H96" i="1" s="1"/>
  <c r="E104" i="1"/>
  <c r="H104" i="1" s="1"/>
  <c r="E121" i="1"/>
  <c r="H121" i="1" s="1"/>
  <c r="E124" i="1"/>
  <c r="H124" i="1" s="1"/>
  <c r="E329" i="1"/>
  <c r="H329" i="1" s="1"/>
  <c r="J329" i="1" s="1"/>
  <c r="E147" i="1"/>
  <c r="H147" i="1" s="1"/>
  <c r="E54" i="1"/>
  <c r="H54" i="1" s="1"/>
  <c r="E324" i="1"/>
  <c r="H324" i="1" s="1"/>
  <c r="E66" i="1"/>
  <c r="H66" i="1" s="1"/>
  <c r="E74" i="1"/>
  <c r="H74" i="1" s="1"/>
  <c r="E85" i="1"/>
  <c r="H85" i="1" s="1"/>
  <c r="E94" i="1"/>
  <c r="H94" i="1" s="1"/>
  <c r="J94" i="1" s="1"/>
  <c r="E97" i="1"/>
  <c r="H97" i="1" s="1"/>
  <c r="E163" i="1"/>
  <c r="H163" i="1" s="1"/>
  <c r="E314" i="1"/>
  <c r="H314" i="1" s="1"/>
  <c r="E383" i="1"/>
  <c r="H383" i="1" s="1"/>
  <c r="E58" i="1"/>
  <c r="H58" i="1" s="1"/>
  <c r="E86" i="1"/>
  <c r="H86" i="1" s="1"/>
  <c r="E139" i="1"/>
  <c r="H139" i="1" s="1"/>
  <c r="E170" i="1"/>
  <c r="H170" i="1" s="1"/>
  <c r="E241" i="1"/>
  <c r="H241" i="1" s="1"/>
  <c r="E332" i="1"/>
  <c r="H332" i="1" s="1"/>
  <c r="E345" i="1"/>
  <c r="H345" i="1" s="1"/>
  <c r="F58" i="1"/>
  <c r="I58" i="1" s="1"/>
  <c r="F64" i="1"/>
  <c r="I64" i="1" s="1"/>
  <c r="F81" i="1"/>
  <c r="I81" i="1" s="1"/>
  <c r="F86" i="1"/>
  <c r="I86" i="1" s="1"/>
  <c r="F93" i="1"/>
  <c r="I93" i="1" s="1"/>
  <c r="J93" i="1" s="1"/>
  <c r="F104" i="1"/>
  <c r="I104" i="1" s="1"/>
  <c r="F121" i="1"/>
  <c r="I121" i="1" s="1"/>
  <c r="F124" i="1"/>
  <c r="I124" i="1" s="1"/>
  <c r="F229" i="1"/>
  <c r="I229" i="1" s="1"/>
  <c r="F276" i="1"/>
  <c r="I276" i="1" s="1"/>
  <c r="F345" i="1"/>
  <c r="I345" i="1" s="1"/>
  <c r="F373" i="1"/>
  <c r="I373" i="1" s="1"/>
  <c r="I712" i="6"/>
  <c r="O23" i="25"/>
  <c r="N25" i="25"/>
  <c r="L25" i="25"/>
  <c r="J25" i="25"/>
  <c r="I23" i="17"/>
  <c r="F375" i="1"/>
  <c r="I375" i="1" s="1"/>
  <c r="E320" i="1"/>
  <c r="H320" i="1" s="1"/>
  <c r="E346" i="1"/>
  <c r="H346" i="1" s="1"/>
  <c r="E352" i="1"/>
  <c r="H352" i="1" s="1"/>
  <c r="F346" i="1"/>
  <c r="I346" i="1" s="1"/>
  <c r="E341" i="1"/>
  <c r="H341" i="1" s="1"/>
  <c r="E351" i="1"/>
  <c r="H351" i="1" s="1"/>
  <c r="E369" i="1"/>
  <c r="H369" i="1" s="1"/>
  <c r="E373" i="1"/>
  <c r="H373" i="1" s="1"/>
  <c r="E375" i="1"/>
  <c r="H375" i="1" s="1"/>
  <c r="F356" i="1"/>
  <c r="I356" i="1" s="1"/>
  <c r="E364" i="1"/>
  <c r="H364" i="1" s="1"/>
  <c r="E389" i="1"/>
  <c r="H389" i="1" s="1"/>
  <c r="E382" i="1"/>
  <c r="H382" i="1" s="1"/>
  <c r="E336" i="1"/>
  <c r="H336" i="1" s="1"/>
  <c r="E245" i="1"/>
  <c r="H245" i="1" s="1"/>
  <c r="E349" i="1"/>
  <c r="H349" i="1" s="1"/>
  <c r="E134" i="1"/>
  <c r="H134" i="1" s="1"/>
  <c r="E160" i="1"/>
  <c r="H160" i="1" s="1"/>
  <c r="E355" i="1"/>
  <c r="H355" i="1" s="1"/>
  <c r="E180" i="1"/>
  <c r="H180" i="1" s="1"/>
  <c r="E186" i="1"/>
  <c r="H186" i="1" s="1"/>
  <c r="E198" i="1"/>
  <c r="H198" i="1" s="1"/>
  <c r="E214" i="1"/>
  <c r="H214" i="1" s="1"/>
  <c r="E219" i="1"/>
  <c r="H219" i="1" s="1"/>
  <c r="E221" i="1"/>
  <c r="H221" i="1" s="1"/>
  <c r="E235" i="1"/>
  <c r="H235" i="1" s="1"/>
  <c r="E269" i="1"/>
  <c r="H269" i="1" s="1"/>
  <c r="E267" i="1"/>
  <c r="H267" i="1" s="1"/>
  <c r="E278" i="1"/>
  <c r="H278" i="1" s="1"/>
  <c r="E293" i="1"/>
  <c r="H293" i="1" s="1"/>
  <c r="E300" i="1"/>
  <c r="H300" i="1" s="1"/>
  <c r="H687" i="6"/>
  <c r="H694" i="6" s="1"/>
  <c r="H704" i="6" s="1"/>
  <c r="E327" i="1"/>
  <c r="H327" i="1" s="1"/>
  <c r="E313" i="1"/>
  <c r="H313" i="1" s="1"/>
  <c r="F328" i="1"/>
  <c r="I328" i="1" s="1"/>
  <c r="F70" i="1"/>
  <c r="I70" i="1" s="1"/>
  <c r="E210" i="1"/>
  <c r="H210" i="1" s="1"/>
  <c r="E244" i="1"/>
  <c r="H244" i="1" s="1"/>
  <c r="E276" i="1"/>
  <c r="H276" i="1" s="1"/>
  <c r="E292" i="1"/>
  <c r="H292" i="1" s="1"/>
  <c r="E356" i="1"/>
  <c r="H356" i="1" s="1"/>
  <c r="F383" i="1"/>
  <c r="I383" i="1" s="1"/>
  <c r="F311" i="1"/>
  <c r="I311" i="1" s="1"/>
  <c r="F251" i="1"/>
  <c r="I251" i="1" s="1"/>
  <c r="F75" i="1"/>
  <c r="I75" i="1" s="1"/>
  <c r="F135" i="1"/>
  <c r="I135" i="1" s="1"/>
  <c r="F159" i="1"/>
  <c r="I159" i="1" s="1"/>
  <c r="F164" i="1"/>
  <c r="I164" i="1" s="1"/>
  <c r="F169" i="1"/>
  <c r="I169" i="1" s="1"/>
  <c r="F174" i="1"/>
  <c r="I174" i="1" s="1"/>
  <c r="F181" i="1"/>
  <c r="I181" i="1" s="1"/>
  <c r="F192" i="1"/>
  <c r="I192" i="1" s="1"/>
  <c r="F204" i="1"/>
  <c r="I204" i="1" s="1"/>
  <c r="F215" i="1"/>
  <c r="I215" i="1" s="1"/>
  <c r="F220" i="1"/>
  <c r="I220" i="1" s="1"/>
  <c r="F234" i="1"/>
  <c r="I234" i="1" s="1"/>
  <c r="F236" i="1"/>
  <c r="I236" i="1" s="1"/>
  <c r="F273" i="1"/>
  <c r="I273" i="1" s="1"/>
  <c r="F279" i="1"/>
  <c r="I279" i="1" s="1"/>
  <c r="F298" i="1"/>
  <c r="I298" i="1" s="1"/>
  <c r="F301" i="1"/>
  <c r="I301" i="1" s="1"/>
  <c r="F335" i="1"/>
  <c r="I335" i="1" s="1"/>
  <c r="F357" i="1"/>
  <c r="I357" i="1" s="1"/>
  <c r="F362" i="1"/>
  <c r="I362" i="1" s="1"/>
  <c r="E286" i="1"/>
  <c r="H286" i="1" s="1"/>
  <c r="F363" i="1"/>
  <c r="I363" i="1" s="1"/>
  <c r="E211" i="1"/>
  <c r="H211" i="1" s="1"/>
  <c r="E272" i="1"/>
  <c r="H272" i="1" s="1"/>
  <c r="E307" i="1"/>
  <c r="H307" i="1" s="1"/>
  <c r="E308" i="1"/>
  <c r="H308" i="1" s="1"/>
  <c r="F211" i="1"/>
  <c r="I211" i="1" s="1"/>
  <c r="F324" i="1"/>
  <c r="I324" i="1" s="1"/>
  <c r="F158" i="1"/>
  <c r="I158" i="1" s="1"/>
  <c r="F160" i="1"/>
  <c r="I160" i="1" s="1"/>
  <c r="F180" i="1"/>
  <c r="I180" i="1" s="1"/>
  <c r="F198" i="1"/>
  <c r="I198" i="1" s="1"/>
  <c r="F200" i="1"/>
  <c r="I200" i="1" s="1"/>
  <c r="F214" i="1"/>
  <c r="I214" i="1" s="1"/>
  <c r="F221" i="1"/>
  <c r="I221" i="1" s="1"/>
  <c r="F235" i="1"/>
  <c r="I235" i="1" s="1"/>
  <c r="F269" i="1"/>
  <c r="I269" i="1" s="1"/>
  <c r="F267" i="1"/>
  <c r="I267" i="1" s="1"/>
  <c r="F271" i="1"/>
  <c r="I271" i="1" s="1"/>
  <c r="F278" i="1"/>
  <c r="I278" i="1" s="1"/>
  <c r="F290" i="1"/>
  <c r="I290" i="1" s="1"/>
  <c r="F293" i="1"/>
  <c r="I293" i="1" s="1"/>
  <c r="F314" i="1"/>
  <c r="I314" i="1" s="1"/>
  <c r="F300" i="1"/>
  <c r="I300" i="1" s="1"/>
  <c r="F307" i="1"/>
  <c r="I307" i="1" s="1"/>
  <c r="F359" i="1"/>
  <c r="I359" i="1" s="1"/>
  <c r="F364" i="1"/>
  <c r="I364" i="1" s="1"/>
  <c r="J364" i="1" s="1"/>
  <c r="E316" i="1"/>
  <c r="H316" i="1" s="1"/>
  <c r="E251" i="1"/>
  <c r="H251" i="1" s="1"/>
  <c r="E322" i="1"/>
  <c r="H322" i="1" s="1"/>
  <c r="E129" i="1"/>
  <c r="H129" i="1" s="1"/>
  <c r="E135" i="1"/>
  <c r="H135" i="1" s="1"/>
  <c r="E159" i="1"/>
  <c r="H159" i="1" s="1"/>
  <c r="E164" i="1"/>
  <c r="H164" i="1" s="1"/>
  <c r="E169" i="1"/>
  <c r="H169" i="1" s="1"/>
  <c r="E181" i="1"/>
  <c r="H181" i="1" s="1"/>
  <c r="E190" i="1"/>
  <c r="H190" i="1" s="1"/>
  <c r="E192" i="1"/>
  <c r="H192" i="1" s="1"/>
  <c r="E197" i="1"/>
  <c r="H197" i="1" s="1"/>
  <c r="E204" i="1"/>
  <c r="H204" i="1" s="1"/>
  <c r="E212" i="1"/>
  <c r="H212" i="1" s="1"/>
  <c r="E215" i="1"/>
  <c r="H215" i="1" s="1"/>
  <c r="E220" i="1"/>
  <c r="H220" i="1" s="1"/>
  <c r="E225" i="1"/>
  <c r="H225" i="1" s="1"/>
  <c r="E234" i="1"/>
  <c r="H234" i="1" s="1"/>
  <c r="E236" i="1"/>
  <c r="H236" i="1" s="1"/>
  <c r="E237" i="1"/>
  <c r="H237" i="1" s="1"/>
  <c r="E253" i="1"/>
  <c r="H253" i="1" s="1"/>
  <c r="E262" i="1"/>
  <c r="H262" i="1" s="1"/>
  <c r="E273" i="1"/>
  <c r="H273" i="1" s="1"/>
  <c r="E279" i="1"/>
  <c r="H279" i="1" s="1"/>
  <c r="E284" i="1"/>
  <c r="H284" i="1" s="1"/>
  <c r="E288" i="1"/>
  <c r="H288" i="1" s="1"/>
  <c r="E298" i="1"/>
  <c r="H298" i="1" s="1"/>
  <c r="E299" i="1"/>
  <c r="H299" i="1" s="1"/>
  <c r="E301" i="1"/>
  <c r="H301" i="1" s="1"/>
  <c r="E302" i="1"/>
  <c r="H302" i="1" s="1"/>
  <c r="E335" i="1"/>
  <c r="H335" i="1" s="1"/>
  <c r="E347" i="1"/>
  <c r="H347" i="1" s="1"/>
  <c r="E357" i="1"/>
  <c r="H357" i="1" s="1"/>
  <c r="E362" i="1"/>
  <c r="H362" i="1" s="1"/>
  <c r="E380" i="1"/>
  <c r="H380" i="1" s="1"/>
  <c r="F321" i="1"/>
  <c r="I321" i="1" s="1"/>
  <c r="F190" i="1"/>
  <c r="I190" i="1" s="1"/>
  <c r="F194" i="1"/>
  <c r="I194" i="1" s="1"/>
  <c r="F197" i="1"/>
  <c r="I197" i="1" s="1"/>
  <c r="F212" i="1"/>
  <c r="I212" i="1" s="1"/>
  <c r="F241" i="1"/>
  <c r="I241" i="1" s="1"/>
  <c r="F253" i="1"/>
  <c r="I253" i="1" s="1"/>
  <c r="F284" i="1"/>
  <c r="I284" i="1" s="1"/>
  <c r="F299" i="1"/>
  <c r="I299" i="1" s="1"/>
  <c r="F302" i="1"/>
  <c r="I302" i="1" s="1"/>
  <c r="F332" i="1"/>
  <c r="I332" i="1" s="1"/>
  <c r="F351" i="1"/>
  <c r="I351" i="1" s="1"/>
  <c r="J351" i="1" s="1"/>
  <c r="F369" i="1"/>
  <c r="I369" i="1" s="1"/>
  <c r="J369" i="1" s="1"/>
  <c r="F380" i="1"/>
  <c r="I380" i="1" s="1"/>
  <c r="E328" i="1"/>
  <c r="H328" i="1" s="1"/>
  <c r="E158" i="1"/>
  <c r="H158" i="1" s="1"/>
  <c r="E200" i="1"/>
  <c r="H200" i="1" s="1"/>
  <c r="E271" i="1"/>
  <c r="H271" i="1" s="1"/>
  <c r="F382" i="1"/>
  <c r="I382" i="1" s="1"/>
  <c r="F336" i="1"/>
  <c r="I336" i="1" s="1"/>
  <c r="J336" i="1" s="1"/>
  <c r="F134" i="1"/>
  <c r="I134" i="1" s="1"/>
  <c r="F163" i="1"/>
  <c r="I163" i="1" s="1"/>
  <c r="F355" i="1"/>
  <c r="I355" i="1" s="1"/>
  <c r="F186" i="1"/>
  <c r="I186" i="1" s="1"/>
  <c r="F148" i="1"/>
  <c r="I148" i="1" s="1"/>
  <c r="F286" i="1"/>
  <c r="I286" i="1" s="1"/>
  <c r="F316" i="1"/>
  <c r="I316" i="1" s="1"/>
  <c r="F320" i="1"/>
  <c r="I320" i="1" s="1"/>
  <c r="F365" i="1"/>
  <c r="I365" i="1" s="1"/>
  <c r="E149" i="1"/>
  <c r="H149" i="1" s="1"/>
  <c r="J149" i="1" s="1"/>
  <c r="F103" i="1"/>
  <c r="I103" i="1" s="1"/>
  <c r="J103" i="1" s="1"/>
  <c r="F54" i="1"/>
  <c r="I54" i="1" s="1"/>
  <c r="E75" i="1"/>
  <c r="H75" i="1" s="1"/>
  <c r="E146" i="1"/>
  <c r="H146" i="1" s="1"/>
  <c r="E161" i="1"/>
  <c r="H161" i="1" s="1"/>
  <c r="E171" i="1"/>
  <c r="H171" i="1" s="1"/>
  <c r="E174" i="1"/>
  <c r="H174" i="1" s="1"/>
  <c r="E175" i="1"/>
  <c r="H175" i="1" s="1"/>
  <c r="E178" i="1"/>
  <c r="H178" i="1" s="1"/>
  <c r="E184" i="1"/>
  <c r="H184" i="1" s="1"/>
  <c r="E185" i="1"/>
  <c r="H185" i="1" s="1"/>
  <c r="E193" i="1"/>
  <c r="H193" i="1" s="1"/>
  <c r="E189" i="1"/>
  <c r="H189" i="1" s="1"/>
  <c r="E196" i="1"/>
  <c r="H196" i="1" s="1"/>
  <c r="E205" i="1"/>
  <c r="H205" i="1" s="1"/>
  <c r="E216" i="1"/>
  <c r="H216" i="1" s="1"/>
  <c r="E218" i="1"/>
  <c r="H218" i="1" s="1"/>
  <c r="E223" i="1"/>
  <c r="H223" i="1" s="1"/>
  <c r="E227" i="1"/>
  <c r="H227" i="1" s="1"/>
  <c r="E232" i="1"/>
  <c r="H232" i="1" s="1"/>
  <c r="E239" i="1"/>
  <c r="H239" i="1" s="1"/>
  <c r="E252" i="1"/>
  <c r="H252" i="1" s="1"/>
  <c r="E254" i="1"/>
  <c r="H254" i="1" s="1"/>
  <c r="E256" i="1"/>
  <c r="H256" i="1" s="1"/>
  <c r="E258" i="1"/>
  <c r="H258" i="1" s="1"/>
  <c r="E260" i="1"/>
  <c r="H260" i="1" s="1"/>
  <c r="E264" i="1"/>
  <c r="H264" i="1" s="1"/>
  <c r="E266" i="1"/>
  <c r="H266" i="1" s="1"/>
  <c r="E268" i="1"/>
  <c r="H268" i="1" s="1"/>
  <c r="E282" i="1"/>
  <c r="H282" i="1" s="1"/>
  <c r="E283" i="1"/>
  <c r="H283" i="1" s="1"/>
  <c r="E287" i="1"/>
  <c r="H287" i="1" s="1"/>
  <c r="E304" i="1"/>
  <c r="H304" i="1" s="1"/>
  <c r="E305" i="1"/>
  <c r="H305" i="1" s="1"/>
  <c r="E331" i="1"/>
  <c r="H331" i="1" s="1"/>
  <c r="E338" i="1"/>
  <c r="H338" i="1" s="1"/>
  <c r="E366" i="1"/>
  <c r="H366" i="1" s="1"/>
  <c r="E368" i="1"/>
  <c r="H368" i="1" s="1"/>
  <c r="E377" i="1"/>
  <c r="H377" i="1" s="1"/>
  <c r="E379" i="1"/>
  <c r="H379" i="1" s="1"/>
  <c r="E381" i="1"/>
  <c r="H381" i="1" s="1"/>
  <c r="E206" i="1"/>
  <c r="H206" i="1" s="1"/>
  <c r="F243" i="1"/>
  <c r="I243" i="1" s="1"/>
  <c r="F310" i="1"/>
  <c r="I310" i="1" s="1"/>
  <c r="F245" i="1"/>
  <c r="I245" i="1" s="1"/>
  <c r="E311" i="1"/>
  <c r="H311" i="1" s="1"/>
  <c r="E321" i="1"/>
  <c r="H321" i="1" s="1"/>
  <c r="F120" i="1"/>
  <c r="I120" i="1" s="1"/>
  <c r="F322" i="1"/>
  <c r="I322" i="1" s="1"/>
  <c r="F61" i="1"/>
  <c r="I61" i="1" s="1"/>
  <c r="F68" i="1"/>
  <c r="I68" i="1" s="1"/>
  <c r="F73" i="1"/>
  <c r="I73" i="1" s="1"/>
  <c r="J73" i="1" s="1"/>
  <c r="F96" i="1"/>
  <c r="I96" i="1" s="1"/>
  <c r="F127" i="1"/>
  <c r="I127" i="1" s="1"/>
  <c r="F138" i="1"/>
  <c r="I138" i="1" s="1"/>
  <c r="F193" i="1"/>
  <c r="I193" i="1" s="1"/>
  <c r="F196" i="1"/>
  <c r="I196" i="1" s="1"/>
  <c r="F205" i="1"/>
  <c r="I205" i="1" s="1"/>
  <c r="F216" i="1"/>
  <c r="I216" i="1" s="1"/>
  <c r="F218" i="1"/>
  <c r="I218" i="1" s="1"/>
  <c r="F223" i="1"/>
  <c r="I223" i="1" s="1"/>
  <c r="F225" i="1"/>
  <c r="I225" i="1" s="1"/>
  <c r="F227" i="1"/>
  <c r="I227" i="1" s="1"/>
  <c r="F232" i="1"/>
  <c r="I232" i="1" s="1"/>
  <c r="F237" i="1"/>
  <c r="I237" i="1" s="1"/>
  <c r="F239" i="1"/>
  <c r="I239" i="1" s="1"/>
  <c r="F252" i="1"/>
  <c r="I252" i="1" s="1"/>
  <c r="F254" i="1"/>
  <c r="I254" i="1" s="1"/>
  <c r="F256" i="1"/>
  <c r="I256" i="1" s="1"/>
  <c r="F258" i="1"/>
  <c r="I258" i="1" s="1"/>
  <c r="F260" i="1"/>
  <c r="I260" i="1" s="1"/>
  <c r="F262" i="1"/>
  <c r="I262" i="1" s="1"/>
  <c r="F264" i="1"/>
  <c r="I264" i="1" s="1"/>
  <c r="F266" i="1"/>
  <c r="I266" i="1" s="1"/>
  <c r="F268" i="1"/>
  <c r="I268" i="1" s="1"/>
  <c r="F282" i="1"/>
  <c r="I282" i="1" s="1"/>
  <c r="F283" i="1"/>
  <c r="I283" i="1" s="1"/>
  <c r="F287" i="1"/>
  <c r="I287" i="1" s="1"/>
  <c r="F292" i="1"/>
  <c r="I292" i="1" s="1"/>
  <c r="F304" i="1"/>
  <c r="I304" i="1" s="1"/>
  <c r="F305" i="1"/>
  <c r="I305" i="1" s="1"/>
  <c r="F331" i="1"/>
  <c r="I331" i="1" s="1"/>
  <c r="F338" i="1"/>
  <c r="I338" i="1" s="1"/>
  <c r="F347" i="1"/>
  <c r="I347" i="1" s="1"/>
  <c r="F366" i="1"/>
  <c r="I366" i="1" s="1"/>
  <c r="F368" i="1"/>
  <c r="I368" i="1" s="1"/>
  <c r="F377" i="1"/>
  <c r="I377" i="1" s="1"/>
  <c r="F379" i="1"/>
  <c r="I379" i="1" s="1"/>
  <c r="F384" i="1"/>
  <c r="I384" i="1" s="1"/>
  <c r="F386" i="1"/>
  <c r="I386" i="1" s="1"/>
  <c r="E99" i="1"/>
  <c r="H99" i="1" s="1"/>
  <c r="E137" i="1"/>
  <c r="H137" i="1" s="1"/>
  <c r="E151" i="1"/>
  <c r="H151" i="1" s="1"/>
  <c r="E228" i="1"/>
  <c r="H228" i="1" s="1"/>
  <c r="E240" i="1"/>
  <c r="H240" i="1" s="1"/>
  <c r="E246" i="1"/>
  <c r="H246" i="1" s="1"/>
  <c r="E334" i="1"/>
  <c r="H334" i="1" s="1"/>
  <c r="E342" i="1"/>
  <c r="H342" i="1" s="1"/>
  <c r="E361" i="1"/>
  <c r="H361" i="1" s="1"/>
  <c r="E194" i="1"/>
  <c r="H194" i="1" s="1"/>
  <c r="F360" i="1"/>
  <c r="I360" i="1" s="1"/>
  <c r="F306" i="1"/>
  <c r="I306" i="1" s="1"/>
  <c r="E363" i="1"/>
  <c r="H363" i="1" s="1"/>
  <c r="E229" i="1"/>
  <c r="H229" i="1" s="1"/>
  <c r="E365" i="1"/>
  <c r="H365" i="1" s="1"/>
  <c r="F168" i="1"/>
  <c r="I168" i="1" s="1"/>
  <c r="F144" i="1"/>
  <c r="I144" i="1" s="1"/>
  <c r="F129" i="1"/>
  <c r="I129" i="1" s="1"/>
  <c r="F139" i="1"/>
  <c r="I139" i="1" s="1"/>
  <c r="F170" i="1"/>
  <c r="I170" i="1" s="1"/>
  <c r="F244" i="1"/>
  <c r="I244" i="1" s="1"/>
  <c r="F147" i="1"/>
  <c r="I147" i="1" s="1"/>
  <c r="F288" i="1"/>
  <c r="I288" i="1" s="1"/>
  <c r="F381" i="1"/>
  <c r="I381" i="1" s="1"/>
  <c r="F206" i="1"/>
  <c r="I206" i="1" s="1"/>
  <c r="F143" i="1"/>
  <c r="I143" i="1" s="1"/>
  <c r="J143" i="1" s="1"/>
  <c r="E360" i="1"/>
  <c r="H360" i="1" s="1"/>
  <c r="J360" i="1" s="1"/>
  <c r="E168" i="1"/>
  <c r="H168" i="1" s="1"/>
  <c r="E88" i="1"/>
  <c r="H88" i="1" s="1"/>
  <c r="E90" i="1"/>
  <c r="H90" i="1" s="1"/>
  <c r="E92" i="1"/>
  <c r="H92" i="1" s="1"/>
  <c r="E306" i="1"/>
  <c r="H306" i="1" s="1"/>
  <c r="J306" i="1" s="1"/>
  <c r="E136" i="1"/>
  <c r="H136" i="1" s="1"/>
  <c r="E144" i="1"/>
  <c r="H144" i="1" s="1"/>
  <c r="E157" i="1"/>
  <c r="H157" i="1" s="1"/>
  <c r="E173" i="1"/>
  <c r="H173" i="1" s="1"/>
  <c r="E378" i="1"/>
  <c r="H378" i="1" s="1"/>
  <c r="E385" i="1"/>
  <c r="H385" i="1" s="1"/>
  <c r="F99" i="1"/>
  <c r="I99" i="1" s="1"/>
  <c r="F137" i="1"/>
  <c r="I137" i="1" s="1"/>
  <c r="F151" i="1"/>
  <c r="I151" i="1" s="1"/>
  <c r="F63" i="1"/>
  <c r="I63" i="1" s="1"/>
  <c r="F74" i="1"/>
  <c r="I74" i="1" s="1"/>
  <c r="F88" i="1"/>
  <c r="I88" i="1" s="1"/>
  <c r="F90" i="1"/>
  <c r="I90" i="1" s="1"/>
  <c r="F92" i="1"/>
  <c r="I92" i="1" s="1"/>
  <c r="F105" i="1"/>
  <c r="I105" i="1" s="1"/>
  <c r="F125" i="1"/>
  <c r="I125" i="1" s="1"/>
  <c r="F136" i="1"/>
  <c r="I136" i="1" s="1"/>
  <c r="F157" i="1"/>
  <c r="I157" i="1" s="1"/>
  <c r="F173" i="1"/>
  <c r="I173" i="1" s="1"/>
  <c r="F219" i="1"/>
  <c r="I219" i="1" s="1"/>
  <c r="F272" i="1"/>
  <c r="I272" i="1" s="1"/>
  <c r="F274" i="1"/>
  <c r="I274" i="1" s="1"/>
  <c r="F281" i="1"/>
  <c r="I281" i="1" s="1"/>
  <c r="F308" i="1"/>
  <c r="I308" i="1" s="1"/>
  <c r="F327" i="1"/>
  <c r="I327" i="1" s="1"/>
  <c r="F350" i="1"/>
  <c r="I350" i="1" s="1"/>
  <c r="F352" i="1"/>
  <c r="I352" i="1" s="1"/>
  <c r="F374" i="1"/>
  <c r="I374" i="1" s="1"/>
  <c r="F378" i="1"/>
  <c r="I378" i="1" s="1"/>
  <c r="F313" i="1"/>
  <c r="I313" i="1" s="1"/>
  <c r="F389" i="1"/>
  <c r="I389" i="1" s="1"/>
  <c r="E68" i="1"/>
  <c r="H68" i="1" s="1"/>
  <c r="E87" i="1"/>
  <c r="H87" i="1" s="1"/>
  <c r="E82" i="1"/>
  <c r="H82" i="1" s="1"/>
  <c r="E89" i="1"/>
  <c r="H89" i="1" s="1"/>
  <c r="E91" i="1"/>
  <c r="H91" i="1" s="1"/>
  <c r="E111" i="1"/>
  <c r="H111" i="1" s="1"/>
  <c r="E113" i="1"/>
  <c r="H113" i="1" s="1"/>
  <c r="E115" i="1"/>
  <c r="H115" i="1" s="1"/>
  <c r="E119" i="1"/>
  <c r="H119" i="1" s="1"/>
  <c r="E155" i="1"/>
  <c r="H155" i="1" s="1"/>
  <c r="E384" i="1"/>
  <c r="H384" i="1" s="1"/>
  <c r="E386" i="1"/>
  <c r="H386" i="1" s="1"/>
  <c r="F55" i="1"/>
  <c r="I55" i="1" s="1"/>
  <c r="F87" i="1"/>
  <c r="I87" i="1" s="1"/>
  <c r="J87" i="1" s="1"/>
  <c r="F82" i="1"/>
  <c r="I82" i="1" s="1"/>
  <c r="F89" i="1"/>
  <c r="I89" i="1" s="1"/>
  <c r="F91" i="1"/>
  <c r="I91" i="1" s="1"/>
  <c r="F111" i="1"/>
  <c r="I111" i="1" s="1"/>
  <c r="F113" i="1"/>
  <c r="I113" i="1" s="1"/>
  <c r="F115" i="1"/>
  <c r="I115" i="1" s="1"/>
  <c r="F119" i="1"/>
  <c r="I119" i="1" s="1"/>
  <c r="F146" i="1"/>
  <c r="I146" i="1" s="1"/>
  <c r="F155" i="1"/>
  <c r="I155" i="1" s="1"/>
  <c r="F161" i="1"/>
  <c r="I161" i="1" s="1"/>
  <c r="F171" i="1"/>
  <c r="I171" i="1" s="1"/>
  <c r="F175" i="1"/>
  <c r="I175" i="1" s="1"/>
  <c r="F178" i="1"/>
  <c r="I178" i="1" s="1"/>
  <c r="F184" i="1"/>
  <c r="I184" i="1" s="1"/>
  <c r="F185" i="1"/>
  <c r="I185" i="1" s="1"/>
  <c r="F189" i="1"/>
  <c r="I189" i="1" s="1"/>
  <c r="E274" i="1"/>
  <c r="H274" i="1" s="1"/>
  <c r="J274" i="1" s="1"/>
  <c r="E281" i="1"/>
  <c r="H281" i="1" s="1"/>
  <c r="J281" i="1" s="1"/>
  <c r="E337" i="1"/>
  <c r="H337" i="1" s="1"/>
  <c r="E339" i="1"/>
  <c r="H339" i="1" s="1"/>
  <c r="E350" i="1"/>
  <c r="H350" i="1" s="1"/>
  <c r="J350" i="1" s="1"/>
  <c r="E374" i="1"/>
  <c r="H374" i="1" s="1"/>
  <c r="F228" i="1"/>
  <c r="I228" i="1" s="1"/>
  <c r="F240" i="1"/>
  <c r="I240" i="1" s="1"/>
  <c r="F246" i="1"/>
  <c r="I246" i="1" s="1"/>
  <c r="F334" i="1"/>
  <c r="I334" i="1" s="1"/>
  <c r="F342" i="1"/>
  <c r="I342" i="1" s="1"/>
  <c r="F361" i="1"/>
  <c r="I361" i="1" s="1"/>
  <c r="F337" i="1"/>
  <c r="I337" i="1" s="1"/>
  <c r="F339" i="1"/>
  <c r="I339" i="1" s="1"/>
  <c r="F385" i="1"/>
  <c r="I385" i="1" s="1"/>
  <c r="E55" i="1"/>
  <c r="H55" i="1" s="1"/>
  <c r="E142" i="1"/>
  <c r="H142" i="1" s="1"/>
  <c r="E243" i="1"/>
  <c r="H243" i="1" s="1"/>
  <c r="E310" i="1"/>
  <c r="H310" i="1" s="1"/>
  <c r="E84" i="1"/>
  <c r="H84" i="1" s="1"/>
  <c r="E117" i="1"/>
  <c r="H117" i="1" s="1"/>
  <c r="E166" i="1"/>
  <c r="H166" i="1" s="1"/>
  <c r="E199" i="1"/>
  <c r="H199" i="1" s="1"/>
  <c r="E277" i="1"/>
  <c r="H277" i="1" s="1"/>
  <c r="E317" i="1"/>
  <c r="H317" i="1" s="1"/>
  <c r="E343" i="1"/>
  <c r="H343" i="1" s="1"/>
  <c r="E183" i="1"/>
  <c r="H183" i="1" s="1"/>
  <c r="F62" i="1"/>
  <c r="I62" i="1" s="1"/>
  <c r="F67" i="1"/>
  <c r="I67" i="1" s="1"/>
  <c r="F78" i="1"/>
  <c r="I78" i="1" s="1"/>
  <c r="F102" i="1"/>
  <c r="I102" i="1" s="1"/>
  <c r="F108" i="1"/>
  <c r="I108" i="1" s="1"/>
  <c r="F128" i="1"/>
  <c r="I128" i="1" s="1"/>
  <c r="F132" i="1"/>
  <c r="I132" i="1" s="1"/>
  <c r="F140" i="1"/>
  <c r="I140" i="1" s="1"/>
  <c r="F142" i="1"/>
  <c r="I142" i="1" s="1"/>
  <c r="F150" i="1"/>
  <c r="I150" i="1" s="1"/>
  <c r="F154" i="1"/>
  <c r="I154" i="1" s="1"/>
  <c r="F172" i="1"/>
  <c r="I172" i="1" s="1"/>
  <c r="F208" i="1"/>
  <c r="I208" i="1" s="1"/>
  <c r="F222" i="1"/>
  <c r="I222" i="1" s="1"/>
  <c r="F231" i="1"/>
  <c r="I231" i="1" s="1"/>
  <c r="F247" i="1"/>
  <c r="I247" i="1" s="1"/>
  <c r="F249" i="1"/>
  <c r="I249" i="1" s="1"/>
  <c r="F275" i="1"/>
  <c r="I275" i="1" s="1"/>
  <c r="F291" i="1"/>
  <c r="I291" i="1" s="1"/>
  <c r="F315" i="1"/>
  <c r="I315" i="1" s="1"/>
  <c r="F323" i="1"/>
  <c r="I323" i="1" s="1"/>
  <c r="F326" i="1"/>
  <c r="I326" i="1" s="1"/>
  <c r="F333" i="1"/>
  <c r="I333" i="1" s="1"/>
  <c r="F340" i="1"/>
  <c r="I340" i="1" s="1"/>
  <c r="F348" i="1"/>
  <c r="I348" i="1" s="1"/>
  <c r="F358" i="1"/>
  <c r="I358" i="1" s="1"/>
  <c r="F367" i="1"/>
  <c r="I367" i="1" s="1"/>
  <c r="F387" i="1"/>
  <c r="I387" i="1" s="1"/>
  <c r="F84" i="1"/>
  <c r="I84" i="1" s="1"/>
  <c r="F117" i="1"/>
  <c r="I117" i="1" s="1"/>
  <c r="F166" i="1"/>
  <c r="I166" i="1" s="1"/>
  <c r="F199" i="1"/>
  <c r="I199" i="1" s="1"/>
  <c r="F277" i="1"/>
  <c r="I277" i="1" s="1"/>
  <c r="F317" i="1"/>
  <c r="I317" i="1" s="1"/>
  <c r="J317" i="1" s="1"/>
  <c r="F343" i="1"/>
  <c r="I343" i="1" s="1"/>
  <c r="F183" i="1"/>
  <c r="I183" i="1" s="1"/>
  <c r="E57" i="1"/>
  <c r="H57" i="1" s="1"/>
  <c r="E59" i="1"/>
  <c r="H59" i="1" s="1"/>
  <c r="E65" i="1"/>
  <c r="H65" i="1" s="1"/>
  <c r="E77" i="1"/>
  <c r="H77" i="1" s="1"/>
  <c r="E106" i="1"/>
  <c r="H106" i="1" s="1"/>
  <c r="E123" i="1"/>
  <c r="H123" i="1" s="1"/>
  <c r="E130" i="1"/>
  <c r="H130" i="1" s="1"/>
  <c r="E141" i="1"/>
  <c r="H141" i="1" s="1"/>
  <c r="E145" i="1"/>
  <c r="H145" i="1" s="1"/>
  <c r="E165" i="1"/>
  <c r="H165" i="1" s="1"/>
  <c r="E188" i="1"/>
  <c r="H188" i="1" s="1"/>
  <c r="E213" i="1"/>
  <c r="H213" i="1" s="1"/>
  <c r="E248" i="1"/>
  <c r="H248" i="1" s="1"/>
  <c r="E265" i="1"/>
  <c r="H265" i="1" s="1"/>
  <c r="E289" i="1"/>
  <c r="H289" i="1" s="1"/>
  <c r="E295" i="1"/>
  <c r="H295" i="1" s="1"/>
  <c r="E312" i="1"/>
  <c r="H312" i="1" s="1"/>
  <c r="E318" i="1"/>
  <c r="H318" i="1" s="1"/>
  <c r="E325" i="1"/>
  <c r="H325" i="1" s="1"/>
  <c r="E353" i="1"/>
  <c r="H353" i="1" s="1"/>
  <c r="E371" i="1"/>
  <c r="H371" i="1" s="1"/>
  <c r="E388" i="1"/>
  <c r="H388" i="1" s="1"/>
  <c r="E53" i="1"/>
  <c r="H53" i="1" s="1"/>
  <c r="E72" i="1"/>
  <c r="H72" i="1" s="1"/>
  <c r="E83" i="1"/>
  <c r="H83" i="1" s="1"/>
  <c r="E100" i="1"/>
  <c r="H100" i="1" s="1"/>
  <c r="E112" i="1"/>
  <c r="H112" i="1" s="1"/>
  <c r="E114" i="1"/>
  <c r="H114" i="1" s="1"/>
  <c r="E116" i="1"/>
  <c r="H116" i="1" s="1"/>
  <c r="E118" i="1"/>
  <c r="H118" i="1" s="1"/>
  <c r="E152" i="1"/>
  <c r="H152" i="1" s="1"/>
  <c r="E167" i="1"/>
  <c r="H167" i="1" s="1"/>
  <c r="E177" i="1"/>
  <c r="H177" i="1" s="1"/>
  <c r="E182" i="1"/>
  <c r="H182" i="1" s="1"/>
  <c r="E187" i="1"/>
  <c r="H187" i="1" s="1"/>
  <c r="E191" i="1"/>
  <c r="H191" i="1" s="1"/>
  <c r="E195" i="1"/>
  <c r="H195" i="1" s="1"/>
  <c r="E202" i="1"/>
  <c r="H202" i="1" s="1"/>
  <c r="E203" i="1"/>
  <c r="H203" i="1" s="1"/>
  <c r="E207" i="1"/>
  <c r="H207" i="1" s="1"/>
  <c r="E217" i="1"/>
  <c r="H217" i="1" s="1"/>
  <c r="E224" i="1"/>
  <c r="H224" i="1" s="1"/>
  <c r="E226" i="1"/>
  <c r="H226" i="1" s="1"/>
  <c r="E233" i="1"/>
  <c r="H233" i="1" s="1"/>
  <c r="E238" i="1"/>
  <c r="H238" i="1" s="1"/>
  <c r="E242" i="1"/>
  <c r="H242" i="1" s="1"/>
  <c r="E250" i="1"/>
  <c r="H250" i="1" s="1"/>
  <c r="E255" i="1"/>
  <c r="H255" i="1" s="1"/>
  <c r="E257" i="1"/>
  <c r="H257" i="1" s="1"/>
  <c r="E259" i="1"/>
  <c r="H259" i="1" s="1"/>
  <c r="E261" i="1"/>
  <c r="H261" i="1" s="1"/>
  <c r="E263" i="1"/>
  <c r="H263" i="1" s="1"/>
  <c r="E270" i="1"/>
  <c r="H270" i="1" s="1"/>
  <c r="E285" i="1"/>
  <c r="H285" i="1" s="1"/>
  <c r="E296" i="1"/>
  <c r="H296" i="1" s="1"/>
  <c r="E303" i="1"/>
  <c r="H303" i="1" s="1"/>
  <c r="E309" i="1"/>
  <c r="H309" i="1" s="1"/>
  <c r="E330" i="1"/>
  <c r="H330" i="1" s="1"/>
  <c r="E354" i="1"/>
  <c r="H354" i="1" s="1"/>
  <c r="E376" i="1"/>
  <c r="H376" i="1" s="1"/>
  <c r="E79" i="1"/>
  <c r="H79" i="1" s="1"/>
  <c r="E162" i="1"/>
  <c r="H162" i="1" s="1"/>
  <c r="E176" i="1"/>
  <c r="H176" i="1" s="1"/>
  <c r="E297" i="1"/>
  <c r="H297" i="1" s="1"/>
  <c r="F57" i="1"/>
  <c r="I57" i="1" s="1"/>
  <c r="F59" i="1"/>
  <c r="I59" i="1" s="1"/>
  <c r="F65" i="1"/>
  <c r="I65" i="1" s="1"/>
  <c r="J65" i="1" s="1"/>
  <c r="F77" i="1"/>
  <c r="I77" i="1" s="1"/>
  <c r="F106" i="1"/>
  <c r="I106" i="1" s="1"/>
  <c r="F123" i="1"/>
  <c r="I123" i="1" s="1"/>
  <c r="F130" i="1"/>
  <c r="I130" i="1" s="1"/>
  <c r="F141" i="1"/>
  <c r="I141" i="1" s="1"/>
  <c r="F145" i="1"/>
  <c r="I145" i="1" s="1"/>
  <c r="F165" i="1"/>
  <c r="I165" i="1" s="1"/>
  <c r="F188" i="1"/>
  <c r="I188" i="1" s="1"/>
  <c r="F213" i="1"/>
  <c r="I213" i="1" s="1"/>
  <c r="J213" i="1" s="1"/>
  <c r="F248" i="1"/>
  <c r="I248" i="1" s="1"/>
  <c r="F265" i="1"/>
  <c r="I265" i="1" s="1"/>
  <c r="F289" i="1"/>
  <c r="I289" i="1" s="1"/>
  <c r="F295" i="1"/>
  <c r="I295" i="1" s="1"/>
  <c r="F312" i="1"/>
  <c r="I312" i="1" s="1"/>
  <c r="F318" i="1"/>
  <c r="I318" i="1" s="1"/>
  <c r="F325" i="1"/>
  <c r="I325" i="1" s="1"/>
  <c r="J325" i="1" s="1"/>
  <c r="F353" i="1"/>
  <c r="I353" i="1" s="1"/>
  <c r="F371" i="1"/>
  <c r="I371" i="1" s="1"/>
  <c r="F388" i="1"/>
  <c r="I388" i="1" s="1"/>
  <c r="F53" i="1"/>
  <c r="I53" i="1" s="1"/>
  <c r="F72" i="1"/>
  <c r="I72" i="1" s="1"/>
  <c r="F83" i="1"/>
  <c r="I83" i="1" s="1"/>
  <c r="F100" i="1"/>
  <c r="I100" i="1" s="1"/>
  <c r="F112" i="1"/>
  <c r="I112" i="1" s="1"/>
  <c r="F114" i="1"/>
  <c r="I114" i="1" s="1"/>
  <c r="J114" i="1" s="1"/>
  <c r="F116" i="1"/>
  <c r="I116" i="1" s="1"/>
  <c r="F118" i="1"/>
  <c r="I118" i="1" s="1"/>
  <c r="F152" i="1"/>
  <c r="I152" i="1" s="1"/>
  <c r="F167" i="1"/>
  <c r="I167" i="1" s="1"/>
  <c r="J167" i="1" s="1"/>
  <c r="F177" i="1"/>
  <c r="I177" i="1" s="1"/>
  <c r="F182" i="1"/>
  <c r="I182" i="1" s="1"/>
  <c r="F187" i="1"/>
  <c r="I187" i="1" s="1"/>
  <c r="F191" i="1"/>
  <c r="I191" i="1" s="1"/>
  <c r="F195" i="1"/>
  <c r="I195" i="1" s="1"/>
  <c r="F202" i="1"/>
  <c r="I202" i="1" s="1"/>
  <c r="F203" i="1"/>
  <c r="I203" i="1" s="1"/>
  <c r="F207" i="1"/>
  <c r="I207" i="1" s="1"/>
  <c r="F217" i="1"/>
  <c r="I217" i="1" s="1"/>
  <c r="F224" i="1"/>
  <c r="I224" i="1" s="1"/>
  <c r="F226" i="1"/>
  <c r="I226" i="1" s="1"/>
  <c r="F233" i="1"/>
  <c r="I233" i="1" s="1"/>
  <c r="F238" i="1"/>
  <c r="I238" i="1" s="1"/>
  <c r="J238" i="1" s="1"/>
  <c r="F242" i="1"/>
  <c r="I242" i="1" s="1"/>
  <c r="F250" i="1"/>
  <c r="I250" i="1" s="1"/>
  <c r="F255" i="1"/>
  <c r="I255" i="1" s="1"/>
  <c r="F257" i="1"/>
  <c r="I257" i="1" s="1"/>
  <c r="F259" i="1"/>
  <c r="I259" i="1" s="1"/>
  <c r="F261" i="1"/>
  <c r="I261" i="1" s="1"/>
  <c r="F263" i="1"/>
  <c r="I263" i="1" s="1"/>
  <c r="F270" i="1"/>
  <c r="I270" i="1" s="1"/>
  <c r="F285" i="1"/>
  <c r="I285" i="1" s="1"/>
  <c r="F296" i="1"/>
  <c r="I296" i="1" s="1"/>
  <c r="F303" i="1"/>
  <c r="I303" i="1" s="1"/>
  <c r="F309" i="1"/>
  <c r="I309" i="1" s="1"/>
  <c r="F330" i="1"/>
  <c r="I330" i="1" s="1"/>
  <c r="J330" i="1" s="1"/>
  <c r="F354" i="1"/>
  <c r="I354" i="1" s="1"/>
  <c r="F376" i="1"/>
  <c r="I376" i="1" s="1"/>
  <c r="F79" i="1"/>
  <c r="I79" i="1" s="1"/>
  <c r="F162" i="1"/>
  <c r="I162" i="1" s="1"/>
  <c r="J162" i="1" s="1"/>
  <c r="F176" i="1"/>
  <c r="I176" i="1" s="1"/>
  <c r="F297" i="1"/>
  <c r="I297" i="1" s="1"/>
  <c r="E62" i="1"/>
  <c r="H62" i="1" s="1"/>
  <c r="E67" i="1"/>
  <c r="H67" i="1" s="1"/>
  <c r="J67" i="1" s="1"/>
  <c r="E78" i="1"/>
  <c r="H78" i="1" s="1"/>
  <c r="J78" i="1" s="1"/>
  <c r="E102" i="1"/>
  <c r="H102" i="1" s="1"/>
  <c r="J102" i="1" s="1"/>
  <c r="E108" i="1"/>
  <c r="H108" i="1" s="1"/>
  <c r="J108" i="1" s="1"/>
  <c r="E128" i="1"/>
  <c r="H128" i="1" s="1"/>
  <c r="J128" i="1" s="1"/>
  <c r="E132" i="1"/>
  <c r="H132" i="1" s="1"/>
  <c r="J132" i="1" s="1"/>
  <c r="E140" i="1"/>
  <c r="H140" i="1" s="1"/>
  <c r="J140" i="1" s="1"/>
  <c r="E150" i="1"/>
  <c r="H150" i="1" s="1"/>
  <c r="E154" i="1"/>
  <c r="H154" i="1" s="1"/>
  <c r="E172" i="1"/>
  <c r="H172" i="1" s="1"/>
  <c r="E208" i="1"/>
  <c r="H208" i="1" s="1"/>
  <c r="E222" i="1"/>
  <c r="H222" i="1" s="1"/>
  <c r="E231" i="1"/>
  <c r="H231" i="1" s="1"/>
  <c r="E247" i="1"/>
  <c r="H247" i="1" s="1"/>
  <c r="E249" i="1"/>
  <c r="H249" i="1" s="1"/>
  <c r="E275" i="1"/>
  <c r="H275" i="1" s="1"/>
  <c r="E291" i="1"/>
  <c r="H291" i="1" s="1"/>
  <c r="E315" i="1"/>
  <c r="H315" i="1" s="1"/>
  <c r="E323" i="1"/>
  <c r="H323" i="1" s="1"/>
  <c r="E326" i="1"/>
  <c r="H326" i="1" s="1"/>
  <c r="E333" i="1"/>
  <c r="H333" i="1" s="1"/>
  <c r="E340" i="1"/>
  <c r="H340" i="1" s="1"/>
  <c r="E348" i="1"/>
  <c r="H348" i="1" s="1"/>
  <c r="E358" i="1"/>
  <c r="H358" i="1" s="1"/>
  <c r="E367" i="1"/>
  <c r="H367" i="1" s="1"/>
  <c r="E387" i="1"/>
  <c r="H387" i="1" s="1"/>
  <c r="M811" i="2"/>
  <c r="H380" i="6"/>
  <c r="H34" i="6" s="1"/>
  <c r="C36" i="35" s="1"/>
  <c r="I705" i="6"/>
  <c r="H712" i="6"/>
  <c r="I243" i="6"/>
  <c r="I15" i="6" s="1"/>
  <c r="D18" i="35" s="1"/>
  <c r="I400" i="6"/>
  <c r="I453" i="6"/>
  <c r="I42" i="6" s="1"/>
  <c r="D44" i="35" s="1"/>
  <c r="H235" i="6"/>
  <c r="H12" i="6" s="1"/>
  <c r="C15" i="35" s="1"/>
  <c r="H419" i="6"/>
  <c r="S498" i="6"/>
  <c r="H517" i="6" s="1"/>
  <c r="I388" i="6"/>
  <c r="I35" i="6" s="1"/>
  <c r="D37" i="35" s="1"/>
  <c r="T469" i="6"/>
  <c r="I554" i="6"/>
  <c r="H22" i="21" s="1"/>
  <c r="I235" i="6"/>
  <c r="I12" i="6" s="1"/>
  <c r="D15" i="35" s="1"/>
  <c r="N10" i="6"/>
  <c r="H228" i="6"/>
  <c r="H11" i="6" s="1"/>
  <c r="C14" i="35" s="1"/>
  <c r="C16" i="35" s="1"/>
  <c r="H278" i="6"/>
  <c r="H18" i="6" s="1"/>
  <c r="C21" i="35" s="1"/>
  <c r="I456" i="6"/>
  <c r="I43" i="6" s="1"/>
  <c r="D45" i="35" s="1"/>
  <c r="I472" i="6"/>
  <c r="H7" i="21" s="1"/>
  <c r="I519" i="6"/>
  <c r="H18" i="21" s="1"/>
  <c r="I182" i="6"/>
  <c r="H664" i="6"/>
  <c r="H666" i="6" s="1"/>
  <c r="H410" i="6"/>
  <c r="H40" i="6" s="1"/>
  <c r="C42" i="35" s="1"/>
  <c r="I228" i="6"/>
  <c r="I11" i="6" s="1"/>
  <c r="D14" i="35" s="1"/>
  <c r="I278" i="6"/>
  <c r="I18" i="6" s="1"/>
  <c r="D21" i="35" s="1"/>
  <c r="I297" i="6"/>
  <c r="I22" i="6" s="1"/>
  <c r="D25" i="35" s="1"/>
  <c r="I664" i="6"/>
  <c r="I410" i="6"/>
  <c r="I40" i="6" s="1"/>
  <c r="D42" i="35" s="1"/>
  <c r="I419" i="6"/>
  <c r="H482" i="6"/>
  <c r="H79" i="6" s="1"/>
  <c r="H497" i="6"/>
  <c r="H85" i="6" s="1"/>
  <c r="U498" i="6"/>
  <c r="H510" i="6" s="1"/>
  <c r="F61" i="23" s="1"/>
  <c r="H501" i="6"/>
  <c r="H282" i="6"/>
  <c r="H19" i="6" s="1"/>
  <c r="H294" i="6"/>
  <c r="H21" i="6" s="1"/>
  <c r="C24" i="35" s="1"/>
  <c r="I663" i="6"/>
  <c r="I380" i="6"/>
  <c r="I34" i="6" s="1"/>
  <c r="D36" i="35" s="1"/>
  <c r="I44" i="6"/>
  <c r="P469" i="6"/>
  <c r="I482" i="6"/>
  <c r="I501" i="6"/>
  <c r="H626" i="6"/>
  <c r="H628" i="6" s="1"/>
  <c r="I282" i="6"/>
  <c r="I19" i="6" s="1"/>
  <c r="D22" i="35" s="1"/>
  <c r="I294" i="6"/>
  <c r="I21" i="6" s="1"/>
  <c r="D24" i="35" s="1"/>
  <c r="H388" i="6"/>
  <c r="H35" i="6" s="1"/>
  <c r="C37" i="35" s="1"/>
  <c r="H456" i="6"/>
  <c r="H43" i="6" s="1"/>
  <c r="C45" i="35" s="1"/>
  <c r="R469" i="6"/>
  <c r="I615" i="6" s="1"/>
  <c r="H472" i="6"/>
  <c r="N470" i="6"/>
  <c r="P498" i="6"/>
  <c r="H511" i="6" s="1"/>
  <c r="F62" i="23" s="1"/>
  <c r="I626" i="6"/>
  <c r="H554" i="6"/>
  <c r="E22" i="21" s="1"/>
  <c r="Q88" i="6"/>
  <c r="Q89" i="6"/>
  <c r="I486" i="6"/>
  <c r="I488" i="6" s="1"/>
  <c r="I82" i="6" s="1"/>
  <c r="R480" i="6"/>
  <c r="H486" i="6"/>
  <c r="H400" i="6"/>
  <c r="H453" i="6"/>
  <c r="H42" i="6" s="1"/>
  <c r="C44" i="35" s="1"/>
  <c r="I563" i="6"/>
  <c r="I568" i="6" s="1"/>
  <c r="I103" i="6" s="1"/>
  <c r="F35" i="34" s="1"/>
  <c r="I29" i="6"/>
  <c r="D31" i="35" s="1"/>
  <c r="I607" i="6"/>
  <c r="I680" i="6"/>
  <c r="H696" i="6"/>
  <c r="H701" i="6" s="1"/>
  <c r="J32" i="1"/>
  <c r="J29" i="1"/>
  <c r="J35" i="1"/>
  <c r="J14" i="1"/>
  <c r="J26" i="1"/>
  <c r="J27" i="1"/>
  <c r="J46" i="1"/>
  <c r="J22" i="1"/>
  <c r="J13" i="1"/>
  <c r="H12" i="1"/>
  <c r="J52" i="1"/>
  <c r="I12" i="1"/>
  <c r="J294" i="1"/>
  <c r="J17" i="1"/>
  <c r="J15" i="1"/>
  <c r="J33" i="1"/>
  <c r="J41" i="1"/>
  <c r="J43" i="1"/>
  <c r="J153" i="1"/>
  <c r="G809" i="2"/>
  <c r="H809" i="2"/>
  <c r="E809" i="2"/>
  <c r="J809" i="2"/>
  <c r="J495" i="6"/>
  <c r="F51" i="23" l="1"/>
  <c r="F60" i="23" s="1"/>
  <c r="H614" i="6"/>
  <c r="J125" i="1"/>
  <c r="J127" i="1"/>
  <c r="J359" i="1"/>
  <c r="I401" i="6"/>
  <c r="I36" i="6" s="1"/>
  <c r="J148" i="1"/>
  <c r="H401" i="6"/>
  <c r="H36" i="6" s="1"/>
  <c r="J63" i="1"/>
  <c r="J373" i="1"/>
  <c r="I41" i="6"/>
  <c r="H6" i="30" s="1"/>
  <c r="D433" i="6"/>
  <c r="H433" i="6" s="1"/>
  <c r="H41" i="6"/>
  <c r="D426" i="6"/>
  <c r="H426" i="6" s="1"/>
  <c r="H12" i="30"/>
  <c r="D46" i="35"/>
  <c r="D16" i="35"/>
  <c r="E16" i="21"/>
  <c r="E16" i="34"/>
  <c r="B16" i="34" s="1"/>
  <c r="H636" i="6"/>
  <c r="C22" i="35"/>
  <c r="E8" i="21"/>
  <c r="E9" i="21" s="1"/>
  <c r="D9" i="21" s="1"/>
  <c r="D10" i="21" s="1"/>
  <c r="E10" i="21" s="1"/>
  <c r="L9" i="21" s="1"/>
  <c r="E11" i="34"/>
  <c r="B11" i="34" s="1"/>
  <c r="E31" i="30"/>
  <c r="J31" i="30" s="1"/>
  <c r="F13" i="38" s="1"/>
  <c r="F14" i="34"/>
  <c r="J201" i="1"/>
  <c r="J105" i="1"/>
  <c r="J38" i="1"/>
  <c r="B49" i="22"/>
  <c r="D43" i="36" s="1"/>
  <c r="J230" i="1"/>
  <c r="B25" i="22"/>
  <c r="D23" i="36" s="1"/>
  <c r="B27" i="22"/>
  <c r="D25" i="36" s="1"/>
  <c r="B29" i="22"/>
  <c r="D27" i="36" s="1"/>
  <c r="B22" i="22"/>
  <c r="D20" i="36" s="1"/>
  <c r="J131" i="1"/>
  <c r="J66" i="1"/>
  <c r="J76" i="1"/>
  <c r="J290" i="1"/>
  <c r="J40" i="1"/>
  <c r="J47" i="1"/>
  <c r="J21" i="1"/>
  <c r="J344" i="1"/>
  <c r="J133" i="1"/>
  <c r="J28" i="1"/>
  <c r="J20" i="1"/>
  <c r="J30" i="1"/>
  <c r="J19" i="1"/>
  <c r="J370" i="1"/>
  <c r="J120" i="1"/>
  <c r="J37" i="1"/>
  <c r="J56" i="1"/>
  <c r="J36" i="1"/>
  <c r="J48" i="1"/>
  <c r="J25" i="1"/>
  <c r="J45" i="1"/>
  <c r="J109" i="1"/>
  <c r="J86" i="1"/>
  <c r="J23" i="1"/>
  <c r="J156" i="1"/>
  <c r="J80" i="1"/>
  <c r="H107" i="6"/>
  <c r="H184" i="6" s="1"/>
  <c r="B11" i="22"/>
  <c r="D11" i="36" s="1"/>
  <c r="I107" i="6"/>
  <c r="C11" i="22"/>
  <c r="E11" i="36" s="1"/>
  <c r="E6" i="30"/>
  <c r="I636" i="6"/>
  <c r="B23" i="22"/>
  <c r="D21" i="36" s="1"/>
  <c r="J21" i="6"/>
  <c r="N13" i="6"/>
  <c r="J12" i="6"/>
  <c r="J51" i="1"/>
  <c r="J98" i="1"/>
  <c r="J107" i="1"/>
  <c r="J60" i="1"/>
  <c r="J50" i="1"/>
  <c r="J383" i="1"/>
  <c r="J97" i="1"/>
  <c r="J146" i="1"/>
  <c r="J138" i="1"/>
  <c r="J314" i="1"/>
  <c r="J341" i="1"/>
  <c r="J349" i="1"/>
  <c r="J42" i="1"/>
  <c r="J34" i="1"/>
  <c r="J39" i="1"/>
  <c r="J175" i="1"/>
  <c r="J85" i="1"/>
  <c r="J338" i="1"/>
  <c r="J139" i="1"/>
  <c r="J310" i="1"/>
  <c r="J385" i="1"/>
  <c r="J137" i="1"/>
  <c r="J389" i="1"/>
  <c r="J99" i="1"/>
  <c r="J95" i="1"/>
  <c r="J16" i="1"/>
  <c r="J324" i="1"/>
  <c r="J70" i="1"/>
  <c r="J124" i="1"/>
  <c r="J151" i="1"/>
  <c r="J126" i="1"/>
  <c r="J49" i="1"/>
  <c r="J178" i="1"/>
  <c r="J381" i="1"/>
  <c r="J75" i="1"/>
  <c r="J372" i="1"/>
  <c r="J81" i="1"/>
  <c r="J223" i="1"/>
  <c r="J196" i="1"/>
  <c r="J210" i="1"/>
  <c r="J104" i="1"/>
  <c r="J64" i="1"/>
  <c r="J121" i="1"/>
  <c r="J147" i="1"/>
  <c r="J184" i="1"/>
  <c r="J352" i="1"/>
  <c r="J206" i="1"/>
  <c r="J262" i="1"/>
  <c r="J135" i="1"/>
  <c r="J168" i="1"/>
  <c r="J243" i="1"/>
  <c r="J185" i="1"/>
  <c r="J129" i="1"/>
  <c r="J245" i="1"/>
  <c r="J355" i="1"/>
  <c r="J300" i="1"/>
  <c r="J169" i="1"/>
  <c r="H642" i="6"/>
  <c r="G14" i="30"/>
  <c r="H635" i="6"/>
  <c r="D8" i="30"/>
  <c r="H20" i="6"/>
  <c r="C23" i="35" s="1"/>
  <c r="D12" i="30"/>
  <c r="I642" i="6"/>
  <c r="H14" i="30"/>
  <c r="I20" i="6"/>
  <c r="D23" i="35" s="1"/>
  <c r="E12" i="30"/>
  <c r="I635" i="6"/>
  <c r="E8" i="30"/>
  <c r="J159" i="1"/>
  <c r="J74" i="1"/>
  <c r="J298" i="1"/>
  <c r="J192" i="1"/>
  <c r="J164" i="1"/>
  <c r="J382" i="1"/>
  <c r="J61" i="1"/>
  <c r="J219" i="1"/>
  <c r="J229" i="1"/>
  <c r="J96" i="1"/>
  <c r="J180" i="1"/>
  <c r="J356" i="1"/>
  <c r="J346" i="1"/>
  <c r="J345" i="1"/>
  <c r="J170" i="1"/>
  <c r="J267" i="1"/>
  <c r="J214" i="1"/>
  <c r="J375" i="1"/>
  <c r="J58" i="1"/>
  <c r="J54" i="1"/>
  <c r="J332" i="1"/>
  <c r="J163" i="1"/>
  <c r="J241" i="1"/>
  <c r="J276" i="1"/>
  <c r="J134" i="1"/>
  <c r="J278" i="1"/>
  <c r="J320" i="1"/>
  <c r="N512" i="6"/>
  <c r="J511" i="6"/>
  <c r="E11" i="17"/>
  <c r="G11" i="17" s="1"/>
  <c r="J510" i="6"/>
  <c r="E15" i="17"/>
  <c r="G15" i="17" s="1"/>
  <c r="G7" i="21"/>
  <c r="H13" i="21"/>
  <c r="G13" i="21" s="1"/>
  <c r="I9" i="17"/>
  <c r="I28" i="17" s="1"/>
  <c r="I29" i="17" s="1"/>
  <c r="I32" i="17" s="1"/>
  <c r="I35" i="17" s="1"/>
  <c r="O21" i="6"/>
  <c r="I86" i="6"/>
  <c r="F17" i="34" s="1"/>
  <c r="H21" i="21"/>
  <c r="H86" i="6"/>
  <c r="E21" i="21"/>
  <c r="J517" i="6"/>
  <c r="E14" i="17"/>
  <c r="G14" i="17" s="1"/>
  <c r="J313" i="1"/>
  <c r="J293" i="1"/>
  <c r="J160" i="1"/>
  <c r="J235" i="1"/>
  <c r="J198" i="1"/>
  <c r="J292" i="1"/>
  <c r="J181" i="1"/>
  <c r="J269" i="1"/>
  <c r="J186" i="1"/>
  <c r="J221" i="1"/>
  <c r="J343" i="1"/>
  <c r="J216" i="1"/>
  <c r="J307" i="1"/>
  <c r="J328" i="1"/>
  <c r="J68" i="1"/>
  <c r="J266" i="1"/>
  <c r="J225" i="1"/>
  <c r="J174" i="1"/>
  <c r="J200" i="1"/>
  <c r="J327" i="1"/>
  <c r="J334" i="1"/>
  <c r="J363" i="1"/>
  <c r="J256" i="1"/>
  <c r="J158" i="1"/>
  <c r="J284" i="1"/>
  <c r="J335" i="1"/>
  <c r="J273" i="1"/>
  <c r="J215" i="1"/>
  <c r="J260" i="1"/>
  <c r="J271" i="1"/>
  <c r="J357" i="1"/>
  <c r="J287" i="1"/>
  <c r="J211" i="1"/>
  <c r="J268" i="1"/>
  <c r="J311" i="1"/>
  <c r="J279" i="1"/>
  <c r="J220" i="1"/>
  <c r="J171" i="1"/>
  <c r="J377" i="1"/>
  <c r="J283" i="1"/>
  <c r="J197" i="1"/>
  <c r="J272" i="1"/>
  <c r="J286" i="1"/>
  <c r="J301" i="1"/>
  <c r="J236" i="1"/>
  <c r="J204" i="1"/>
  <c r="J252" i="1"/>
  <c r="J316" i="1"/>
  <c r="J187" i="1"/>
  <c r="J361" i="1"/>
  <c r="J251" i="1"/>
  <c r="J331" i="1"/>
  <c r="J205" i="1"/>
  <c r="J299" i="1"/>
  <c r="J111" i="1"/>
  <c r="J244" i="1"/>
  <c r="J237" i="1"/>
  <c r="J368" i="1"/>
  <c r="J232" i="1"/>
  <c r="J193" i="1"/>
  <c r="J362" i="1"/>
  <c r="J234" i="1"/>
  <c r="J264" i="1"/>
  <c r="J227" i="1"/>
  <c r="J365" i="1"/>
  <c r="J321" i="1"/>
  <c r="J305" i="1"/>
  <c r="J380" i="1"/>
  <c r="J322" i="1"/>
  <c r="J246" i="1"/>
  <c r="J384" i="1"/>
  <c r="J379" i="1"/>
  <c r="J347" i="1"/>
  <c r="J282" i="1"/>
  <c r="J254" i="1"/>
  <c r="J366" i="1"/>
  <c r="J258" i="1"/>
  <c r="J239" i="1"/>
  <c r="J189" i="1"/>
  <c r="J253" i="1"/>
  <c r="J194" i="1"/>
  <c r="J302" i="1"/>
  <c r="J212" i="1"/>
  <c r="J190" i="1"/>
  <c r="J240" i="1"/>
  <c r="J386" i="1"/>
  <c r="J113" i="1"/>
  <c r="J288" i="1"/>
  <c r="J308" i="1"/>
  <c r="J304" i="1"/>
  <c r="J218" i="1"/>
  <c r="J342" i="1"/>
  <c r="J228" i="1"/>
  <c r="J161" i="1"/>
  <c r="J354" i="1"/>
  <c r="J112" i="1"/>
  <c r="J289" i="1"/>
  <c r="J367" i="1"/>
  <c r="J231" i="1"/>
  <c r="J90" i="1"/>
  <c r="J155" i="1"/>
  <c r="J157" i="1"/>
  <c r="J92" i="1"/>
  <c r="J100" i="1"/>
  <c r="J255" i="1"/>
  <c r="J72" i="1"/>
  <c r="J77" i="1"/>
  <c r="J199" i="1"/>
  <c r="J82" i="1"/>
  <c r="J339" i="1"/>
  <c r="J115" i="1"/>
  <c r="J173" i="1"/>
  <c r="J378" i="1"/>
  <c r="J136" i="1"/>
  <c r="J144" i="1"/>
  <c r="J62" i="1"/>
  <c r="J309" i="1"/>
  <c r="J165" i="1"/>
  <c r="J337" i="1"/>
  <c r="J285" i="1"/>
  <c r="J259" i="1"/>
  <c r="J242" i="1"/>
  <c r="J202" i="1"/>
  <c r="J265" i="1"/>
  <c r="J59" i="1"/>
  <c r="J117" i="1"/>
  <c r="J119" i="1"/>
  <c r="J91" i="1"/>
  <c r="J297" i="1"/>
  <c r="J376" i="1"/>
  <c r="J303" i="1"/>
  <c r="J263" i="1"/>
  <c r="J233" i="1"/>
  <c r="J207" i="1"/>
  <c r="J191" i="1"/>
  <c r="J353" i="1"/>
  <c r="J295" i="1"/>
  <c r="J141" i="1"/>
  <c r="J387" i="1"/>
  <c r="J183" i="1"/>
  <c r="J224" i="1"/>
  <c r="J182" i="1"/>
  <c r="J118" i="1"/>
  <c r="J388" i="1"/>
  <c r="J318" i="1"/>
  <c r="J123" i="1"/>
  <c r="J340" i="1"/>
  <c r="J315" i="1"/>
  <c r="J247" i="1"/>
  <c r="J172" i="1"/>
  <c r="J176" i="1"/>
  <c r="J296" i="1"/>
  <c r="J261" i="1"/>
  <c r="J53" i="1"/>
  <c r="J358" i="1"/>
  <c r="J326" i="1"/>
  <c r="J275" i="1"/>
  <c r="J222" i="1"/>
  <c r="J150" i="1"/>
  <c r="J374" i="1"/>
  <c r="J195" i="1"/>
  <c r="J83" i="1"/>
  <c r="J323" i="1"/>
  <c r="J249" i="1"/>
  <c r="J208" i="1"/>
  <c r="J142" i="1"/>
  <c r="J277" i="1"/>
  <c r="J84" i="1"/>
  <c r="J55" i="1"/>
  <c r="J89" i="1"/>
  <c r="J88" i="1"/>
  <c r="J250" i="1"/>
  <c r="J226" i="1"/>
  <c r="J203" i="1"/>
  <c r="J152" i="1"/>
  <c r="J188" i="1"/>
  <c r="J130" i="1"/>
  <c r="J166" i="1"/>
  <c r="J79" i="1"/>
  <c r="J270" i="1"/>
  <c r="J145" i="1"/>
  <c r="J348" i="1"/>
  <c r="J177" i="1"/>
  <c r="J312" i="1"/>
  <c r="J106" i="1"/>
  <c r="J257" i="1"/>
  <c r="J217" i="1"/>
  <c r="J116" i="1"/>
  <c r="J371" i="1"/>
  <c r="J248" i="1"/>
  <c r="J57" i="1"/>
  <c r="J333" i="1"/>
  <c r="J291" i="1"/>
  <c r="J154" i="1"/>
  <c r="R89" i="6"/>
  <c r="I13" i="6"/>
  <c r="I601" i="6"/>
  <c r="I666" i="6"/>
  <c r="H519" i="6"/>
  <c r="F17" i="23" s="1"/>
  <c r="I249" i="6"/>
  <c r="D261" i="6" s="1"/>
  <c r="I261" i="6" s="1"/>
  <c r="I497" i="6"/>
  <c r="I85" i="6" s="1"/>
  <c r="H703" i="6"/>
  <c r="H705" i="6" s="1"/>
  <c r="H680" i="6"/>
  <c r="I476" i="6"/>
  <c r="K80" i="6"/>
  <c r="I555" i="6"/>
  <c r="I88" i="6" s="1"/>
  <c r="F19" i="34" s="1"/>
  <c r="K81" i="6"/>
  <c r="H476" i="6"/>
  <c r="H620" i="6" s="1"/>
  <c r="J80" i="6"/>
  <c r="I628" i="6"/>
  <c r="O11" i="6"/>
  <c r="H13" i="6"/>
  <c r="P11" i="6"/>
  <c r="P12" i="6"/>
  <c r="I640" i="6"/>
  <c r="I45" i="6"/>
  <c r="G12" i="27" s="1"/>
  <c r="G14" i="27" s="1"/>
  <c r="N482" i="6"/>
  <c r="I79" i="6"/>
  <c r="H640" i="6"/>
  <c r="O78" i="6"/>
  <c r="G811" i="2"/>
  <c r="J12" i="1"/>
  <c r="I641" i="6" l="1"/>
  <c r="D38" i="35"/>
  <c r="D39" i="35" s="1"/>
  <c r="I10" i="24"/>
  <c r="I32" i="24" s="1"/>
  <c r="I34" i="24" s="1"/>
  <c r="J39" i="24" s="1"/>
  <c r="I38" i="24" s="1"/>
  <c r="H98" i="6" s="1"/>
  <c r="E30" i="34" s="1"/>
  <c r="B30" i="34" s="1"/>
  <c r="J30" i="34" s="1"/>
  <c r="I37" i="6"/>
  <c r="C38" i="35"/>
  <c r="C39" i="35" s="1"/>
  <c r="H37" i="6"/>
  <c r="C43" i="35"/>
  <c r="K8" i="39"/>
  <c r="O8" i="39" s="1"/>
  <c r="B24" i="22"/>
  <c r="D22" i="36" s="1"/>
  <c r="G39" i="30"/>
  <c r="I39" i="30" s="1"/>
  <c r="E17" i="38" s="1"/>
  <c r="H39" i="30"/>
  <c r="J39" i="30" s="1"/>
  <c r="F17" i="38" s="1"/>
  <c r="H641" i="6"/>
  <c r="D43" i="35"/>
  <c r="D47" i="35" s="1"/>
  <c r="G6" i="30"/>
  <c r="H15" i="30"/>
  <c r="H16" i="21"/>
  <c r="H19" i="21" s="1"/>
  <c r="H23" i="21" s="1"/>
  <c r="F16" i="34"/>
  <c r="F20" i="34" s="1"/>
  <c r="H8" i="21"/>
  <c r="H9" i="21" s="1"/>
  <c r="G9" i="21" s="1"/>
  <c r="G10" i="21" s="1"/>
  <c r="H10" i="21" s="1"/>
  <c r="F11" i="34"/>
  <c r="G22" i="30"/>
  <c r="E17" i="34"/>
  <c r="B17" i="34" s="1"/>
  <c r="H637" i="6"/>
  <c r="B21" i="22"/>
  <c r="D19" i="36" s="1"/>
  <c r="H643" i="6"/>
  <c r="I643" i="6"/>
  <c r="I637" i="6"/>
  <c r="B13" i="22"/>
  <c r="H22" i="30"/>
  <c r="C13" i="22"/>
  <c r="E13" i="36" s="1"/>
  <c r="H555" i="6"/>
  <c r="H88" i="6" s="1"/>
  <c r="E18" i="21"/>
  <c r="I89" i="6"/>
  <c r="O79" i="6"/>
  <c r="H249" i="6"/>
  <c r="H78" i="6"/>
  <c r="K82" i="6"/>
  <c r="K84" i="6" s="1"/>
  <c r="I620" i="6"/>
  <c r="I78" i="6"/>
  <c r="F10" i="34" s="1"/>
  <c r="I17" i="6"/>
  <c r="F12" i="34" l="1"/>
  <c r="G6" i="37" s="1"/>
  <c r="D254" i="6"/>
  <c r="I254" i="6" s="1"/>
  <c r="K13" i="39"/>
  <c r="O13" i="39" s="1"/>
  <c r="G17" i="38"/>
  <c r="H35" i="30"/>
  <c r="D20" i="35"/>
  <c r="D26" i="35" s="1"/>
  <c r="D27" i="35" s="1"/>
  <c r="O88" i="6"/>
  <c r="E19" i="34"/>
  <c r="B19" i="34" s="1"/>
  <c r="F12" i="23"/>
  <c r="F13" i="23" s="1"/>
  <c r="E10" i="34"/>
  <c r="B51" i="22"/>
  <c r="D13" i="36"/>
  <c r="H20" i="21"/>
  <c r="G20" i="21" s="1"/>
  <c r="G19" i="21"/>
  <c r="G9" i="27"/>
  <c r="G11" i="27" s="1"/>
  <c r="G39" i="27" s="1"/>
  <c r="E7" i="30"/>
  <c r="E15" i="30" s="1"/>
  <c r="H43" i="30" s="1"/>
  <c r="D43" i="30"/>
  <c r="D35" i="30"/>
  <c r="G47" i="30"/>
  <c r="E43" i="30"/>
  <c r="H47" i="30"/>
  <c r="E35" i="30"/>
  <c r="J249" i="6"/>
  <c r="J252" i="6"/>
  <c r="H80" i="6"/>
  <c r="F7" i="27"/>
  <c r="I80" i="6"/>
  <c r="G16" i="27" s="1"/>
  <c r="G7" i="27"/>
  <c r="G28" i="27" s="1"/>
  <c r="G23" i="21"/>
  <c r="H24" i="21"/>
  <c r="I634" i="6"/>
  <c r="I638" i="6" s="1"/>
  <c r="I23" i="6"/>
  <c r="I26" i="6" s="1"/>
  <c r="H17" i="6"/>
  <c r="F21" i="34" l="1"/>
  <c r="G7" i="37" s="1"/>
  <c r="F25" i="34"/>
  <c r="F32" i="34" s="1"/>
  <c r="F38" i="23"/>
  <c r="F31" i="23"/>
  <c r="B20" i="22"/>
  <c r="D18" i="36" s="1"/>
  <c r="G35" i="30"/>
  <c r="I35" i="30" s="1"/>
  <c r="E15" i="38" s="1"/>
  <c r="C20" i="35"/>
  <c r="B10" i="34"/>
  <c r="B12" i="34" s="1"/>
  <c r="C6" i="37" s="1"/>
  <c r="E12" i="34"/>
  <c r="B53" i="22"/>
  <c r="D45" i="36"/>
  <c r="D47" i="36" s="1"/>
  <c r="D7" i="30"/>
  <c r="G49" i="27"/>
  <c r="G38" i="27"/>
  <c r="J35" i="30"/>
  <c r="F15" i="38" s="1"/>
  <c r="G15" i="27"/>
  <c r="G40" i="27" s="1"/>
  <c r="J15" i="30"/>
  <c r="F5" i="38" s="1"/>
  <c r="J43" i="30"/>
  <c r="F19" i="38" s="1"/>
  <c r="G29" i="27"/>
  <c r="O26" i="6"/>
  <c r="G19" i="27"/>
  <c r="G37" i="27" s="1"/>
  <c r="G20" i="27"/>
  <c r="G22" i="27" s="1"/>
  <c r="N17" i="6"/>
  <c r="I90" i="6"/>
  <c r="I93" i="6" s="1"/>
  <c r="C9" i="22" s="1"/>
  <c r="F28" i="27"/>
  <c r="G24" i="21"/>
  <c r="H27" i="21"/>
  <c r="H29" i="21" s="1"/>
  <c r="H32" i="21" s="1"/>
  <c r="H33" i="21" s="1"/>
  <c r="H634" i="6"/>
  <c r="H638" i="6" s="1"/>
  <c r="F23" i="34" l="1"/>
  <c r="G8" i="37"/>
  <c r="G15" i="38"/>
  <c r="I12" i="34"/>
  <c r="F6" i="37"/>
  <c r="G9" i="37"/>
  <c r="F43" i="34"/>
  <c r="G14" i="37" s="1"/>
  <c r="F38" i="34"/>
  <c r="G10" i="37" s="1"/>
  <c r="F42" i="34"/>
  <c r="G13" i="37" s="1"/>
  <c r="C16" i="22"/>
  <c r="C33" i="22" s="1"/>
  <c r="C35" i="22" s="1"/>
  <c r="C55" i="22" s="1"/>
  <c r="C59" i="22" s="1"/>
  <c r="B57" i="22" s="1"/>
  <c r="E9" i="36"/>
  <c r="E15" i="36" s="1"/>
  <c r="E30" i="36" s="1"/>
  <c r="E32" i="36" s="1"/>
  <c r="E49" i="36" s="1"/>
  <c r="E52" i="36" s="1"/>
  <c r="I100" i="6"/>
  <c r="E51" i="30"/>
  <c r="O84" i="6"/>
  <c r="G17" i="27"/>
  <c r="G42" i="27" s="1"/>
  <c r="G33" i="27"/>
  <c r="G32" i="27"/>
  <c r="G8" i="27"/>
  <c r="L60" i="22" l="1"/>
  <c r="G34" i="27"/>
  <c r="I183" i="6"/>
  <c r="I185" i="6" s="1"/>
  <c r="I191" i="6" s="1"/>
  <c r="I192" i="6" s="1"/>
  <c r="I30" i="6" s="1"/>
  <c r="I110" i="6"/>
  <c r="E47" i="30"/>
  <c r="E26" i="30"/>
  <c r="E22" i="30"/>
  <c r="J22" i="30" s="1"/>
  <c r="F9" i="38" s="1"/>
  <c r="I571" i="6"/>
  <c r="I574" i="6" s="1"/>
  <c r="I113" i="6" s="1"/>
  <c r="G35" i="27"/>
  <c r="G36" i="27"/>
  <c r="G41" i="27"/>
  <c r="G30" i="27"/>
  <c r="G43" i="27"/>
  <c r="I31" i="6" l="1"/>
  <c r="H51" i="30" s="1"/>
  <c r="J51" i="30" s="1"/>
  <c r="F23" i="38" s="1"/>
  <c r="D32" i="35"/>
  <c r="D33" i="35" s="1"/>
  <c r="D48" i="35" s="1"/>
  <c r="H179" i="6"/>
  <c r="H182" i="6" s="1"/>
  <c r="K182" i="6" s="1"/>
  <c r="I573" i="6"/>
  <c r="I112" i="6" s="1"/>
  <c r="J47" i="30"/>
  <c r="F21" i="38" s="1"/>
  <c r="E54" i="30"/>
  <c r="I46" i="6" l="1"/>
  <c r="E18" i="30" s="1"/>
  <c r="F49" i="35"/>
  <c r="D1" i="35"/>
  <c r="H18" i="30"/>
  <c r="H26" i="30"/>
  <c r="J26" i="30" s="1"/>
  <c r="F11" i="38" s="1"/>
  <c r="J18" i="30" l="1"/>
  <c r="F7" i="38" s="1"/>
  <c r="I1" i="6"/>
  <c r="K28" i="31"/>
  <c r="L28" i="31" s="1"/>
  <c r="K10" i="31"/>
  <c r="N10" i="31" s="1"/>
  <c r="L9" i="31"/>
  <c r="N28" i="31" l="1"/>
  <c r="H491" i="6"/>
  <c r="H610" i="6"/>
  <c r="N614" i="6" s="1"/>
  <c r="M38" i="31"/>
  <c r="P32" i="31"/>
  <c r="H487" i="6" l="1"/>
  <c r="H238" i="6" s="1"/>
  <c r="H586" i="6"/>
  <c r="H241" i="6"/>
  <c r="H492" i="6"/>
  <c r="H84" i="6" s="1"/>
  <c r="F19" i="23" s="1"/>
  <c r="F50" i="23" s="1"/>
  <c r="P38" i="31"/>
  <c r="P44" i="31" s="1"/>
  <c r="H488" i="6" l="1"/>
  <c r="H82" i="6" s="1"/>
  <c r="F15" i="23" s="1"/>
  <c r="G31" i="30"/>
  <c r="K7" i="39"/>
  <c r="F40" i="23"/>
  <c r="F42" i="23" s="1"/>
  <c r="K11" i="39"/>
  <c r="E15" i="21"/>
  <c r="E15" i="34"/>
  <c r="H243" i="6"/>
  <c r="H15" i="6" s="1"/>
  <c r="C18" i="35" s="1"/>
  <c r="H89" i="6" l="1"/>
  <c r="H90" i="6" s="1"/>
  <c r="O92" i="6" s="1"/>
  <c r="E9" i="17"/>
  <c r="G9" i="17" s="1"/>
  <c r="G28" i="17" s="1"/>
  <c r="G29" i="17" s="1"/>
  <c r="D31" i="30"/>
  <c r="I31" i="30" s="1"/>
  <c r="E13" i="38" s="1"/>
  <c r="G13" i="38" s="1"/>
  <c r="J81" i="6"/>
  <c r="J82" i="6" s="1"/>
  <c r="J84" i="6" s="1"/>
  <c r="F16" i="27"/>
  <c r="F29" i="27" s="1"/>
  <c r="H29" i="27" s="1"/>
  <c r="E14" i="34"/>
  <c r="B14" i="34" s="1"/>
  <c r="N78" i="6"/>
  <c r="N79" i="6" s="1"/>
  <c r="E13" i="21"/>
  <c r="E19" i="21" s="1"/>
  <c r="O7" i="39"/>
  <c r="O9" i="39" s="1"/>
  <c r="K9" i="39"/>
  <c r="K12" i="39" s="1"/>
  <c r="K14" i="39" s="1"/>
  <c r="O11" i="39"/>
  <c r="F20" i="23"/>
  <c r="F22" i="23" s="1"/>
  <c r="F24" i="23" s="1"/>
  <c r="F49" i="23"/>
  <c r="B15" i="34"/>
  <c r="B19" i="22"/>
  <c r="N97" i="6"/>
  <c r="N15" i="6"/>
  <c r="D6" i="30"/>
  <c r="D15" i="30" s="1"/>
  <c r="O87" i="6"/>
  <c r="B20" i="34" l="1"/>
  <c r="B25" i="34" s="1"/>
  <c r="C8" i="37" s="1"/>
  <c r="H93" i="6"/>
  <c r="J98" i="6" s="1"/>
  <c r="D13" i="21"/>
  <c r="E20" i="34"/>
  <c r="E21" i="34" s="1"/>
  <c r="O12" i="39"/>
  <c r="O14" i="39" s="1"/>
  <c r="F53" i="23"/>
  <c r="F57" i="23"/>
  <c r="F71" i="23" s="1"/>
  <c r="B32" i="22"/>
  <c r="D17" i="36"/>
  <c r="D29" i="36" s="1"/>
  <c r="E20" i="21"/>
  <c r="D20" i="21" s="1"/>
  <c r="E23" i="21"/>
  <c r="D19" i="21"/>
  <c r="N99" i="6"/>
  <c r="P98" i="6"/>
  <c r="B21" i="34" l="1"/>
  <c r="J14" i="25"/>
  <c r="J54" i="25" s="1"/>
  <c r="J56" i="25" s="1"/>
  <c r="F33" i="27"/>
  <c r="H33" i="27" s="1"/>
  <c r="J94" i="6"/>
  <c r="F17" i="27"/>
  <c r="F42" i="27" s="1"/>
  <c r="H42" i="27" s="1"/>
  <c r="D51" i="30"/>
  <c r="F32" i="27"/>
  <c r="H32" i="27" s="1"/>
  <c r="D7" i="7"/>
  <c r="O90" i="6"/>
  <c r="L14" i="25"/>
  <c r="L26" i="25" s="1"/>
  <c r="L37" i="25" s="1"/>
  <c r="L41" i="25" s="1"/>
  <c r="L45" i="25" s="1"/>
  <c r="L48" i="25" s="1"/>
  <c r="L60" i="25" s="1"/>
  <c r="F8" i="27"/>
  <c r="F36" i="27" s="1"/>
  <c r="N94" i="6"/>
  <c r="B9" i="22"/>
  <c r="D9" i="36" s="1"/>
  <c r="D15" i="36" s="1"/>
  <c r="D30" i="36" s="1"/>
  <c r="J20" i="34"/>
  <c r="E25" i="34"/>
  <c r="F8" i="37" s="1"/>
  <c r="E23" i="34"/>
  <c r="F7" i="37"/>
  <c r="B23" i="34"/>
  <c r="C7" i="37"/>
  <c r="F74" i="23"/>
  <c r="B16" i="22"/>
  <c r="B33" i="22" s="1"/>
  <c r="E24" i="21"/>
  <c r="D23" i="21"/>
  <c r="J26" i="25" l="1"/>
  <c r="J37" i="25" s="1"/>
  <c r="J41" i="25" s="1"/>
  <c r="J45" i="25" s="1"/>
  <c r="J48" i="25" s="1"/>
  <c r="I110" i="25" s="1"/>
  <c r="I111" i="25" s="1"/>
  <c r="F43" i="27"/>
  <c r="F41" i="27"/>
  <c r="H41" i="27" s="1"/>
  <c r="F30" i="27"/>
  <c r="H30" i="27" s="1"/>
  <c r="L62" i="25"/>
  <c r="L63" i="25" s="1"/>
  <c r="E27" i="21"/>
  <c r="E33" i="21" s="1"/>
  <c r="D24" i="21"/>
  <c r="J58" i="25"/>
  <c r="L64" i="25" l="1"/>
  <c r="L65" i="25" s="1"/>
  <c r="I112" i="25"/>
  <c r="I113" i="25" s="1"/>
  <c r="J110" i="25"/>
  <c r="J60" i="25"/>
  <c r="J62" i="25" s="1"/>
  <c r="L71" i="25" l="1"/>
  <c r="R54" i="25"/>
  <c r="H95" i="6"/>
  <c r="J111" i="25"/>
  <c r="J112" i="25" s="1"/>
  <c r="J63" i="25"/>
  <c r="O61" i="25"/>
  <c r="H296" i="6"/>
  <c r="J99" i="6" l="1"/>
  <c r="E27" i="34"/>
  <c r="J297" i="6"/>
  <c r="H297" i="6"/>
  <c r="H22" i="6" s="1"/>
  <c r="C25" i="35" s="1"/>
  <c r="C26" i="35" s="1"/>
  <c r="C27" i="35" s="1"/>
  <c r="J113" i="25"/>
  <c r="K113" i="25" s="1"/>
  <c r="J64" i="25"/>
  <c r="J65" i="25" s="1"/>
  <c r="N84" i="6"/>
  <c r="H99" i="6"/>
  <c r="H100" i="6" s="1"/>
  <c r="H463" i="6"/>
  <c r="H44" i="6" s="1"/>
  <c r="C46" i="35" s="1"/>
  <c r="C47" i="35" s="1"/>
  <c r="T54" i="25"/>
  <c r="V54" i="25" s="1"/>
  <c r="X54" i="25" s="1"/>
  <c r="R55" i="25"/>
  <c r="B27" i="34" l="1"/>
  <c r="B31" i="34" s="1"/>
  <c r="B32" i="34" s="1"/>
  <c r="C9" i="37" s="1"/>
  <c r="E31" i="34"/>
  <c r="O22" i="6"/>
  <c r="F9" i="27"/>
  <c r="H23" i="6"/>
  <c r="H26" i="6" s="1"/>
  <c r="B34" i="22"/>
  <c r="G12" i="30"/>
  <c r="G15" i="30" s="1"/>
  <c r="I15" i="30" s="1"/>
  <c r="E5" i="38" s="1"/>
  <c r="G5" i="38" s="1"/>
  <c r="H45" i="6"/>
  <c r="D47" i="30"/>
  <c r="D54" i="30" s="1"/>
  <c r="H110" i="6"/>
  <c r="F29" i="23" s="1"/>
  <c r="F33" i="23" s="1"/>
  <c r="D22" i="30"/>
  <c r="I22" i="30" s="1"/>
  <c r="E9" i="38" s="1"/>
  <c r="G9" i="38" s="1"/>
  <c r="H183" i="6"/>
  <c r="F34" i="27"/>
  <c r="H34" i="27" s="1"/>
  <c r="D26" i="30"/>
  <c r="H571" i="6"/>
  <c r="F35" i="27"/>
  <c r="H35" i="27" s="1"/>
  <c r="R47" i="25"/>
  <c r="J71" i="25"/>
  <c r="J73" i="25" s="1"/>
  <c r="J75" i="25" s="1"/>
  <c r="T55" i="25"/>
  <c r="V55" i="25" s="1"/>
  <c r="X55" i="25" s="1"/>
  <c r="R56" i="25"/>
  <c r="J27" i="34" l="1"/>
  <c r="B35" i="22"/>
  <c r="B55" i="22" s="1"/>
  <c r="B59" i="22" s="1"/>
  <c r="AW57" i="22" s="1"/>
  <c r="D31" i="36"/>
  <c r="D32" i="36" s="1"/>
  <c r="D49" i="36" s="1"/>
  <c r="D52" i="36" s="1"/>
  <c r="E32" i="34"/>
  <c r="F9" i="37" s="1"/>
  <c r="J31" i="34"/>
  <c r="B43" i="34"/>
  <c r="C14" i="37" s="1"/>
  <c r="B38" i="34"/>
  <c r="I37" i="34"/>
  <c r="B42" i="34"/>
  <c r="C13" i="37" s="1"/>
  <c r="F11" i="27"/>
  <c r="F49" i="27"/>
  <c r="H49" i="27" s="1"/>
  <c r="H573" i="6"/>
  <c r="H112" i="6" s="1"/>
  <c r="H574" i="6"/>
  <c r="H113" i="6" s="1"/>
  <c r="T56" i="25"/>
  <c r="V56" i="25" s="1"/>
  <c r="X56" i="25" s="1"/>
  <c r="X58" i="25" s="1"/>
  <c r="L73" i="25" s="1"/>
  <c r="L75" i="25" s="1"/>
  <c r="N43" i="25" s="1"/>
  <c r="R57" i="25"/>
  <c r="T57" i="25" s="1"/>
  <c r="V57" i="25" s="1"/>
  <c r="F12" i="27"/>
  <c r="F14" i="27" s="1"/>
  <c r="F19" i="27"/>
  <c r="F37" i="27" s="1"/>
  <c r="F20" i="27"/>
  <c r="F22" i="27" s="1"/>
  <c r="T47" i="25"/>
  <c r="V47" i="25" s="1"/>
  <c r="X47" i="25" s="1"/>
  <c r="R48" i="25"/>
  <c r="I47" i="30"/>
  <c r="E21" i="38" s="1"/>
  <c r="G21" i="38" s="1"/>
  <c r="G43" i="30"/>
  <c r="I43" i="30" s="1"/>
  <c r="E19" i="38" s="1"/>
  <c r="G19" i="38" s="1"/>
  <c r="H185" i="6"/>
  <c r="H191" i="6" s="1"/>
  <c r="H192" i="6" s="1"/>
  <c r="H30" i="6" s="1"/>
  <c r="O183" i="6"/>
  <c r="AW60" i="22" l="1"/>
  <c r="AX59" i="22"/>
  <c r="J42" i="34"/>
  <c r="C10" i="37"/>
  <c r="H31" i="6"/>
  <c r="H46" i="6" s="1"/>
  <c r="D18" i="30" s="1"/>
  <c r="C32" i="35"/>
  <c r="C33" i="35" s="1"/>
  <c r="C48" i="35" s="1"/>
  <c r="J32" i="34"/>
  <c r="E38" i="34"/>
  <c r="E43" i="34"/>
  <c r="F14" i="37" s="1"/>
  <c r="E42" i="34"/>
  <c r="F13" i="37" s="1"/>
  <c r="R49" i="25"/>
  <c r="T48" i="25"/>
  <c r="V48" i="25" s="1"/>
  <c r="X48" i="25" s="1"/>
  <c r="G26" i="30"/>
  <c r="I26" i="30" s="1"/>
  <c r="E11" i="38" s="1"/>
  <c r="G11" i="38" s="1"/>
  <c r="F38" i="27"/>
  <c r="F15" i="27"/>
  <c r="F40" i="27" s="1"/>
  <c r="H40" i="27" s="1"/>
  <c r="F39" i="27"/>
  <c r="H39" i="27" s="1"/>
  <c r="J38" i="34" l="1"/>
  <c r="F10" i="37"/>
  <c r="H1" i="6"/>
  <c r="G51" i="30"/>
  <c r="I51" i="30" s="1"/>
  <c r="E23" i="38" s="1"/>
  <c r="G23" i="38" s="1"/>
  <c r="J43" i="34"/>
  <c r="G18" i="30"/>
  <c r="I18" i="30" s="1"/>
  <c r="E7" i="38" s="1"/>
  <c r="G7" i="38" s="1"/>
  <c r="E49" i="35"/>
  <c r="C1" i="35"/>
  <c r="R50" i="25"/>
  <c r="T50" i="25" s="1"/>
  <c r="V50" i="25" s="1"/>
  <c r="X50" i="25" s="1"/>
  <c r="T49" i="25"/>
  <c r="V49" i="25" s="1"/>
  <c r="X49" i="25" s="1"/>
  <c r="X51" i="25" l="1"/>
  <c r="H600" i="6"/>
  <c r="H601" i="6" s="1"/>
  <c r="H615" i="6" l="1"/>
</calcChain>
</file>

<file path=xl/comments1.xml><?xml version="1.0" encoding="utf-8"?>
<comments xmlns="http://schemas.openxmlformats.org/spreadsheetml/2006/main">
  <authors>
    <author>SANJAY TIWARI</author>
  </authors>
  <commentList>
    <comment ref="J9" authorId="0">
      <text>
        <r>
          <rPr>
            <b/>
            <sz val="9"/>
            <color indexed="81"/>
            <rFont val="Tahoma"/>
            <family val="2"/>
          </rPr>
          <t>SANJAY TIWARI:</t>
        </r>
        <r>
          <rPr>
            <sz val="9"/>
            <color indexed="81"/>
            <rFont val="Tahoma"/>
            <family val="2"/>
          </rPr>
          <t xml:space="preserve">
Debit of Local Raw Material Minus from Purchase</t>
        </r>
      </text>
    </comment>
    <comment ref="J26" authorId="0">
      <text>
        <r>
          <rPr>
            <b/>
            <sz val="9"/>
            <color indexed="81"/>
            <rFont val="Tahoma"/>
            <family val="2"/>
          </rPr>
          <t>SANJAY TIWARI:</t>
        </r>
        <r>
          <rPr>
            <sz val="9"/>
            <color indexed="81"/>
            <rFont val="Tahoma"/>
            <family val="2"/>
          </rPr>
          <t xml:space="preserve">
Debit of Local Raw Material Minus from Purchase</t>
        </r>
      </text>
    </comment>
  </commentList>
</comments>
</file>

<file path=xl/comments2.xml><?xml version="1.0" encoding="utf-8"?>
<comments xmlns="http://schemas.openxmlformats.org/spreadsheetml/2006/main">
  <authors>
    <author>Administrator</author>
  </authors>
  <commentList>
    <comment ref="D19" authorId="0">
      <text>
        <r>
          <rPr>
            <b/>
            <sz val="9"/>
            <color indexed="81"/>
            <rFont val="Tahoma"/>
            <family val="2"/>
          </rPr>
          <t>Administrator:</t>
        </r>
        <r>
          <rPr>
            <sz val="9"/>
            <color indexed="81"/>
            <rFont val="Tahoma"/>
            <family val="2"/>
          </rPr>
          <t xml:space="preserve">
Received 10% Additional on Dated 07/03/2022, Amount Rs. 9,43,000/-</t>
        </r>
      </text>
    </comment>
    <comment ref="I19" authorId="0">
      <text>
        <r>
          <rPr>
            <b/>
            <sz val="9"/>
            <color indexed="81"/>
            <rFont val="Tahoma"/>
            <family val="2"/>
          </rPr>
          <t>Administrator:</t>
        </r>
        <r>
          <rPr>
            <sz val="9"/>
            <color indexed="81"/>
            <rFont val="Tahoma"/>
            <family val="2"/>
          </rPr>
          <t xml:space="preserve">
Received 10% Additional on Dated 07/03/2022, Amount Rs. 9,43,000/-</t>
        </r>
      </text>
    </comment>
  </commentList>
</comments>
</file>

<file path=xl/sharedStrings.xml><?xml version="1.0" encoding="utf-8"?>
<sst xmlns="http://schemas.openxmlformats.org/spreadsheetml/2006/main" count="7891" uniqueCount="3556">
  <si>
    <t>Hardoli Paper Mills Ltd.</t>
  </si>
  <si>
    <t>1st Floor Krishna Kunj</t>
  </si>
  <si>
    <t>Bhavsar Chowk C A Road</t>
  </si>
  <si>
    <t>Nagpur</t>
  </si>
  <si>
    <t>CIN: L21010MH1995PLCO85883</t>
  </si>
  <si>
    <t>Trial Balance</t>
  </si>
  <si>
    <t>1-Apr-21 to 31-Mar-22</t>
  </si>
  <si>
    <t/>
  </si>
  <si>
    <t>Hardoli Paper Mills Ltd. - (21-22) - (from 1-Apr-21)</t>
  </si>
  <si>
    <t>Particulars</t>
  </si>
  <si>
    <t>Closing Balance</t>
  </si>
  <si>
    <t>Debit</t>
  </si>
  <si>
    <t>Credit</t>
  </si>
  <si>
    <t>Opening Stock</t>
  </si>
  <si>
    <t>AAR Tech Engineering</t>
  </si>
  <si>
    <t>ACCURATE SALES AGENCIES</t>
  </si>
  <si>
    <t>Advance Income Tax (A.Y. 2021-22)</t>
  </si>
  <si>
    <t>Advance Income Tax (A.Y.2022-23)</t>
  </si>
  <si>
    <t>Advertisement Expenses</t>
  </si>
  <si>
    <t>Agrawal Sales Corporation</t>
  </si>
  <si>
    <t>AJANTA KRAFT</t>
  </si>
  <si>
    <t>A K R G &amp; Associates, Nagpur</t>
  </si>
  <si>
    <t>ALIGN COMPONENTS (P) LTD., (BU-II)</t>
  </si>
  <si>
    <t>AMRUTA ENTERPRISES, NAGPUR</t>
  </si>
  <si>
    <t>ANAMIKA TRADERS(SALES)</t>
  </si>
  <si>
    <t>ANAMIKA TRADERS [ WP ]</t>
  </si>
  <si>
    <t>ANANT SHREE AGENCY</t>
  </si>
  <si>
    <t>AnilKumar M. Lakhotiya (Loan A/c)</t>
  </si>
  <si>
    <t>Anita Lakhotiya</t>
  </si>
  <si>
    <t>Annual Custody Fees</t>
  </si>
  <si>
    <t>Annual Listing Fees</t>
  </si>
  <si>
    <t>Ari Armaturen Steamline LLP,Pune</t>
  </si>
  <si>
    <t>ARYAN PACKAGING INDUSTRIES</t>
  </si>
  <si>
    <t>Audit Expenses (Darak)</t>
  </si>
  <si>
    <t>Audit Fees Payable</t>
  </si>
  <si>
    <t>Bad Debts</t>
  </si>
  <si>
    <t>Balaji Enterprises</t>
  </si>
  <si>
    <t>Balaji Medical Stores</t>
  </si>
  <si>
    <t>Baljit Kaur Manindersingh Saini</t>
  </si>
  <si>
    <t>Bank Commission &amp; Charges</t>
  </si>
  <si>
    <t>Bank Facility Charges</t>
  </si>
  <si>
    <t>BANK GUARANTEE CHARGES</t>
  </si>
  <si>
    <t>Bearing Centre</t>
  </si>
  <si>
    <t>BHOLANATH MITRA</t>
  </si>
  <si>
    <t>Boiler Fireman  (Feeding Charges)</t>
  </si>
  <si>
    <t>BOOKS NEWS PAPER &amp; PERODICALS</t>
  </si>
  <si>
    <t>BUILDING</t>
  </si>
  <si>
    <t>Capital Reserves</t>
  </si>
  <si>
    <t>Carriage Inward : Machinery Rep&amp;Maint</t>
  </si>
  <si>
    <t>Carriage Inward { Store }</t>
  </si>
  <si>
    <t>Carriage Inward [ Plant &amp; Machinery]</t>
  </si>
  <si>
    <t>Carriage Outward Machinery</t>
  </si>
  <si>
    <t>CARRIAGE OUTWARD (SALE)</t>
  </si>
  <si>
    <t>CASH</t>
  </si>
  <si>
    <t>CGST @9% ON BANK CHARGES</t>
  </si>
  <si>
    <t>CGST @ 9% on Insurance Policies</t>
  </si>
  <si>
    <t>CGST @ 9% ON LOCAL WASTE PIPE</t>
  </si>
  <si>
    <t>CGST @ 9% on Packing</t>
  </si>
  <si>
    <t>CGST PAYABLE (F.Y. 2021-22)</t>
  </si>
  <si>
    <t>CGST RECEIVABLE (F.Y. 2021-2022)</t>
  </si>
  <si>
    <t>Chaitanya Constructions</t>
  </si>
  <si>
    <t>CHANDRA SALES CORPORATION(SALE)</t>
  </si>
  <si>
    <t>Chemical Purchase</t>
  </si>
  <si>
    <t>Choudhary Trading Company</t>
  </si>
  <si>
    <t>Clearing &amp; Forwarding on WP Import</t>
  </si>
  <si>
    <t>Coal Purchase</t>
  </si>
  <si>
    <t>Commission on Sales</t>
  </si>
  <si>
    <t>Computer</t>
  </si>
  <si>
    <t>Conquest Enterprises</t>
  </si>
  <si>
    <t>Consultation Charges</t>
  </si>
  <si>
    <t>Contribution to ESIC Payable</t>
  </si>
  <si>
    <t>Contribution to P.F. Payable</t>
  </si>
  <si>
    <t>CONVEYANCE EXPENSES</t>
  </si>
  <si>
    <t>CONVEYANCE TO DIRECTORS</t>
  </si>
  <si>
    <t>COSMIC CORPORATION</t>
  </si>
  <si>
    <t>COURIER &amp; POSTAGE CHARGES</t>
  </si>
  <si>
    <t>Covid-19 Expenses (Corona)</t>
  </si>
  <si>
    <t>CSR (CORPORATE SOCIAL RESPONSIBILITY)</t>
  </si>
  <si>
    <t>CSR F.Y. 2019-20</t>
  </si>
  <si>
    <t>CUSTOM DUTY A/C.</t>
  </si>
  <si>
    <t>Dashmesh Dhaba (Kondhali Restaurnt)</t>
  </si>
  <si>
    <t>Deferred Tax Liabilities (Net)</t>
  </si>
  <si>
    <t>Deposit for LPG Domestic Cylender Connection</t>
  </si>
  <si>
    <t>Deposits for Office Premises</t>
  </si>
  <si>
    <t>Deposits for Telephone</t>
  </si>
  <si>
    <t>Deposits Group Gratuity Fund</t>
  </si>
  <si>
    <t>Deposit with Import (OCC)</t>
  </si>
  <si>
    <t>Deposit with M.S.E.B.</t>
  </si>
  <si>
    <t>Deposit with SBI for Custom 8.25 Lac BG[Rs. 206250]</t>
  </si>
  <si>
    <t>Deposit With SBI for MPCB 5 Lac BG [Rs.1,25,000]</t>
  </si>
  <si>
    <t>Depreciation Electrical Installation</t>
  </si>
  <si>
    <t>Depreciation on Building</t>
  </si>
  <si>
    <t>Depreciation on Computer</t>
  </si>
  <si>
    <t>Depreciation on Furniture &amp; Fixture</t>
  </si>
  <si>
    <t>Depreciation on Office Equipment</t>
  </si>
  <si>
    <t>Depreciation on Plant &amp; Machinery</t>
  </si>
  <si>
    <t>Depreciation on Vehicle</t>
  </si>
  <si>
    <t>DILIPKUMAR PATEL</t>
  </si>
  <si>
    <t>Directors Sitting Fees</t>
  </si>
  <si>
    <t>Discount &amp; Billing Diff Account (HSN/SAC: 4804)</t>
  </si>
  <si>
    <t>Discount &amp; Billing Diff. On Sales</t>
  </si>
  <si>
    <t>DISTRIBUTION LOGISTICS INFRASTRUCTURE PVT.LTD.</t>
  </si>
  <si>
    <t>Donation Account</t>
  </si>
  <si>
    <t>DP Papertech, Pune</t>
  </si>
  <si>
    <t>DR. B. P. TAORI</t>
  </si>
  <si>
    <t>DURGA INDUSTRIAL  SECURITY, NAGPUR</t>
  </si>
  <si>
    <t>Durga Traders</t>
  </si>
  <si>
    <t>Earlier Tax Paid</t>
  </si>
  <si>
    <t>Electrical Installation</t>
  </si>
  <si>
    <t>ELE+MECH ENGINEERING SOLUTIONS</t>
  </si>
  <si>
    <t>Equity Share Capital</t>
  </si>
  <si>
    <t>ESIC (Employees State Insurance Corpn)</t>
  </si>
  <si>
    <t>E-Voting Expenses</t>
  </si>
  <si>
    <t>Exempted Ag.Chemical Purchase</t>
  </si>
  <si>
    <t>Export Expenses for Clearing &amp; Forwarding</t>
  </si>
  <si>
    <t>EXPORT SALE</t>
  </si>
  <si>
    <t>Factory Cleaning Charges</t>
  </si>
  <si>
    <t>Factory Misc Expenses</t>
  </si>
  <si>
    <t>Factory Power &amp; Electricity Charges</t>
  </si>
  <si>
    <t>Factory Tea &amp; Other Expenses</t>
  </si>
  <si>
    <t>Fees to Registrar</t>
  </si>
  <si>
    <t>Festival Expenses</t>
  </si>
  <si>
    <t>Finished Goods Packing &amp; Allied Charges</t>
  </si>
  <si>
    <t>FINISHED GOODS PACKING &amp; ALLIED PAYABLE</t>
  </si>
  <si>
    <t>For Addl.FD[MSEB] 2.5Lac: A/c 40198297304</t>
  </si>
  <si>
    <t>For BG[MSEB] 12.50 LAC :A/c 35633066338</t>
  </si>
  <si>
    <t>Foreign Exchange Fluctuation</t>
  </si>
  <si>
    <t>Franking Charges for Import O.C.C.</t>
  </si>
  <si>
    <t>Freehold Land</t>
  </si>
  <si>
    <t>FREIGHT CHARGES</t>
  </si>
  <si>
    <t>Furniture &amp; Fixture</t>
  </si>
  <si>
    <t>Gaurav Lakhotiya (Loan A/c)</t>
  </si>
  <si>
    <t>General Reserves</t>
  </si>
  <si>
    <t>Global Technologies</t>
  </si>
  <si>
    <t>Gratuity to Staff</t>
  </si>
  <si>
    <t>GST E-Return Charges</t>
  </si>
  <si>
    <t>Hazelkaur Manindersingh Saini</t>
  </si>
  <si>
    <t>HEMANT MAHURE</t>
  </si>
  <si>
    <t>Highrise Transformer</t>
  </si>
  <si>
    <t>Hindustan Mill Stores, Nagpur</t>
  </si>
  <si>
    <t>House Rent</t>
  </si>
  <si>
    <t>I G S T PAYABLE ( F. Y. 2021-22 )</t>
  </si>
  <si>
    <t>I G S T RECEIVABLE ( F.Y. 2021-22 )</t>
  </si>
  <si>
    <t>I-Kcal Systems Engineering LLP</t>
  </si>
  <si>
    <t>Import Waste Paper Purchase</t>
  </si>
  <si>
    <t>Incentive/ Bonus Payable</t>
  </si>
  <si>
    <t>Incentive/ Bonus to Contractor</t>
  </si>
  <si>
    <t>Incentive/ Bonus to Staff</t>
  </si>
  <si>
    <t>Income Tax Receivable (Refund)</t>
  </si>
  <si>
    <t>Income Tax Refunf A.Y. 2020-21</t>
  </si>
  <si>
    <t>Inder Trade &amp; Industry, Bikaner</t>
  </si>
  <si>
    <t>Indian Machinery Store</t>
  </si>
  <si>
    <t>Indian Traders</t>
  </si>
  <si>
    <t>INSURANCE CHARGES FOR MARINE</t>
  </si>
  <si>
    <t>Insurance Charges to Other</t>
  </si>
  <si>
    <t>Insurance Claim Receivable</t>
  </si>
  <si>
    <t>Insurance Claim Receivable( Accident Claim)</t>
  </si>
  <si>
    <t>Insurance Pre-Paid</t>
  </si>
  <si>
    <t>Interest  From Bank (F.D.)</t>
  </si>
  <si>
    <t>Interest on Add.T/L (1.5Cr)...6669</t>
  </si>
  <si>
    <t>Interest on Bank Term Loan ( 2 Cr.)...0563</t>
  </si>
  <si>
    <t>Interest on CGST</t>
  </si>
  <si>
    <t>Interest On Custom Duty</t>
  </si>
  <si>
    <t>Interest on GECLBank T/L (1.46 Cr).....1281</t>
  </si>
  <si>
    <t>Interest On IGST</t>
  </si>
  <si>
    <t>Interest on Income Tax</t>
  </si>
  <si>
    <t>Interest On Local Body Tax</t>
  </si>
  <si>
    <t>INTEREST ON PROFESSIONAL TAX</t>
  </si>
  <si>
    <t>Interest on SGST</t>
  </si>
  <si>
    <t>Interest on TCS</t>
  </si>
  <si>
    <t>Interest On TDS</t>
  </si>
  <si>
    <t>Interest Receivable on Power</t>
  </si>
  <si>
    <t>Interest to Bank</t>
  </si>
  <si>
    <t>Interest to Bank on T/L ( 73 Lakhs)....9457</t>
  </si>
  <si>
    <t>Interest to Others</t>
  </si>
  <si>
    <t>Internal Audit Fees (Khandelwal)</t>
  </si>
  <si>
    <t>Jarnailsingh Saini (Loan A/c)</t>
  </si>
  <si>
    <t>JAYSHREE INDUSTRIES</t>
  </si>
  <si>
    <t>JENSON TRADING CORPORATION</t>
  </si>
  <si>
    <t>Jitendra Nikhare</t>
  </si>
  <si>
    <t>J.S.M. MARKETING, NAGPUR</t>
  </si>
  <si>
    <t>Kailash Kaur Jarnailsingh Saini</t>
  </si>
  <si>
    <t>KARAN ENTERPRISES (WP)</t>
  </si>
  <si>
    <t>KEDAR PAPER CONVERSIONS</t>
  </si>
  <si>
    <t>Kessels Engineering Works Pvt. Ltd.</t>
  </si>
  <si>
    <t>K.R.V. Express</t>
  </si>
  <si>
    <t>Kunal Jain</t>
  </si>
  <si>
    <t>Labour Welfare Fund</t>
  </si>
  <si>
    <t>Lakhotiya Traders Pvt. Ltd. (Sale)</t>
  </si>
  <si>
    <t>LAKHOTIYA TRADERS [WP]</t>
  </si>
  <si>
    <t>Late Fee</t>
  </si>
  <si>
    <t>Leave Encashment</t>
  </si>
  <si>
    <t>Leave Encashment Payable</t>
  </si>
  <si>
    <t>Legal &amp; Proffessional  Charges</t>
  </si>
  <si>
    <t>L.I.C. Payable</t>
  </si>
  <si>
    <t>Maa Tarini Traders</t>
  </si>
  <si>
    <t>Machinery Exp for Boiler Material BED</t>
  </si>
  <si>
    <t>Machinery Repair &amp; Maint Diesel Exp.</t>
  </si>
  <si>
    <t>Machinery Repair &amp; Maintenance</t>
  </si>
  <si>
    <t>Machinery Repair &amp; Maint to Electrical</t>
  </si>
  <si>
    <t>Maharashtra State Mining Corp. Ltd.</t>
  </si>
  <si>
    <t>Mahesh Mirashe</t>
  </si>
  <si>
    <t>Maheshwari Agency</t>
  </si>
  <si>
    <t>Manoj Gore</t>
  </si>
  <si>
    <t>MEDICAL AIDS TO STAFF</t>
  </si>
  <si>
    <t>Membership &amp; Subscription</t>
  </si>
  <si>
    <t>MOHD. ANISH ABDUL AZIZ</t>
  </si>
  <si>
    <t>NAGPUR AUTO SERVICES</t>
  </si>
  <si>
    <t>Narayan Auto Part Service</t>
  </si>
  <si>
    <t>NARESH CHARDE</t>
  </si>
  <si>
    <t>NAV DURGA BOILER &amp; EQUIPMENTS P. LTD.</t>
  </si>
  <si>
    <t>Nilkanth Nikhare</t>
  </si>
  <si>
    <t>Nitin Thakre</t>
  </si>
  <si>
    <t>Non -Eligible GST (Disallowed)</t>
  </si>
  <si>
    <t>Novelty Stores</t>
  </si>
  <si>
    <t>OFFICE CLEANING CHARGES</t>
  </si>
  <si>
    <t>OFFICE ELECTRICITY CHARGES</t>
  </si>
  <si>
    <t>Office Equipment</t>
  </si>
  <si>
    <t>OFFICE MISC. EXPENSES</t>
  </si>
  <si>
    <t>OFFICE RENT</t>
  </si>
  <si>
    <t>OFFICE TEA &amp; OTHER EXP.</t>
  </si>
  <si>
    <t>OM SAI ENGINEERING</t>
  </si>
  <si>
    <t>ORIGAMI CELLULO PVT.LTD.</t>
  </si>
  <si>
    <t>OSWAL UDHYOG</t>
  </si>
  <si>
    <t>Other Charges : Chemical</t>
  </si>
  <si>
    <t>Other Charges : Chemical (NON-GST)</t>
  </si>
  <si>
    <t>Other Charges : Coal</t>
  </si>
  <si>
    <t>Other Charges : Packing Material</t>
  </si>
  <si>
    <t>Other Import OCC Expenses</t>
  </si>
  <si>
    <t>Other Professional Fees : (AKRG)</t>
  </si>
  <si>
    <t>PACKING CHARGES</t>
  </si>
  <si>
    <t>Packing Material Purchase</t>
  </si>
  <si>
    <t>Paharpur Cooling Towers Limited</t>
  </si>
  <si>
    <t>Payable to Boiler Fireman Charges</t>
  </si>
  <si>
    <t>PAYABLE TO RAW MATERIAL SORTING</t>
  </si>
  <si>
    <t>Payable Waste Paper Feeding Charges</t>
  </si>
  <si>
    <t>PENALTY ON CGST</t>
  </si>
  <si>
    <t>Penalty on Custom Duty</t>
  </si>
  <si>
    <t>PENALTY ON SGST</t>
  </si>
  <si>
    <t>Penalty to Compliance (MSEI)</t>
  </si>
  <si>
    <t>Plant &amp; Machinery</t>
  </si>
  <si>
    <t>Polypick Engineers Pvt. Ltd., Indore</t>
  </si>
  <si>
    <t>POOJA EXPENSES</t>
  </si>
  <si>
    <t>Power &amp; Electricity Payable</t>
  </si>
  <si>
    <t>Prakash Kupale</t>
  </si>
  <si>
    <t>PRANSHU PAPER PVT. LTD.</t>
  </si>
  <si>
    <t>Pratik Enterprises</t>
  </si>
  <si>
    <t>Pre-Operative Expenses on Elect Installation</t>
  </si>
  <si>
    <t>Pre-Operative Exp. on Machinery</t>
  </si>
  <si>
    <t>Pre-Operative (Intt &amp; Other ) Expenses</t>
  </si>
  <si>
    <t>Pre-Operative Travelling Expenses</t>
  </si>
  <si>
    <t>Pre-Paid Renewal &amp; Registration</t>
  </si>
  <si>
    <t>Prior Period Expenses</t>
  </si>
  <si>
    <t>Professional Fees</t>
  </si>
  <si>
    <t>Profit &amp; Loss A/c</t>
  </si>
  <si>
    <t>Profit on Sales Tax Under P.S.I.Scheme</t>
  </si>
  <si>
    <t>PROVIDENT FUND CONTRIBUTION EXP.</t>
  </si>
  <si>
    <t>Provision for Acturial Gratuity</t>
  </si>
  <si>
    <t>Provision for Depreciation Building</t>
  </si>
  <si>
    <t>Provision for Depreciation Computer</t>
  </si>
  <si>
    <t>Provision for Depreciation Electrical Installation</t>
  </si>
  <si>
    <t>Provision for Depreciation Factory Building</t>
  </si>
  <si>
    <t>Provision for Depreciation Furniture &amp; Fixture</t>
  </si>
  <si>
    <t>Provision for Depreciation Office Equipment</t>
  </si>
  <si>
    <t>Provision for Depreciation Plant &amp; Machinery</t>
  </si>
  <si>
    <t>Provision for Depreciation Vehicle</t>
  </si>
  <si>
    <t>Provision for Income Tax (A.Y. 2021-22)</t>
  </si>
  <si>
    <t>Provision For I.T. A.Y, 2005-06</t>
  </si>
  <si>
    <t>Provision for I.T. A.Y. 2008-09</t>
  </si>
  <si>
    <t>Provision for I.T. A.Y, 2013-14</t>
  </si>
  <si>
    <t>Provision for I.T, A.Y.2017-18</t>
  </si>
  <si>
    <t>Provisions for Gratuity Payable</t>
  </si>
  <si>
    <t>PSI Under Sales Tax Deferal Receivable</t>
  </si>
  <si>
    <t>PUNJAB MACHINE TOOLS</t>
  </si>
  <si>
    <t>Purchase Expenses : Chemical</t>
  </si>
  <si>
    <t>Purchase Expenses : Coal</t>
  </si>
  <si>
    <t>PURCHASE  OF HUSK</t>
  </si>
  <si>
    <t>Purchase of Store</t>
  </si>
  <si>
    <t>Raghav Enterprises</t>
  </si>
  <si>
    <t>Rates &amp; Taxes</t>
  </si>
  <si>
    <t>Raw Material Sorting Charges</t>
  </si>
  <si>
    <t>R.C.CORRUPACK PVT. LTD.</t>
  </si>
  <si>
    <t>RCM CGST PAYABLE</t>
  </si>
  <si>
    <t>RCM IGST PAYABLE</t>
  </si>
  <si>
    <t>RCM SGST PAYABLE</t>
  </si>
  <si>
    <t>Remuneration to Directors</t>
  </si>
  <si>
    <t>Renewal &amp; Registration Expenses</t>
  </si>
  <si>
    <t>Repair &amp; Maintenance to Other Assets</t>
  </si>
  <si>
    <t>REPAIR &amp; MAINT. TO BUILDING</t>
  </si>
  <si>
    <t>Revaluation Reserve</t>
  </si>
  <si>
    <t>Rishi Kumar Yadav</t>
  </si>
  <si>
    <t>ROC Filing Charges</t>
  </si>
  <si>
    <t>RoDTEP (Export Incentive Scheme) Claim Receivable</t>
  </si>
  <si>
    <t>ROUNAK STEEL</t>
  </si>
  <si>
    <t>Round Offf</t>
  </si>
  <si>
    <t>R.S. KRAFT PAPERS LTD</t>
  </si>
  <si>
    <t>R.S.KRAFT PAPERS PVT LTD</t>
  </si>
  <si>
    <t>Sachin Dehankar</t>
  </si>
  <si>
    <t>S.A. ENTERPRISES</t>
  </si>
  <si>
    <t>SAFETY PACKAGERS (P) LTD.</t>
  </si>
  <si>
    <t>Saini Transport Co.</t>
  </si>
  <si>
    <t>Salary Payable</t>
  </si>
  <si>
    <t>Salary to Company Secretary</t>
  </si>
  <si>
    <t>Salary to Factory Adm. Staff</t>
  </si>
  <si>
    <t>Salary to Office Staff</t>
  </si>
  <si>
    <t>Salary to Other Factory Staff</t>
  </si>
  <si>
    <t>SALES A/C GST</t>
  </si>
  <si>
    <t>SALES A/C INTERASTATE</t>
  </si>
  <si>
    <t>SALE TRANSIT INSURANCE @0.30%</t>
  </si>
  <si>
    <t>Sanjamkaur Saini</t>
  </si>
  <si>
    <t>SARTAJ MANINDERSINGH SAINI</t>
  </si>
  <si>
    <t>Satish Kalbande</t>
  </si>
  <si>
    <t>SAVITRI ENTERPRISES</t>
  </si>
  <si>
    <t>S.B.I. ( COVID) A/C. 40590939457 (GECL30%) 73 Lakh</t>
  </si>
  <si>
    <t>S.B.I. ( GECL)  Term Loan A/c 39366011281(1.46 Cr)</t>
  </si>
  <si>
    <t>S.B.I. Indl.Fin.Br. Trustee HPML Empl.G.G.Scheme</t>
  </si>
  <si>
    <t>S. B I. TERM LOAN  ( 7.75 Cr) A/c 40667225452</t>
  </si>
  <si>
    <t>Securities Premium (351165@25)</t>
  </si>
  <si>
    <t>Security Service Charges</t>
  </si>
  <si>
    <t>Seema Enterprises [WP]</t>
  </si>
  <si>
    <t>Seion Enterprises</t>
  </si>
  <si>
    <t>SEZ SALE (SPECIAL ECONOMIC ZONE)</t>
  </si>
  <si>
    <t>SGST @9% ON BANK CHARGES</t>
  </si>
  <si>
    <t>SGST @ 9 % on Insurance Policies</t>
  </si>
  <si>
    <t>SGST @ 9 % ON LOCAL WASTE PIPE</t>
  </si>
  <si>
    <t>SGST @ 9% on Packing</t>
  </si>
  <si>
    <t>SGST PAYABLE (F.Y.2021-22)</t>
  </si>
  <si>
    <t>SGST RECEIVABLE (F.Y. 2021-22)</t>
  </si>
  <si>
    <t>Shankar Traders (Sale)</t>
  </si>
  <si>
    <t>Short Paid Ag. Incentive Provision</t>
  </si>
  <si>
    <t>SHREE ENTERPRISES [WP]</t>
  </si>
  <si>
    <t>SHREE FLEX PRINT PVT.LTD.</t>
  </si>
  <si>
    <t>SHREE INDUSTRIES</t>
  </si>
  <si>
    <t>Shri Balaji Tradelink</t>
  </si>
  <si>
    <t>SHRINIWAS ENTERPRISES</t>
  </si>
  <si>
    <t>SHRI RAM PACKERS</t>
  </si>
  <si>
    <t>SHUBHAM ENTERPRISES</t>
  </si>
  <si>
    <t>SHUBHAM ENTERPRISES (SALE)</t>
  </si>
  <si>
    <t>Site Development Expenses (Gardening)</t>
  </si>
  <si>
    <t>SIZE REBATE</t>
  </si>
  <si>
    <t>Snehlata A. Lakhotiya</t>
  </si>
  <si>
    <t>S S Controls</t>
  </si>
  <si>
    <t>Staff Profession Tax Payable</t>
  </si>
  <si>
    <t>Stamp Paper &amp; Notary Charges</t>
  </si>
  <si>
    <t>STATE BANK OF INDIA C.C.,SME Br.</t>
  </si>
  <si>
    <t>State Compensation on Cess</t>
  </si>
  <si>
    <t>STATIONERY &amp; PRINTING CHARGES</t>
  </si>
  <si>
    <t>Statutory Audit Fees (Darak &amp; Asso)</t>
  </si>
  <si>
    <t>Stock Audit Bank Charges</t>
  </si>
  <si>
    <t>Subhash Shirsagar</t>
  </si>
  <si>
    <t>Sudhakar Raut</t>
  </si>
  <si>
    <t>SUMED BORKAR</t>
  </si>
  <si>
    <t>Summit Agencies</t>
  </si>
  <si>
    <t>Sundry Balance W/off</t>
  </si>
  <si>
    <t>Sunil Nagose</t>
  </si>
  <si>
    <t>Sunil Nate</t>
  </si>
  <si>
    <t>Supreme Elmech Pvt. Ltd.</t>
  </si>
  <si>
    <t>Tanisha Resins P. Ltd., Nagpur</t>
  </si>
  <si>
    <t>T C S F.Y. 2020-21</t>
  </si>
  <si>
    <t>T C S F. Y. 2021-22</t>
  </si>
  <si>
    <t>TCS Payable ON SALES ( 6 CR)</t>
  </si>
  <si>
    <t>TDS (A Y 2021-2022)</t>
  </si>
  <si>
    <t>TDS ( A.Y. 2022-23)</t>
  </si>
  <si>
    <t>TDS Payable Dealers Commission</t>
  </si>
  <si>
    <t>TDS PAYABLE ON CONTRACTORS</t>
  </si>
  <si>
    <t>TDS PAYABLE ON INTEREST</t>
  </si>
  <si>
    <t>TDS PAYABLE  ON OFFICE RENT</t>
  </si>
  <si>
    <t>TDS  PAYABLE ON  PROFESSIONAL</t>
  </si>
  <si>
    <t>TDS Payable on Purchase (194Q)</t>
  </si>
  <si>
    <t>TDSPAYABLE ON REMUNERATION</t>
  </si>
  <si>
    <t>TDS Payable on Salary</t>
  </si>
  <si>
    <t>TDS Payable on Transporter</t>
  </si>
  <si>
    <t>Tds Receivable F.Y. 2021-22</t>
  </si>
  <si>
    <t>TELEPHONE CHARGES</t>
  </si>
  <si>
    <t>Telephone Charges Payable</t>
  </si>
  <si>
    <t>Testing &amp; Inspection Fees</t>
  </si>
  <si>
    <t>TRADE DISCOUNT</t>
  </si>
  <si>
    <t>Travelling Expenses</t>
  </si>
  <si>
    <t>UNIPACK</t>
  </si>
  <si>
    <t>UNIPACK (SALE)</t>
  </si>
  <si>
    <t>URD Purchase on Packing Material</t>
  </si>
  <si>
    <t>URD Purchase  on Waste Paper</t>
  </si>
  <si>
    <t>Uttam Shetty &amp; Co</t>
  </si>
  <si>
    <t>Uttej Polymers &amp; Chemicals</t>
  </si>
  <si>
    <t>Vehicle</t>
  </si>
  <si>
    <t>VEHICLE DIESEL EXPENSES</t>
  </si>
  <si>
    <t>Vehicle Repair &amp; Maintenance</t>
  </si>
  <si>
    <t>Vidhanis Tradelink Pvt. Ltd.</t>
  </si>
  <si>
    <t>VIJAY TRADERS WP</t>
  </si>
  <si>
    <t>Vimta Labs Limited</t>
  </si>
  <si>
    <t>WALTER &amp; ASSOCIATES, MUMBAI</t>
  </si>
  <si>
    <t>Waste Desposable Expenses(Plastic Dispose)</t>
  </si>
  <si>
    <t>Waste Paper Feeding  Charges</t>
  </si>
  <si>
    <t>Waste Paper Purchase</t>
  </si>
  <si>
    <t>Western Coal Fields Ltd.</t>
  </si>
  <si>
    <t>W-I-P Building</t>
  </si>
  <si>
    <t>W-I-P ELECTRICAL INSTALLATION</t>
  </si>
  <si>
    <t>W-I-P Plant &amp; Machinery</t>
  </si>
  <si>
    <t>W - I - P Power Plant</t>
  </si>
  <si>
    <t>XEROX CHARGES</t>
  </si>
  <si>
    <t>YASH COMMERCIALS</t>
  </si>
  <si>
    <t>Grand Total</t>
  </si>
  <si>
    <t>PARTICULARS</t>
  </si>
  <si>
    <t>Note</t>
  </si>
  <si>
    <t>BS Main Head</t>
  </si>
  <si>
    <t>BS Sub Head</t>
  </si>
  <si>
    <t>Dr.</t>
  </si>
  <si>
    <t>Adj</t>
  </si>
  <si>
    <t>Cr.</t>
  </si>
  <si>
    <t>FY 2021-2022</t>
  </si>
  <si>
    <t>FY 2020-21</t>
  </si>
  <si>
    <t>Dr. Final 2020-21</t>
  </si>
  <si>
    <t>Cr. 2020-21</t>
  </si>
  <si>
    <t>Cr. Final 2020-21</t>
  </si>
  <si>
    <t>Dr. 2020-21</t>
  </si>
  <si>
    <t>Trade Payables</t>
  </si>
  <si>
    <t>Trade Payables - Others</t>
  </si>
  <si>
    <t>Darak and Associates</t>
  </si>
  <si>
    <t>Visy Recycling Europe Limited</t>
  </si>
  <si>
    <t>IMTRADE PAPER &amp; PLASTICS BV</t>
  </si>
  <si>
    <t>Shepards Shipping Services (India) Pvt. Ltd.</t>
  </si>
  <si>
    <t>Scorpio Systems</t>
  </si>
  <si>
    <t>S. S. Traders</t>
  </si>
  <si>
    <t>Trade Receivables</t>
  </si>
  <si>
    <t>MELOSCH EXPORT GMBH</t>
  </si>
  <si>
    <t>SAVITRI ENTERPRISES (WP)</t>
  </si>
  <si>
    <t>NIRAJ ENGINEERING CO.PVT.LTD..,</t>
  </si>
  <si>
    <t>Dhruti P. Modi</t>
  </si>
  <si>
    <t>Rama Consultancy Services</t>
  </si>
  <si>
    <t>Aditya Freight Carriers</t>
  </si>
  <si>
    <t>Apex Automation &amp; Security Systems</t>
  </si>
  <si>
    <t>Aayush Chem</t>
  </si>
  <si>
    <t>B P &amp; Company</t>
  </si>
  <si>
    <t>Khemka Motors</t>
  </si>
  <si>
    <t>SBR Steels Pvt. Ltd.,Aurangabad</t>
  </si>
  <si>
    <t>McSparr Test Systems &amp; Chemicals Pvt. Ltd.</t>
  </si>
  <si>
    <t>Cardan India</t>
  </si>
  <si>
    <t>CENTRAL SCIENTIFIC CO.</t>
  </si>
  <si>
    <t>Advance Income Tax (A.Y. 2019-20)</t>
  </si>
  <si>
    <t>Long Term Loans &amp; Advances</t>
  </si>
  <si>
    <t>Advance Income Tax</t>
  </si>
  <si>
    <t>Advance Income Tax (A.Y. 2020-21)</t>
  </si>
  <si>
    <t>Akhilesh Automobiles</t>
  </si>
  <si>
    <t>Align Components (P) Ltd.,</t>
  </si>
  <si>
    <t>ALLIANCE INTERNATIONAL DWC-LLC</t>
  </si>
  <si>
    <t>Advance to Suppliers</t>
  </si>
  <si>
    <t>SRUSHTI SEVA PRIVATE LIMITED</t>
  </si>
  <si>
    <t>Advance Ag, Clearing-Frwd :OCC</t>
  </si>
  <si>
    <t>Ambuja Cements Ltd.</t>
  </si>
  <si>
    <t>Ramrao Nagose</t>
  </si>
  <si>
    <t>Loans and Advances to Employees</t>
  </si>
  <si>
    <t>Vinod Samdurkar</t>
  </si>
  <si>
    <t>Amol Kakade</t>
  </si>
  <si>
    <t>Naresh Erpate</t>
  </si>
  <si>
    <t>Amil Warthi</t>
  </si>
  <si>
    <t>Rahul Bagde</t>
  </si>
  <si>
    <t>CANUSA HERSHMAN RECYCLING CO.</t>
  </si>
  <si>
    <t>Cellmark Netherlands B.V.</t>
  </si>
  <si>
    <t>Amruta Enterprises, Nagpur</t>
  </si>
  <si>
    <t>ANAMIKA TRADERS</t>
  </si>
  <si>
    <t>KEDAR PAPER CONVERSIONS (--36ADFPK0203M1ZT)</t>
  </si>
  <si>
    <t>CHANDRA SALES CORPORATION(SALE) (--27ADQPA0441E1Z0)</t>
  </si>
  <si>
    <t>YONGJIN CORPORATION</t>
  </si>
  <si>
    <t>SHREE RAJENDRA CASH COMPANY</t>
  </si>
  <si>
    <t>UNIVERSAL INFRA &amp; AGRI OILS PVT.LTD</t>
  </si>
  <si>
    <t>MANGAL  PAPERS</t>
  </si>
  <si>
    <t>DIVYA SALES CORPORATION</t>
  </si>
  <si>
    <t>Sri Shiv Sai Transport Co.</t>
  </si>
  <si>
    <t>MAHENDRA PRINTING PRESS</t>
  </si>
  <si>
    <t>Agrawal Fasteners</t>
  </si>
  <si>
    <t>Althem Engineers P. Ltd.</t>
  </si>
  <si>
    <t>R. Cargo , Bhandara</t>
  </si>
  <si>
    <t>Sai Prabha Traders</t>
  </si>
  <si>
    <t>Anilkumar M. Lakhotiya (Loan A/C)</t>
  </si>
  <si>
    <t>Long Term Borrowings</t>
  </si>
  <si>
    <t>Unsecured-From Related Party</t>
  </si>
  <si>
    <t>ANISH INDUSTRIES</t>
  </si>
  <si>
    <t>Ankur Seeds Pvt. Ltd., Nagpur</t>
  </si>
  <si>
    <t>Loss on Discardment of F A</t>
  </si>
  <si>
    <t>Loss on Sale of PL &amp; Mc</t>
  </si>
  <si>
    <t>Site Development Expenses</t>
  </si>
  <si>
    <t>Anurag Steel</t>
  </si>
  <si>
    <t>Other Current Liabilities</t>
  </si>
  <si>
    <t>Trade Payables for capital goods</t>
  </si>
  <si>
    <t>Industrial Boilers Limited, Vapi</t>
  </si>
  <si>
    <t>ISHAN PARYAVARAN (P) LTD.,</t>
  </si>
  <si>
    <t>ARIHANT ENTERPRISES</t>
  </si>
  <si>
    <t>ARIHANT ENTERPRISES (KEDAR)</t>
  </si>
  <si>
    <t>Arkil Chem P. Ltd.</t>
  </si>
  <si>
    <t>Aru Technocratics</t>
  </si>
  <si>
    <t>Assessment Refund</t>
  </si>
  <si>
    <t>Other Income</t>
  </si>
  <si>
    <t>Atul V Hurkat HUF</t>
  </si>
  <si>
    <t>Audit Expenses : (Sales Tax )</t>
  </si>
  <si>
    <t>Audit Expenses (Walter)</t>
  </si>
  <si>
    <t>Audit Expenses : (Excise)</t>
  </si>
  <si>
    <t>Jaikay International</t>
  </si>
  <si>
    <t>Baburao Kendre</t>
  </si>
  <si>
    <t>Jai Durga Construction</t>
  </si>
  <si>
    <t>Jain Acids &amp; Chemicals</t>
  </si>
  <si>
    <t>MEGA TECHNO SERVICES, NAGPUR</t>
  </si>
  <si>
    <t>Continental Belting Pvt. Ltd.</t>
  </si>
  <si>
    <t>M. H. Industries</t>
  </si>
  <si>
    <t>KOTHARI ASSOCIATES</t>
  </si>
  <si>
    <t>Other Sales</t>
  </si>
  <si>
    <t>Scrape Sale</t>
  </si>
  <si>
    <t>Premier India Enterprises</t>
  </si>
  <si>
    <t>Palak Gen Trade LLP</t>
  </si>
  <si>
    <t>Commission on Export</t>
  </si>
  <si>
    <t>Finance Costs</t>
  </si>
  <si>
    <t>Other Borrowing Costs</t>
  </si>
  <si>
    <t>Bank Loan Processing Fees</t>
  </si>
  <si>
    <t>Batish Chemicals I India Pvt.Ltd.</t>
  </si>
  <si>
    <t>Best Engineering Works Regd. Punjab</t>
  </si>
  <si>
    <t>BHARADWAJ PACKAGING PVT. LTD.</t>
  </si>
  <si>
    <t>VEDANT PACKERS PVT.LTD.</t>
  </si>
  <si>
    <t>VISHWA KUTUMB PVT.LTD.</t>
  </si>
  <si>
    <t>SAMRAT PACKAGING</t>
  </si>
  <si>
    <t>SAMPAC</t>
  </si>
  <si>
    <t>Custom Duty on Machinery</t>
  </si>
  <si>
    <t>Books News Paper &amp; Perodicals</t>
  </si>
  <si>
    <t>Building</t>
  </si>
  <si>
    <t>Tangible Asset</t>
  </si>
  <si>
    <t>Foreign Exchange Fluctuation on Fixed Assets</t>
  </si>
  <si>
    <t>Reserves &amp; Surplus</t>
  </si>
  <si>
    <t>Capital Reserve</t>
  </si>
  <si>
    <t>Carriage Inward (Sale)</t>
  </si>
  <si>
    <t>Interest on Innova Veh.Loan Axix Bank</t>
  </si>
  <si>
    <t>Cash</t>
  </si>
  <si>
    <t>Cash On Hand</t>
  </si>
  <si>
    <t>CGST @ 9% ON OTHER PURCHASE</t>
  </si>
  <si>
    <t>GST</t>
  </si>
  <si>
    <t>SGST @ 2.5 % on Chemical</t>
  </si>
  <si>
    <t>CGST @ 2.5% on Chemical</t>
  </si>
  <si>
    <t>CGST @ 14% on Other Purchase</t>
  </si>
  <si>
    <t>CGST  @ 2.5% on Coal Purchase</t>
  </si>
  <si>
    <t>CGST @ 2.5 % on Packing Material</t>
  </si>
  <si>
    <t>CGST @ 2.5% ON WASTE PAPER</t>
  </si>
  <si>
    <t>CGST @ 6 % ON Chemical</t>
  </si>
  <si>
    <t>CGST @ 6 % ON OTHER PURCHASE</t>
  </si>
  <si>
    <t>CGST @ 6 % SALES</t>
  </si>
  <si>
    <t>CGST @ 9%  on Chemical Purchase</t>
  </si>
  <si>
    <t>CGST @ 9 % ON COMMISSION</t>
  </si>
  <si>
    <t>Cgst @9% on Export Expenses</t>
  </si>
  <si>
    <t>CGST @ 9% on Telephone Charges</t>
  </si>
  <si>
    <t>CGST @ 9% on Transport</t>
  </si>
  <si>
    <t>CGST @9% on Other Sales</t>
  </si>
  <si>
    <t>SGST @ 2.5% on Other Purchase</t>
  </si>
  <si>
    <t>SGST @14 % on Other Purchase</t>
  </si>
  <si>
    <t>SGST  @ 2.5% on Coal Purchase</t>
  </si>
  <si>
    <t>SGST @ 2.5 % on Packing Material</t>
  </si>
  <si>
    <t>SGST @ 2.5% ON WASTE PAPER</t>
  </si>
  <si>
    <t>SGST @ 6 % ON Chemical</t>
  </si>
  <si>
    <t>SGST @ 6% ON OTHER PURCHASE</t>
  </si>
  <si>
    <t>SGST @  6% SALES</t>
  </si>
  <si>
    <t>SGST @ 9% on Chemical Purchase</t>
  </si>
  <si>
    <t>SGST @ 9% ON COMMISSION</t>
  </si>
  <si>
    <t>Sgst @9% on Export Expenses</t>
  </si>
  <si>
    <t>SGST @ 9% on Telephone Charges</t>
  </si>
  <si>
    <t>SGST @ 9% on Transport</t>
  </si>
  <si>
    <t>CGST @ 2.5 % on Other Purchase</t>
  </si>
  <si>
    <t>SGST @9% ON OTHER SALES</t>
  </si>
  <si>
    <t>CGST Payable ( F. Y. 2018-19)</t>
  </si>
  <si>
    <t>CGST Payable ( F.Y. 2017-18)</t>
  </si>
  <si>
    <t>CGST PAYABLE ( F.Y. 2019-20)</t>
  </si>
  <si>
    <t>CGST RECEIVABLE F.Y. 2020-21</t>
  </si>
  <si>
    <t>CGST Payable ( F.Y. 2019-20 )</t>
  </si>
  <si>
    <t>CHACHA GOODS CARRIERS</t>
  </si>
  <si>
    <t>Chandak Nursing Home</t>
  </si>
  <si>
    <t>CHANDRA COAL PVT. LTD. (SALE)</t>
  </si>
  <si>
    <t>CHANDRA COAL PVT.LTD.</t>
  </si>
  <si>
    <t>CHANDRA SALES CORPORATION [ WP]</t>
  </si>
  <si>
    <t>Chandrashekhar Balki</t>
  </si>
  <si>
    <t>Raw Material Consumed</t>
  </si>
  <si>
    <t>Raw Material Purchase</t>
  </si>
  <si>
    <t>Chowdhary Packagers</t>
  </si>
  <si>
    <t>CIPARO B.V.</t>
  </si>
  <si>
    <t>Clearing &amp; Fwd. Chgs.On Import M/C</t>
  </si>
  <si>
    <t>Coal Liasioning Charges</t>
  </si>
  <si>
    <t>COMMISSION ON SALES (HSN/SAC : 9961)</t>
  </si>
  <si>
    <t>Commission On Sales Account</t>
  </si>
  <si>
    <t>CONTAINER CORPORATION OF INDIA LTD</t>
  </si>
  <si>
    <t>Statutory Dues</t>
  </si>
  <si>
    <t>Contribution To P.F. Payable</t>
  </si>
  <si>
    <t>Conveyance Expenses</t>
  </si>
  <si>
    <t>Conveyance To Directors</t>
  </si>
  <si>
    <t>Courier &amp; Postage Charges</t>
  </si>
  <si>
    <t>Credit Not Availed Ag.GST (F.Y. 18-19)</t>
  </si>
  <si>
    <t>CSR Expenses</t>
  </si>
  <si>
    <t>CST Payable  (F.Y. 2016- 17 )</t>
  </si>
  <si>
    <t>Balance with Government Authorities</t>
  </si>
  <si>
    <t>Cst Tax Expenses</t>
  </si>
  <si>
    <t>Dandong Shengxing Paper Machinery, China</t>
  </si>
  <si>
    <t>Deekay &amp; Company</t>
  </si>
  <si>
    <t>DEEP SALES CORPORATION</t>
  </si>
  <si>
    <t xml:space="preserve">Deferred Tax Liabilities </t>
  </si>
  <si>
    <t>Deferred Tax Liability</t>
  </si>
  <si>
    <t>Deposit for  COAL to MSMC</t>
  </si>
  <si>
    <t>Other Current Assets</t>
  </si>
  <si>
    <t>Deposits</t>
  </si>
  <si>
    <t>Long Term Deposits</t>
  </si>
  <si>
    <t>DEPOSIT FOR SBI  BG 3,90,000 [ TDR. 37091487639]</t>
  </si>
  <si>
    <t>Other Financial Assets</t>
  </si>
  <si>
    <t>Balance with Bank in Deposit Accounts</t>
  </si>
  <si>
    <t>Deposits For Office Premises</t>
  </si>
  <si>
    <t>Deposits For Telephone</t>
  </si>
  <si>
    <t>Short Term Provision</t>
  </si>
  <si>
    <t>Provision for Employee Benefit</t>
  </si>
  <si>
    <t>Deposits with S.B.I. for LC Margin Rs.3,75,000/-</t>
  </si>
  <si>
    <t>Depreciation &amp; Amortisation</t>
  </si>
  <si>
    <t>Depreciation</t>
  </si>
  <si>
    <t>Depreciation On Building</t>
  </si>
  <si>
    <t>Depreciation On Computer</t>
  </si>
  <si>
    <t>Depreciation On Plant &amp; Machinery</t>
  </si>
  <si>
    <t>DEV CHEMICAL</t>
  </si>
  <si>
    <t>Dhanraj Raut</t>
  </si>
  <si>
    <t>CHANDRASHEKHAR JAPULKAR</t>
  </si>
  <si>
    <t>Diksha Dharme</t>
  </si>
  <si>
    <t>Dhawal Dinesh Kawade</t>
  </si>
  <si>
    <t>Employee Benefit Expenses</t>
  </si>
  <si>
    <t>Salary &amp; Wages</t>
  </si>
  <si>
    <t>Revenue From Operations</t>
  </si>
  <si>
    <t>Sale of Goods - Manufacturing Sales</t>
  </si>
  <si>
    <t>Direct Export Sales</t>
  </si>
  <si>
    <t>Dividend Payable</t>
  </si>
  <si>
    <t>Payable to Investor education &amp; Protection Fund</t>
  </si>
  <si>
    <t>Donation</t>
  </si>
  <si>
    <t>Drashta Power Consultants Pvt. Ltd.</t>
  </si>
  <si>
    <t>Dyaneshwer Sarode</t>
  </si>
  <si>
    <t>ECONOMIC PACKAGING CORPORATION</t>
  </si>
  <si>
    <t>Share Capital</t>
  </si>
  <si>
    <t>Issued, Subscribed &amp; Paid Up</t>
  </si>
  <si>
    <t>Contribution to Funds</t>
  </si>
  <si>
    <t>E-TDS Filing Charges</t>
  </si>
  <si>
    <t>Ex Gratia Payment</t>
  </si>
  <si>
    <t>Excise Aud Para Expenses</t>
  </si>
  <si>
    <t>Fees To Registrar</t>
  </si>
  <si>
    <t>Finished Goods Expenses</t>
  </si>
  <si>
    <t>Finished Goods Packing &amp; Allied Payable</t>
  </si>
  <si>
    <t>First Flight Couriers Ltd.</t>
  </si>
  <si>
    <t>Flexible Abrasives Pvt.Ltd., Ar'bad</t>
  </si>
  <si>
    <t>For B G Rs.58000/- (AC 325726636355)</t>
  </si>
  <si>
    <t>For BG 350000 for WCL :A/c 34928264708</t>
  </si>
  <si>
    <t>Foreign Exchange Fluctuation Gain on RM</t>
  </si>
  <si>
    <t>Franking Charges Payable Ag Import OCC</t>
  </si>
  <si>
    <t>FREIGHT ( SALES)</t>
  </si>
  <si>
    <t>Ganga Iron &amp; Steel Trading Co.Ltd.</t>
  </si>
  <si>
    <t>Ganpat Steel Industries</t>
  </si>
  <si>
    <t>General Reserve</t>
  </si>
  <si>
    <t>Globe Engineering Company</t>
  </si>
  <si>
    <t>Gratuity To Staff</t>
  </si>
  <si>
    <t>Green Agro Industries</t>
  </si>
  <si>
    <t>Haitek Industrial Fabrics Pvt. Ltd., Haryana</t>
  </si>
  <si>
    <t>GST Annual Filing Chgs. FY 17-18</t>
  </si>
  <si>
    <t>GST Audit Fees</t>
  </si>
  <si>
    <t>GST Audit</t>
  </si>
  <si>
    <t>GST Audit Fees A. Y. 2019-2020</t>
  </si>
  <si>
    <t>GST Audit Fees F.Y.2018-19</t>
  </si>
  <si>
    <t>GST Audit Fees (Shah Baheti Chandak)</t>
  </si>
  <si>
    <t>GST Audit Fees Payable</t>
  </si>
  <si>
    <t>Gujrat Ambuja Exports Ltd.,</t>
  </si>
  <si>
    <t>Gupta Machinery Stores, Nagpur</t>
  </si>
  <si>
    <t>Hemant Mahure</t>
  </si>
  <si>
    <t>HORIZON PACKS PVT. LTD.</t>
  </si>
  <si>
    <t>SHIVA PACKAGING INDUSTRIES</t>
  </si>
  <si>
    <t>HORIZON PACKS PVT.LTD.(KHAMGAON)</t>
  </si>
  <si>
    <t>IGST Payable ( F. Y. 2018-19)</t>
  </si>
  <si>
    <t>IGST @12 % on Other Purchase</t>
  </si>
  <si>
    <t>IGST @12% on Transport</t>
  </si>
  <si>
    <t>IGST @ 12 % SALES</t>
  </si>
  <si>
    <t>IGST @ 18% on Chemical</t>
  </si>
  <si>
    <t>IGST @ 18%  on Other Purchase</t>
  </si>
  <si>
    <t>IGST @ 18 % On Packing Purchase</t>
  </si>
  <si>
    <t>IGST @5 % ON IMPORT Occ</t>
  </si>
  <si>
    <t>IGST @ 5% on Waste Paper</t>
  </si>
  <si>
    <t>IGST Payable ( F. Y. 2019-20 )</t>
  </si>
  <si>
    <t>IGST Receivable F.Y. 2020-21</t>
  </si>
  <si>
    <t>IGST Payable (F.Y. 2017-18)</t>
  </si>
  <si>
    <t>IKP Industries Pvt. Ltd.</t>
  </si>
  <si>
    <t>Indocast Industries</t>
  </si>
  <si>
    <t>INDRAYANI PAPER PORD. PVT. LTD.</t>
  </si>
  <si>
    <t>Innovative Solutions &amp; System</t>
  </si>
  <si>
    <t>Insurance Charges For Marine</t>
  </si>
  <si>
    <t>Insurance Charges for Marine Export</t>
  </si>
  <si>
    <t>Insurance Charges To Other</t>
  </si>
  <si>
    <t>Insurance claim Receivable</t>
  </si>
  <si>
    <t>Prepaid Expenses</t>
  </si>
  <si>
    <t>Interest Received</t>
  </si>
  <si>
    <t>Purchase Compensation</t>
  </si>
  <si>
    <t>Provision of Earlier Year</t>
  </si>
  <si>
    <t>Interest  on Excise Duty</t>
  </si>
  <si>
    <t>Interest Accured On Deposit</t>
  </si>
  <si>
    <t>Interest for Car Loan to Sundaram Finance</t>
  </si>
  <si>
    <t>Interest Expenses</t>
  </si>
  <si>
    <t>Interest For Forklift to Sundaram Finance</t>
  </si>
  <si>
    <t>Interest For Tractor to Sundaram Finance</t>
  </si>
  <si>
    <t>GST  Paid Expenses</t>
  </si>
  <si>
    <t>Interest on Provident Fund</t>
  </si>
  <si>
    <t>Interest On Sales Tax</t>
  </si>
  <si>
    <t>Interest On Tds</t>
  </si>
  <si>
    <t>Interest on VAT A.Y. 14-15</t>
  </si>
  <si>
    <t>Interest on Vat F.Y. 2015-16</t>
  </si>
  <si>
    <t>Interest Payable</t>
  </si>
  <si>
    <t>Interest To Bank</t>
  </si>
  <si>
    <t>Interest to Bank on T/L (1.5 Cr.).....3547</t>
  </si>
  <si>
    <t>Interest to Bank on T/L (4 Cr.)....80072</t>
  </si>
  <si>
    <t>Interest To Others</t>
  </si>
  <si>
    <t>INTRATECH</t>
  </si>
  <si>
    <t>J.S.M. Marketing, Nagpur</t>
  </si>
  <si>
    <t>SHREE ENTERPRISES [ URD]</t>
  </si>
  <si>
    <t>JAGPIN BREWERIES LTD.</t>
  </si>
  <si>
    <t>JAI MAHALAXMI ENTERPRISES</t>
  </si>
  <si>
    <t>Jai Mata Di Waste Paper</t>
  </si>
  <si>
    <t>Jainam Multi-Product (India) Pvt Ltd</t>
  </si>
  <si>
    <t>JANAKSONS &amp; COMPANY</t>
  </si>
  <si>
    <t>Span Communications</t>
  </si>
  <si>
    <t>JB Lightings</t>
  </si>
  <si>
    <t>Jenson International</t>
  </si>
  <si>
    <t>Jenson Trading Corporation</t>
  </si>
  <si>
    <t>JIGAR TRADING COMPANY</t>
  </si>
  <si>
    <t>JINDAL MEDICOSE, NAGPUR</t>
  </si>
  <si>
    <t>Jus Enterprises</t>
  </si>
  <si>
    <t>L. A. Trading Company</t>
  </si>
  <si>
    <t>LAKHOTIYA TRADERS PVT. LTD.</t>
  </si>
  <si>
    <t>TAWAKKAL SCRAP</t>
  </si>
  <si>
    <t>Lark Dyechem</t>
  </si>
  <si>
    <t>Lc Charges</t>
  </si>
  <si>
    <t>Lusha Print N Pack</t>
  </si>
  <si>
    <t>Machinery Repair &amp; Maint To Electrical</t>
  </si>
  <si>
    <t>Mahalaxmi Fire Services, Nagpur</t>
  </si>
  <si>
    <t>Makharia Machineries Pvt. Ltd.</t>
  </si>
  <si>
    <t>Manish Computer</t>
  </si>
  <si>
    <t>Manohar Rewatkar</t>
  </si>
  <si>
    <t>MAT Credit Entitlement (A.Y. 14-15)</t>
  </si>
  <si>
    <t>MAT Credit Entitlement</t>
  </si>
  <si>
    <t>Mat Credit Entitlement (A.Y. 2012-13)</t>
  </si>
  <si>
    <t>MAT Credit Entitlement A.Y. 15-16</t>
  </si>
  <si>
    <t>Mat Credit Entitlement A.Y.2018-19</t>
  </si>
  <si>
    <t>MAT Credit Entitlement A.Y. 2019-2020</t>
  </si>
  <si>
    <t>MAT Utilised (A.Y.13-14)</t>
  </si>
  <si>
    <t>MCS Share Tranfer Agent Limited</t>
  </si>
  <si>
    <t>Medical Aids To Staff</t>
  </si>
  <si>
    <t>Staff Welfare Expenses</t>
  </si>
  <si>
    <t>Metropolitan Stock Exchange of India(MSEI)</t>
  </si>
  <si>
    <t>Mohd. Anish Abdul Aziz</t>
  </si>
  <si>
    <t>MOHIT PAPER PACKAGING INDUSTRY</t>
  </si>
  <si>
    <t>MSC Agency (India) Pvt. Ltd.</t>
  </si>
  <si>
    <t>MSC Mediterranean Shipping Company S.A.</t>
  </si>
  <si>
    <t>Nagpur Telangana Roadways</t>
  </si>
  <si>
    <t>Narayan Prasad Warthi</t>
  </si>
  <si>
    <t>NEWPORT CH INTERNATIONAL LLC</t>
  </si>
  <si>
    <t>NINGBO KIN-LINK FRICTION CO. LTD.(Export)</t>
  </si>
  <si>
    <t>Niraj Engineering Co. Pvt. Ltd</t>
  </si>
  <si>
    <t>Niranjan Koche</t>
  </si>
  <si>
    <t>Non Receivable GST Prior Expenses</t>
  </si>
  <si>
    <t>Non-Receivable Excise Expenses</t>
  </si>
  <si>
    <t>Office Cleaning Charges</t>
  </si>
  <si>
    <t>Office Electricity Charges</t>
  </si>
  <si>
    <t>Office Electricity Payable</t>
  </si>
  <si>
    <t>Office Misc. Expenses</t>
  </si>
  <si>
    <t>Office Rent</t>
  </si>
  <si>
    <t>Office Tea &amp; Other Exp.</t>
  </si>
  <si>
    <t>opening stock</t>
  </si>
  <si>
    <t>ORIENTAL TRADING COMPANY</t>
  </si>
  <si>
    <t>Other Charges : M/c Repair &amp; Maint.</t>
  </si>
  <si>
    <t>Other Charges : Packing (Non-GST)</t>
  </si>
  <si>
    <t>Other Charges :- Repair &amp; Maint Building</t>
  </si>
  <si>
    <t>Other Charges : Vehicle Repair &amp; Maint.</t>
  </si>
  <si>
    <t>Other Professional Fees (Darak)</t>
  </si>
  <si>
    <t>Other Professional Fees : (Shah Baheti)</t>
  </si>
  <si>
    <t>Other Professional Fees : (Walter)</t>
  </si>
  <si>
    <t>PACKSAFE</t>
  </si>
  <si>
    <t>PANCHSHEEL TRADING CORPN., NAGPUR</t>
  </si>
  <si>
    <t>Payable To Raw Material Sorting</t>
  </si>
  <si>
    <t>Penalty on Excise Duty</t>
  </si>
  <si>
    <t>Pooja Atul Hurkat</t>
  </si>
  <si>
    <t>Pooja Expenses</t>
  </si>
  <si>
    <t>Power Incentive Received</t>
  </si>
  <si>
    <t>PR GLOBAL RESOURCES INDIA PRIVATE  LIMITED</t>
  </si>
  <si>
    <t>Pragathi Bearing Company</t>
  </si>
  <si>
    <t>Prakash Chaple</t>
  </si>
  <si>
    <t>Prayag Industries</t>
  </si>
  <si>
    <t>Premier India Road Service, Nagpur</t>
  </si>
  <si>
    <t>Interest Receivable</t>
  </si>
  <si>
    <t>PRIYANKA TECHNOPACK PVT. LTD.</t>
  </si>
  <si>
    <t>Professional Tax</t>
  </si>
  <si>
    <t>Profit &amp; Loss A/C</t>
  </si>
  <si>
    <t>Surplus</t>
  </si>
  <si>
    <t>Profit on Sale of Asset</t>
  </si>
  <si>
    <t>Provident Fund Contribution Exp.</t>
  </si>
  <si>
    <t>Tangible Asset - PFD</t>
  </si>
  <si>
    <t>Provision For Depreciation Computer</t>
  </si>
  <si>
    <t>Provision For Depreciation Electrical Installation</t>
  </si>
  <si>
    <t>Provision For Depreciation Furniture &amp; Fixture</t>
  </si>
  <si>
    <t>Provision For Depreciation Office Equipment</t>
  </si>
  <si>
    <t>Provision For Depreciation Plant &amp; Machinery</t>
  </si>
  <si>
    <t>Provision For Depreciation Vehicle</t>
  </si>
  <si>
    <t>Interest on I.T. Refund A.Y. 2020-21</t>
  </si>
  <si>
    <t>Income Tax Receivable AY 2020-21</t>
  </si>
  <si>
    <t>Provision for Income Tax (A.Y.2019-20)</t>
  </si>
  <si>
    <t>Remuneration Payable</t>
  </si>
  <si>
    <t>Provisions For Gratuity Payable</t>
  </si>
  <si>
    <t>CSR Expenses payable</t>
  </si>
  <si>
    <t>CSR Expenses  Payable</t>
  </si>
  <si>
    <t>Punamchand &amp; Sons ( Jaliwala)</t>
  </si>
  <si>
    <t>Punjab Machine Tools</t>
  </si>
  <si>
    <t>Purchase Expenses : Occ</t>
  </si>
  <si>
    <t>Purchase Expenses : Packing Material</t>
  </si>
  <si>
    <t>Purchase Expenses : Waste Paper</t>
  </si>
  <si>
    <t>Purchase Import in Transit</t>
  </si>
  <si>
    <t>Purchase Of Store</t>
  </si>
  <si>
    <t>R &amp; Y LOGISTICS PVT. LTD</t>
  </si>
  <si>
    <t>R. R. Controls</t>
  </si>
  <si>
    <t>R.A. KRAFT PAPERS LIMITED,</t>
  </si>
  <si>
    <t>R.S. Kraft Papers Ltd</t>
  </si>
  <si>
    <t>Raghuvir Parmar</t>
  </si>
  <si>
    <t>Rajesh Gas Agencies</t>
  </si>
  <si>
    <t>RAMKRISHNA PAPER MART</t>
  </si>
  <si>
    <t>Rate Difference : Coal Purchase</t>
  </si>
  <si>
    <t>Ravi Trading Company</t>
  </si>
  <si>
    <t>Ravindra Kumbhare</t>
  </si>
  <si>
    <t>RCM on IGST  (Inward Supply)</t>
  </si>
  <si>
    <t>INPUT RCM ON CGST</t>
  </si>
  <si>
    <t>INPUT RCM on IGST</t>
  </si>
  <si>
    <t>CGST @ 9% on OCC Expenses</t>
  </si>
  <si>
    <t>INPUT RCM ON SGST</t>
  </si>
  <si>
    <t>SGST @ 9% on OCC Expenses</t>
  </si>
  <si>
    <t>Relief Lab Pvt. Ltd.</t>
  </si>
  <si>
    <t>KAILASH CHAND AGRAWAL(REMUNERATION)</t>
  </si>
  <si>
    <t>Remuneration To Directors</t>
  </si>
  <si>
    <t>Repair &amp; Maint. To Building</t>
  </si>
  <si>
    <t>S.B.I. Dividend A/c 2011-12 [ A/C.NO. 32572411218]</t>
  </si>
  <si>
    <t>Balance With Bank - Other Bank Balance</t>
  </si>
  <si>
    <t>Balance With Bank - Current A/c</t>
  </si>
  <si>
    <t>S.B.I. Term Loan ( 2 Cr) No. 35531440563</t>
  </si>
  <si>
    <t>Secured - From Banks - Term Loan</t>
  </si>
  <si>
    <t>S.B.I. Term Loan A/c (033517180072)  4 Cr</t>
  </si>
  <si>
    <t>S.B.I. Term Loan Additional (A/cNo.35294966669) 1.5</t>
  </si>
  <si>
    <t>S.B.I. Term Loan New A/c (34484493547) 1.5 Cr</t>
  </si>
  <si>
    <t>S.K.Gupta (P) Ltd,Nagpur</t>
  </si>
  <si>
    <t>Safety Packagers (P) Ltd.</t>
  </si>
  <si>
    <t>Safexpress Pvt. Ltd.</t>
  </si>
  <si>
    <t>Employee Payables</t>
  </si>
  <si>
    <t>Salary to G M (Gaurav Lakhotiya)</t>
  </si>
  <si>
    <t>Salary To Factory Adm. Staff</t>
  </si>
  <si>
    <t>Salary To Office Staff</t>
  </si>
  <si>
    <t>Salary To Other Factory Staff</t>
  </si>
  <si>
    <t>Sale Transit Insurance @0.30%</t>
  </si>
  <si>
    <t>Sales Return Account (GST Sales)</t>
  </si>
  <si>
    <t>SALES TAX ASSESSMENT 2012-13</t>
  </si>
  <si>
    <t>Sanjay Fulzele</t>
  </si>
  <si>
    <t>Sanjay Tiwari</t>
  </si>
  <si>
    <t>Saraswati General Stores, Nagpur</t>
  </si>
  <si>
    <t>Sartaj Manindersingh Saini</t>
  </si>
  <si>
    <t>Saurashtra Marketing Corporation</t>
  </si>
  <si>
    <t>Securities Premium</t>
  </si>
  <si>
    <t>SGST @ 9% ON OTHER PURCHASE</t>
  </si>
  <si>
    <t>SGST Payable ( F. Y. 2018-19)</t>
  </si>
  <si>
    <t>SGST Payable ( F. Y. 2019-20 )</t>
  </si>
  <si>
    <t>SGST PAYABLE (F.Y. 2017-18)</t>
  </si>
  <si>
    <t>Shah Baheti Chandak &amp; Co.</t>
  </si>
  <si>
    <t>Shahnawaj Khan</t>
  </si>
  <si>
    <t>Shalimar Wire Industries Limited</t>
  </si>
  <si>
    <t>Shankar Trading Company</t>
  </si>
  <si>
    <t>SHARADCHANDRA P. SHAH AGENCY PVT. LTD. , MUMBAI</t>
  </si>
  <si>
    <t>SHARP GRAPHICS</t>
  </si>
  <si>
    <t>Shiba Sambhu Traders Odisha</t>
  </si>
  <si>
    <t>SHIVAM TRADERS, NAGPUR</t>
  </si>
  <si>
    <t>Short Provision Against Insu. Claim</t>
  </si>
  <si>
    <t>Short Provision of Incentive/Bonus</t>
  </si>
  <si>
    <t>Shree Trade Links (Pkg)</t>
  </si>
  <si>
    <t>SHRI SIDDHIVINAYAKA ENTERPRISES(Comm)</t>
  </si>
  <si>
    <t>Shriram Packers</t>
  </si>
  <si>
    <t>SHUBH PACK</t>
  </si>
  <si>
    <t>Somani Packers</t>
  </si>
  <si>
    <t>SREERAM PACKING INDUSTRIES</t>
  </si>
  <si>
    <t>State Bank Of India C.C.,Sme Br.</t>
  </si>
  <si>
    <t>Short Term Borrowings</t>
  </si>
  <si>
    <t>Secured - From Banks - Working Capital Loan</t>
  </si>
  <si>
    <t>Stationery &amp; Printing Charges</t>
  </si>
  <si>
    <t>Sumed Borkar</t>
  </si>
  <si>
    <t>SUNDARAM FINANCE LTD : N006700059(CAR Loan)</t>
  </si>
  <si>
    <t>Secured - From Other - Term Loan</t>
  </si>
  <si>
    <t>SUNDARAM FINANCE LTD :N006700064 (ForkLift)</t>
  </si>
  <si>
    <t>SUNDARAM FINANCE LTD :N036300010 (Tractor)</t>
  </si>
  <si>
    <t>SUNDER NAMKEEN</t>
  </si>
  <si>
    <t>Sundry Balance W/Off</t>
  </si>
  <si>
    <t>Sunil Enterprises (SALE)</t>
  </si>
  <si>
    <t>Suryakant Sadawarti</t>
  </si>
  <si>
    <t>SWASTIK PAPER BOX</t>
  </si>
  <si>
    <t>TDS  (A. Y. 2019-20)</t>
  </si>
  <si>
    <t>Tds  Payable On  Professional</t>
  </si>
  <si>
    <t>TDS (A. Y. 2020-21)</t>
  </si>
  <si>
    <t>T.C.S. (A.Y.2020-21)</t>
  </si>
  <si>
    <t>TCS on  CHEMICAL</t>
  </si>
  <si>
    <t>TCS ON WP</t>
  </si>
  <si>
    <t>TDS Excess Paid</t>
  </si>
  <si>
    <t>TDS Excess Paid FY 15-16</t>
  </si>
  <si>
    <t>Tds Payable  On Office Rent</t>
  </si>
  <si>
    <t>TDS Payable on Commission</t>
  </si>
  <si>
    <t>Tds Payable On Contractors</t>
  </si>
  <si>
    <t>Tds Payable On Interest</t>
  </si>
  <si>
    <t>Tds Payable On Salary</t>
  </si>
  <si>
    <t>Telephone Charges</t>
  </si>
  <si>
    <t>Thakkar Agencies</t>
  </si>
  <si>
    <t>Tilakraj Inderpal, Nagpur</t>
  </si>
  <si>
    <t>Trade Discount</t>
  </si>
  <si>
    <t>Unipack</t>
  </si>
  <si>
    <t>Urd Purchase  On Waste Paper</t>
  </si>
  <si>
    <t>URD Purchase of Chemical</t>
  </si>
  <si>
    <t>Urd Purchase On Packing Material</t>
  </si>
  <si>
    <t>UTSAV PAPER PRODUCTS</t>
  </si>
  <si>
    <t>Vaibhav Enterprises</t>
  </si>
  <si>
    <t>Varuna Industries, Nagpur</t>
  </si>
  <si>
    <t>VAT (Earlier Tax Paid ) F.Y. 16-17</t>
  </si>
  <si>
    <t>VAT (Earlier Tax Paid ) F.Y. 17-18</t>
  </si>
  <si>
    <t>VAT Tax Expenses</t>
  </si>
  <si>
    <t>VAT Assessment Order 2014-15</t>
  </si>
  <si>
    <t>VAT Audit Fees : (Shah Baheti)</t>
  </si>
  <si>
    <t>Air Fans, Pune</t>
  </si>
  <si>
    <t>Bank Inspection Charges</t>
  </si>
  <si>
    <t>Bhupinder Singh Coal Depot</t>
  </si>
  <si>
    <t>Butterfly</t>
  </si>
  <si>
    <t>CGST PAYABLE ( F.Y. 2020-2021)</t>
  </si>
  <si>
    <t>D. V. &amp; Associates</t>
  </si>
  <si>
    <t>Girish Murarka &amp; Co., Mumbai</t>
  </si>
  <si>
    <t>IGST PAYABLE (F.Y. 2020- 2021)</t>
  </si>
  <si>
    <t>Jai Hanuman Industries, Nagpur</t>
  </si>
  <si>
    <t>Lathia Rubber Mfg Co Pvt Ltd [Unit : Vapi]</t>
  </si>
  <si>
    <t>MAERSK LINE INDIA PVT LTD</t>
  </si>
  <si>
    <t>MODI INDUSTRIES</t>
  </si>
  <si>
    <t>Monk Automation P. Ltd., Nashik</t>
  </si>
  <si>
    <t>Provision for Income Tax (A.Y. 2020-21)</t>
  </si>
  <si>
    <t>R.D. PATEL TABACCO BIDI WORKS PVT.LTD.</t>
  </si>
  <si>
    <t>SATTIK PACKAGING PVT .LTD.</t>
  </si>
  <si>
    <t>SGST PAYABLE ( F.Y. 2019-20)</t>
  </si>
  <si>
    <t>SGST RECEIVABLE F.Y. 2020-21</t>
  </si>
  <si>
    <t>SGST PAYABLE (F.Y.2020-2021)</t>
  </si>
  <si>
    <t>SHREE LAKSHMI PAPER TRADING</t>
  </si>
  <si>
    <t>Vat for F. Y. 2015-16</t>
  </si>
  <si>
    <t>VAT Payable ( F.Y. 16-17 )</t>
  </si>
  <si>
    <t>VAT Payable (F.Y. 2017-18)</t>
  </si>
  <si>
    <t>VAT Receivable  (F.Y. 14-15)</t>
  </si>
  <si>
    <t>VEENA INDUSTRIES</t>
  </si>
  <si>
    <t>Vehicle Diesel Expenses</t>
  </si>
  <si>
    <t>Vertex Films Pvt. Ltd.</t>
  </si>
  <si>
    <t>Vidarbha Bearing &amp; Belting Co. P. Ltd.</t>
  </si>
  <si>
    <t>Village Computer System, Nagpur</t>
  </si>
  <si>
    <t>Visy Recycling</t>
  </si>
  <si>
    <t>Voith Paper Fabrics India Ltd.</t>
  </si>
  <si>
    <t>Walkover Industries</t>
  </si>
  <si>
    <t>Walter &amp; Associates, Mumbai</t>
  </si>
  <si>
    <t>Waste Desposable Expenses</t>
  </si>
  <si>
    <t>Capital WIP</t>
  </si>
  <si>
    <t>Worlds Window Wardha Infrastructure Pvt Ltd</t>
  </si>
  <si>
    <t>Xerox Charges</t>
  </si>
  <si>
    <t>Yadav Engineering</t>
  </si>
  <si>
    <t>SUHANI ENTERPRISES</t>
  </si>
  <si>
    <t>Advance For Capital Goods</t>
  </si>
  <si>
    <t>Yash Electric Co.</t>
  </si>
  <si>
    <t>Zibo Huacheng Imp And Exp. Co. Ltd.</t>
  </si>
  <si>
    <t>Cr Check</t>
  </si>
  <si>
    <t>Dr Check</t>
  </si>
  <si>
    <t>Dr Diff</t>
  </si>
  <si>
    <t>Cr Diff</t>
  </si>
  <si>
    <t>Total Diff</t>
  </si>
  <si>
    <t>Import Claim Receivable</t>
  </si>
  <si>
    <t>Row Labels</t>
  </si>
  <si>
    <t>(blank)</t>
  </si>
  <si>
    <t>Sum of Dr. Final 2020-21</t>
  </si>
  <si>
    <t>Sum of Cr. Final 2020-21</t>
  </si>
  <si>
    <t>Share Capital Total</t>
  </si>
  <si>
    <t>Reserves &amp; Surplus Total</t>
  </si>
  <si>
    <t>Long Term Borrowings Total</t>
  </si>
  <si>
    <t>Deferred Tax Liabilities  Total</t>
  </si>
  <si>
    <t>Short Term Borrowings Total</t>
  </si>
  <si>
    <t>Trade Payables Total</t>
  </si>
  <si>
    <t>Long Term Loans &amp; Advances Total</t>
  </si>
  <si>
    <t>Other Current Liabilities Total</t>
  </si>
  <si>
    <t>Short Term Provision Total</t>
  </si>
  <si>
    <t>Depreciation &amp; Amortisation Total</t>
  </si>
  <si>
    <t>Other Financial Assets Total</t>
  </si>
  <si>
    <t>Trade Receivables Total</t>
  </si>
  <si>
    <t>Other Current Assets Total</t>
  </si>
  <si>
    <t>Revenue From Operations Total</t>
  </si>
  <si>
    <t>Other Income Total</t>
  </si>
  <si>
    <t>Raw Material Consumed Total</t>
  </si>
  <si>
    <t>Employee Benefit Expenses Total</t>
  </si>
  <si>
    <t>Finance Costs Total</t>
  </si>
  <si>
    <t>opening stock Total</t>
  </si>
  <si>
    <t>2 Total</t>
  </si>
  <si>
    <t>3 Total</t>
  </si>
  <si>
    <t>4 Total</t>
  </si>
  <si>
    <t>6 Total</t>
  </si>
  <si>
    <t>7 Total</t>
  </si>
  <si>
    <t>8 Total</t>
  </si>
  <si>
    <t>9 Total</t>
  </si>
  <si>
    <t>10 Total</t>
  </si>
  <si>
    <t>12 Total</t>
  </si>
  <si>
    <t>13 Total</t>
  </si>
  <si>
    <t>15 Total</t>
  </si>
  <si>
    <t>16 Total</t>
  </si>
  <si>
    <t>17 Total</t>
  </si>
  <si>
    <t>18 Total</t>
  </si>
  <si>
    <t>19 Total</t>
  </si>
  <si>
    <t>20 Total</t>
  </si>
  <si>
    <t>22 Total</t>
  </si>
  <si>
    <t>25 Total</t>
  </si>
  <si>
    <t>26 Total</t>
  </si>
  <si>
    <t>(blank) Total</t>
  </si>
  <si>
    <t>Issued, Subscribed &amp; Paid Up Total</t>
  </si>
  <si>
    <t>Capital Reserve Total</t>
  </si>
  <si>
    <t>General Reserve Total</t>
  </si>
  <si>
    <t>Securities Premium Total</t>
  </si>
  <si>
    <t>Surplus Total</t>
  </si>
  <si>
    <t>Secured - From Banks - Term Loan Total</t>
  </si>
  <si>
    <t>Secured - From Other - Term Loan Total</t>
  </si>
  <si>
    <t>Unsecured-From Related Party Total</t>
  </si>
  <si>
    <t>Deferred Tax Liability Total</t>
  </si>
  <si>
    <t>Secured - From Banks - Working Capital Loan Total</t>
  </si>
  <si>
    <t>Trade Payables - Others Total</t>
  </si>
  <si>
    <t>Advance For Capital Goods Total</t>
  </si>
  <si>
    <t>Dividend Payable Total</t>
  </si>
  <si>
    <t>Employee Payables Total</t>
  </si>
  <si>
    <t>Statutory Dues Total</t>
  </si>
  <si>
    <t>Trade Payables for capital goods Total</t>
  </si>
  <si>
    <t>CSR Expenses  Payable Total</t>
  </si>
  <si>
    <t>Provision for Employee Benefit Total</t>
  </si>
  <si>
    <t>Depreciation Total</t>
  </si>
  <si>
    <t>Capital WIP Total</t>
  </si>
  <si>
    <t>Tangible Asset Total</t>
  </si>
  <si>
    <t>Tangible Asset - PFD Total</t>
  </si>
  <si>
    <t>Advance Income Tax Total</t>
  </si>
  <si>
    <t>Balance with Government Authorities Total</t>
  </si>
  <si>
    <t>GST Total</t>
  </si>
  <si>
    <t>Loans and Advances to Employees Total</t>
  </si>
  <si>
    <t>Long Term Deposits Total</t>
  </si>
  <si>
    <t>MAT Credit Entitlement Total</t>
  </si>
  <si>
    <t>Balance with Bank in Deposit Accounts Total</t>
  </si>
  <si>
    <t>Balance With Bank - Current A/c Total</t>
  </si>
  <si>
    <t>Balance With Bank - Other Bank Balance Total</t>
  </si>
  <si>
    <t>Cash On Hand Total</t>
  </si>
  <si>
    <t>Advance to Suppliers Total</t>
  </si>
  <si>
    <t>Deposits Total</t>
  </si>
  <si>
    <t>Insurance claim Receivable Total</t>
  </si>
  <si>
    <t>Prepaid Expenses Total</t>
  </si>
  <si>
    <t>Sale of Goods - Manufacturing Sales Total</t>
  </si>
  <si>
    <t>Assessment Refund Total</t>
  </si>
  <si>
    <t>Foreign Exchange Fluctuation Gain on RM Total</t>
  </si>
  <si>
    <t>Interest Received Total</t>
  </si>
  <si>
    <t>Profit on Sale of Asset Total</t>
  </si>
  <si>
    <t>Scrape Sale Total</t>
  </si>
  <si>
    <t>Raw Material Purchase Total</t>
  </si>
  <si>
    <t>Contribution to Funds Total</t>
  </si>
  <si>
    <t>Salary &amp; Wages Total</t>
  </si>
  <si>
    <t>Staff Welfare Expenses Total</t>
  </si>
  <si>
    <t>Interest Expenses Total</t>
  </si>
  <si>
    <t>Other Borrowing Costs Total</t>
  </si>
  <si>
    <t>Bad Debts Total</t>
  </si>
  <si>
    <t>Donation Total</t>
  </si>
  <si>
    <t>Import Claim Receivable Total</t>
  </si>
  <si>
    <t>Dr. Final 21-22</t>
  </si>
  <si>
    <t>Cr. Final 21-22</t>
  </si>
  <si>
    <t>Sum of Dr. Final 21-22</t>
  </si>
  <si>
    <t>Sum of Cr. Final 21-22</t>
  </si>
  <si>
    <t>HARDOLI PAPER MILLS LIMITED</t>
  </si>
  <si>
    <t>Note No.</t>
  </si>
  <si>
    <t xml:space="preserve">As At </t>
  </si>
  <si>
    <t xml:space="preserve"> As At</t>
  </si>
  <si>
    <t>March 31, 2021 (₹)</t>
  </si>
  <si>
    <t>ASSETS</t>
  </si>
  <si>
    <t>Non-current assets</t>
  </si>
  <si>
    <t>Property, Plant and Equipment</t>
  </si>
  <si>
    <t>Capital work-in-progress</t>
  </si>
  <si>
    <t>Financial Assets</t>
  </si>
  <si>
    <t xml:space="preserve"> (i) Deposits</t>
  </si>
  <si>
    <t>Other Non-current assets</t>
  </si>
  <si>
    <t>Total Non-current assets</t>
  </si>
  <si>
    <t>Current assets</t>
  </si>
  <si>
    <t>Inventories</t>
  </si>
  <si>
    <t xml:space="preserve">    (i) Trade receivables</t>
  </si>
  <si>
    <t xml:space="preserve">    (ii) Cash and cash equivalents</t>
  </si>
  <si>
    <t xml:space="preserve">    (iii) Bank balances other than (ii) above</t>
  </si>
  <si>
    <t xml:space="preserve">    (iv) Other Financial assets</t>
  </si>
  <si>
    <t>Other current assets</t>
  </si>
  <si>
    <t>Current Tax assets (Net)</t>
  </si>
  <si>
    <t>Total Assets</t>
  </si>
  <si>
    <t>EQUITY AND LIABILITIES</t>
  </si>
  <si>
    <t>Equity</t>
  </si>
  <si>
    <t xml:space="preserve">    Equity Share capital</t>
  </si>
  <si>
    <t xml:space="preserve">    Other Equity</t>
  </si>
  <si>
    <t xml:space="preserve">Total Equity </t>
  </si>
  <si>
    <t>Non-current liabilities</t>
  </si>
  <si>
    <t>Financial Liabilities</t>
  </si>
  <si>
    <t>(i) Borrowings</t>
  </si>
  <si>
    <t>(ii) Provisions</t>
  </si>
  <si>
    <t>Deferred tax liabilities (Net)</t>
  </si>
  <si>
    <t>Current liabilities</t>
  </si>
  <si>
    <t>(ii) Trade payables</t>
  </si>
  <si>
    <t>(iii) Other financial liabilities</t>
  </si>
  <si>
    <t xml:space="preserve"> Other current liabilities</t>
  </si>
  <si>
    <t>Provisions</t>
  </si>
  <si>
    <t>Total Current liabilities</t>
  </si>
  <si>
    <t>Total Equity and Liabilities</t>
  </si>
  <si>
    <t xml:space="preserve">Significant accounting policies &amp; Notes to Accounts </t>
  </si>
  <si>
    <t>The accompanying notes are an integral part of these standalone financial statements.</t>
  </si>
  <si>
    <t>As per our report of even date</t>
  </si>
  <si>
    <t>For and on behalf of the Board</t>
  </si>
  <si>
    <t>FOR DARAK AND ASSOCIATES</t>
  </si>
  <si>
    <t>ANIL KUMAR LAKHOTIYA - MANAGING  DIRECTOR</t>
  </si>
  <si>
    <t>CHARTERED ACCOUNTANTS</t>
  </si>
  <si>
    <t>(DIN:00367361)</t>
  </si>
  <si>
    <t>FIRM REGISTRATION NO: 132818W</t>
  </si>
  <si>
    <t>AMIT M DARAK</t>
  </si>
  <si>
    <t>PARTNER</t>
  </si>
  <si>
    <t>KAILASH AGARWAL - WHOLE TIME DIRECTOR</t>
  </si>
  <si>
    <t>Membership No:144005</t>
  </si>
  <si>
    <t>(DIN:00367292)</t>
  </si>
  <si>
    <t>Place: Nagpur</t>
  </si>
  <si>
    <t>JARNAIL SINGH SAINI - CHIEF FINANCIAL OFFICER &amp; EXECUTIVE DIRECTOR</t>
  </si>
  <si>
    <t>(DIN:00367656)</t>
  </si>
  <si>
    <t>OMPRAKASH RATHI - EXECUTIVE DIRECTOR</t>
  </si>
  <si>
    <t>(DIN:00895316)</t>
  </si>
  <si>
    <t>MAYANK LUNIYA - COMPANY SECRETARY</t>
  </si>
  <si>
    <t>NOTE</t>
  </si>
  <si>
    <t>Year Ended</t>
  </si>
  <si>
    <t xml:space="preserve"> </t>
  </si>
  <si>
    <t xml:space="preserve"> Revenue From Operations</t>
  </si>
  <si>
    <t xml:space="preserve"> Other Income</t>
  </si>
  <si>
    <t xml:space="preserve">Total Income </t>
  </si>
  <si>
    <t>EXPENSES</t>
  </si>
  <si>
    <t>Cost of materials consumed</t>
  </si>
  <si>
    <t>Trading Purchase</t>
  </si>
  <si>
    <t>Changes in inventories of finished goods,</t>
  </si>
  <si>
    <t>Employee benefits expense</t>
  </si>
  <si>
    <t>Finance costs</t>
  </si>
  <si>
    <t>Depreciation and amortization expense</t>
  </si>
  <si>
    <t>Other expenses</t>
  </si>
  <si>
    <t xml:space="preserve">Total expenses </t>
  </si>
  <si>
    <t xml:space="preserve">Profit/(loss) before exceptional items and tax </t>
  </si>
  <si>
    <t>Exceptional Item</t>
  </si>
  <si>
    <t xml:space="preserve">Profit/(loss) before tax </t>
  </si>
  <si>
    <t>Tax expense:</t>
  </si>
  <si>
    <t>(1) Current tax</t>
  </si>
  <si>
    <t>(2) Earlier Year Taxes</t>
  </si>
  <si>
    <t>(3) MAT credit Entilement</t>
  </si>
  <si>
    <t>(4) Deferred tax</t>
  </si>
  <si>
    <t>Profit (Loss) for the year</t>
  </si>
  <si>
    <t>Other Comprehensive Income</t>
  </si>
  <si>
    <t>A (i) Items that will not be reclassified to profit or loss</t>
  </si>
  <si>
    <t>(ii) Income tax relating to items that will not be reclassified to profit or loss</t>
  </si>
  <si>
    <t>B (i) Items that will be reclassified to profit or loss</t>
  </si>
  <si>
    <t xml:space="preserve">Total other Comprehensive Income </t>
  </si>
  <si>
    <t xml:space="preserve">Total Comprehensive Income for the year </t>
  </si>
  <si>
    <t xml:space="preserve"> 1) Basic EPS</t>
  </si>
  <si>
    <t xml:space="preserve"> 1) Diluted EPS</t>
  </si>
  <si>
    <t xml:space="preserve">A. Equity Share Capital </t>
  </si>
  <si>
    <t>Balance at the beginning of the year</t>
  </si>
  <si>
    <t>Changes in the Equity Share Capital during the year</t>
  </si>
  <si>
    <t>Balance at the end of the year</t>
  </si>
  <si>
    <t>B. Other Equity</t>
  </si>
  <si>
    <t>Opening Balance</t>
  </si>
  <si>
    <t>Changes in accounting policy or prior  period errors</t>
  </si>
  <si>
    <t>Restated balance at the beginning of the  reporting period</t>
  </si>
  <si>
    <t>Movement during the year'</t>
  </si>
  <si>
    <t>Revaluation Surplus</t>
  </si>
  <si>
    <t>Addition During Prior perior period</t>
  </si>
  <si>
    <t>Additions During the year</t>
  </si>
  <si>
    <t>Retained Earnings</t>
  </si>
  <si>
    <t>Change in PY Provision for Income Tax</t>
  </si>
  <si>
    <t>Profit for the year</t>
  </si>
  <si>
    <t>Other Comprehensive Income for the year</t>
  </si>
  <si>
    <t>Total Comprehensive Income for the year</t>
  </si>
  <si>
    <t>Transactions with owners in capacity as owners</t>
  </si>
  <si>
    <t>Dividends (including tax on dividend)</t>
  </si>
  <si>
    <t>Transfer to retained earnings</t>
  </si>
  <si>
    <t>Bonus shares, if any</t>
  </si>
  <si>
    <t>NOTE 3 : DEPOSITS (FINANCIAL ASSETS)</t>
  </si>
  <si>
    <t>(Unsecured, considered good unless otherwise stated)</t>
  </si>
  <si>
    <t>Long term Deposit with Banks maturing after 12 months</t>
  </si>
  <si>
    <t>Fixed deposits are lien marked for total facility against the said fixed deposit.</t>
  </si>
  <si>
    <t>(Fixed deposits are lien marked for total facility against the said fixed deposit.)</t>
  </si>
  <si>
    <t xml:space="preserve">NOTE 4 : OTHER NON CURRENT ASSETS </t>
  </si>
  <si>
    <t>Advance for Capital Goods</t>
  </si>
  <si>
    <t>NOTE 5 :INVENTORIES</t>
  </si>
  <si>
    <t>(Valued at cost or net realisable value whichever is less)</t>
  </si>
  <si>
    <t xml:space="preserve">Stores, Packing Material &amp; Fuel </t>
  </si>
  <si>
    <t>(Note- Inventories have been hypothecated with banks against cash credit facility.)</t>
  </si>
  <si>
    <t>NOTE 6 :TRADE RECEIVABLES</t>
  </si>
  <si>
    <t>Considered Good</t>
  </si>
  <si>
    <t xml:space="preserve">     Related Party</t>
  </si>
  <si>
    <t xml:space="preserve">     Other party</t>
  </si>
  <si>
    <t>Note- A) Trade Receivables  have been hypothecated with banks against cash credit facility.</t>
  </si>
  <si>
    <t>NOTE 7 :CASH AND CASH EQUIVALENTS</t>
  </si>
  <si>
    <t>Cash and Cash Equivalents</t>
  </si>
  <si>
    <t>Cash on Hand</t>
  </si>
  <si>
    <t>Balances with Banks</t>
  </si>
  <si>
    <t>Current Account</t>
  </si>
  <si>
    <t>NOTE 8 : BANK BALANCES OTHER THAN CASH &amp; CASH EQUIVALENTS</t>
  </si>
  <si>
    <t>Other Bank Balance</t>
  </si>
  <si>
    <t>NOTE 9 : OTHER FINANCIAL ASSETS</t>
  </si>
  <si>
    <t>Unsecured &amp; Considered Good</t>
  </si>
  <si>
    <t>Loans &amp; Advances to Employees</t>
  </si>
  <si>
    <t>PSI Under Sales Tax receivable</t>
  </si>
  <si>
    <t>NOTE 10 :OTHER CURRENT ASSETS</t>
  </si>
  <si>
    <t xml:space="preserve">Advance to Suppliers </t>
  </si>
  <si>
    <t xml:space="preserve">Insurance Claim Receivable </t>
  </si>
  <si>
    <t>NOTE 11 : CURRENT TAX ASSET (NET)</t>
  </si>
  <si>
    <t>Income Tax Receivables (Net)</t>
  </si>
  <si>
    <t>NOTE 12 : SHARE CAPITAL</t>
  </si>
  <si>
    <t>AUTHORISED CAPITAL</t>
  </si>
  <si>
    <t>35,00,000 Equity Shares of Rs.10/- each (35,00,000 Equity Shares of Rs.10/- each)</t>
  </si>
  <si>
    <t>ISSUED, SUBSCRIBED AND PAID UP CAPITAL</t>
  </si>
  <si>
    <t>26,92,265 Equity Shares of Rs.10/- each fully paid up (26,92,265 Equity Shares of Rs.10/- each fully paid up)</t>
  </si>
  <si>
    <t>a. Details of shareholders holding more than 5% shares in the company</t>
  </si>
  <si>
    <t>31.03.2021</t>
  </si>
  <si>
    <t>NAME OF SHAREHOLDER</t>
  </si>
  <si>
    <t>% Held</t>
  </si>
  <si>
    <t>No.of Shares</t>
  </si>
  <si>
    <t>Omprakash Damodar Rathi</t>
  </si>
  <si>
    <t xml:space="preserve">Kailash P. Agarwal </t>
  </si>
  <si>
    <t>Akshay Omprakash Rathi</t>
  </si>
  <si>
    <t>Anil Kumar Lakhotiya</t>
  </si>
  <si>
    <t xml:space="preserve">Mangla Omprakash Rathi  </t>
  </si>
  <si>
    <t>Anilkumar Lakhotiya HUF</t>
  </si>
  <si>
    <t>b. Reconciliation of the number of shares outstanding at the beginning and at the end of the reporting period</t>
  </si>
  <si>
    <t>Equity Shares at the beginning of the year</t>
  </si>
  <si>
    <t>Add: Shares issued during the year</t>
  </si>
  <si>
    <t>Equity Shares at the end of the year</t>
  </si>
  <si>
    <t>d. Rights, preferences and restrictions attached to shares</t>
  </si>
  <si>
    <t>Equity shares</t>
  </si>
  <si>
    <t xml:space="preserve">The Company has one class of equity shares having a par value of Rs.10 each. Each shareholder is eligible for one vote per share held. The dividend proposed by the Board of Directors is subject to the approval of the shareholders in the ensuing Annual General Meeting, except in case of interim dividend. In the event of liquidation, the equity shareholders are eligible to receive the remaining assets of the Company after distribution of all preferential amounts, in proportion to their shareholding.                                    </t>
  </si>
  <si>
    <t>NOTE 13 : BORROWINGS</t>
  </si>
  <si>
    <t xml:space="preserve">Secured </t>
  </si>
  <si>
    <t xml:space="preserve">From Banks </t>
  </si>
  <si>
    <t>Term Loan from Bank (Refer Note. 18)</t>
  </si>
  <si>
    <t>WCTL from Bank (Refer Note. 18)</t>
  </si>
  <si>
    <t>Unsecured Loans</t>
  </si>
  <si>
    <t>From Others</t>
  </si>
  <si>
    <t>Related Parties - Repayable on demand after 1st April, 2022</t>
  </si>
  <si>
    <t>NOTE 14 : Non Current - Provisions</t>
  </si>
  <si>
    <t>Employee Benefits</t>
  </si>
  <si>
    <t>NOTE 15 : DEFERRED TAX LIABILITIES / (ASSETS)</t>
  </si>
  <si>
    <t>Deferred Tax</t>
  </si>
  <si>
    <t>Nature of Timing Difference</t>
  </si>
  <si>
    <t>Property Plant &amp; Equipment</t>
  </si>
  <si>
    <t>Total  Deferred Tax liability</t>
  </si>
  <si>
    <t>Dissallowances u/s 43B and others</t>
  </si>
  <si>
    <t>Deferred Tax Asset /Liabilities(Net)</t>
  </si>
  <si>
    <t>Total</t>
  </si>
  <si>
    <t xml:space="preserve">NOTE 16 : SHORT TERM BORROWINGS </t>
  </si>
  <si>
    <t>From Banks</t>
  </si>
  <si>
    <t>Working Capital Facilities</t>
  </si>
  <si>
    <t>(Secured by way of hypothecation of entire stock of the unit at its godowns or at some other places including goods in transit ,outstanding moneys,book debts, receivable, both present and future including personal guarantee of all the Directors &amp; the Promoters of the Company. These borrowings are repayable on demand.)</t>
  </si>
  <si>
    <t>NOTE 17: TRADE PAYABLES</t>
  </si>
  <si>
    <t>Payble for Goods &amp; Services</t>
  </si>
  <si>
    <t>Total outstanding dues other than micro enterprises &amp; small enterprises</t>
  </si>
  <si>
    <t>2020-21</t>
  </si>
  <si>
    <t>2019-20</t>
  </si>
  <si>
    <t>Principle</t>
  </si>
  <si>
    <t>Interest</t>
  </si>
  <si>
    <t>ii) The amount of interest credit by the buyer in terms of section 16, of the MSMED Act,2006 along with the amount ot the payment made to the supplier beyond the appointed day during each accounting year.</t>
  </si>
  <si>
    <t>iii) The amount of interest due and payble for the period of delay in making payment (which have been paid but beyond the appointed day during the year) but without adding the interest specified under MSMED Act.</t>
  </si>
  <si>
    <t>iv) The amount of interest accrued and remaining unpaid at the end of each accounting year.</t>
  </si>
  <si>
    <t>v) The amount of further interest remaining due and payable even in the succeeding years until such date when the interest dues as above are actually paid to the small enterprise for the purpose of disallowance as a deductible expenditure under section 23 of MSMED Act,2006.</t>
  </si>
  <si>
    <t>NOTE 18: OTHER FINANCIAL LIABILITIES : CURRENT</t>
  </si>
  <si>
    <t>Current Portion of Long Term Borrowings (Refer Note. 13)</t>
  </si>
  <si>
    <t xml:space="preserve"> - Term Loan from Bank</t>
  </si>
  <si>
    <t xml:space="preserve"> - WCTL from Bank</t>
  </si>
  <si>
    <t xml:space="preserve"> - Interest Accrued but not due on Term Loans</t>
  </si>
  <si>
    <t>NOTE 19 : OTHER CURRENT LIABILITIES</t>
  </si>
  <si>
    <t>NOTE 20 : PROVISIONS</t>
  </si>
  <si>
    <t>Bonus, Leave Encashment Payable</t>
  </si>
  <si>
    <t>Current Provision for Gratuity (Refer Note 34)</t>
  </si>
  <si>
    <t>CSR Expenses to be Incurred</t>
  </si>
  <si>
    <t>NOTE 21 : REVENUE FROM OPERATIONS</t>
  </si>
  <si>
    <t>Sale of Products</t>
  </si>
  <si>
    <t xml:space="preserve">     - Manufacturing Sales</t>
  </si>
  <si>
    <t>-</t>
  </si>
  <si>
    <t>Other Operating Revenue</t>
  </si>
  <si>
    <t xml:space="preserve">     - PSI Subsidy</t>
  </si>
  <si>
    <t>NOTE 22 : OTHER INCOME</t>
  </si>
  <si>
    <t>Sundry Balance written back</t>
  </si>
  <si>
    <t>Gain /(Loss) on Foreign Exchange Fluctuation</t>
  </si>
  <si>
    <t>Sale of Scrap</t>
  </si>
  <si>
    <t>Interest Income</t>
  </si>
  <si>
    <t>NOTE 23 : COST OF MATERIAL CONSUMED</t>
  </si>
  <si>
    <t>Add:  Purchases</t>
  </si>
  <si>
    <t>NOTE 24 :CHANGES IN INVENTORIES OF FINISHED GOODS</t>
  </si>
  <si>
    <t>NOTE 25 :EMPLOYEE BENEFIT EXPENSES</t>
  </si>
  <si>
    <t>NOTE 26 :FINANCE COSTS</t>
  </si>
  <si>
    <t>Other Borrowing Cost</t>
  </si>
  <si>
    <t>NOTE 27 :OTHER EXPENSES</t>
  </si>
  <si>
    <t>MANUFACTURING EXPENSES</t>
  </si>
  <si>
    <t>Factory Expenses</t>
  </si>
  <si>
    <t>Finished Goods Packing and Allied Charges</t>
  </si>
  <si>
    <t>Packing Material Consumed</t>
  </si>
  <si>
    <t>Power and Fuel Consumed</t>
  </si>
  <si>
    <t>Repairs &amp; Maintenance</t>
  </si>
  <si>
    <t xml:space="preserve">     - Machinery</t>
  </si>
  <si>
    <t xml:space="preserve">      - Building</t>
  </si>
  <si>
    <t>Stores &amp; Spares Consumed</t>
  </si>
  <si>
    <t>Waste paper Feeding Charges</t>
  </si>
  <si>
    <t>( A )</t>
  </si>
  <si>
    <t>ESTABLISHMENT EXPENSES</t>
  </si>
  <si>
    <t>Auditors Remuneration</t>
  </si>
  <si>
    <t>Statutory Audit Fees</t>
  </si>
  <si>
    <t>Internal Audit Fees</t>
  </si>
  <si>
    <t>Audit Expenses</t>
  </si>
  <si>
    <t xml:space="preserve">Bad Debts </t>
  </si>
  <si>
    <t>CSR Expenses (Refer Note 37)</t>
  </si>
  <si>
    <t>Insurance Charges</t>
  </si>
  <si>
    <t>General Expenses</t>
  </si>
  <si>
    <t>Legal &amp; Professional Charges</t>
  </si>
  <si>
    <t>Loss on Sale / Disacrdment of PPE</t>
  </si>
  <si>
    <t>Office Expenses</t>
  </si>
  <si>
    <t>Printing &amp; Stationery</t>
  </si>
  <si>
    <t xml:space="preserve">    - Vehicle </t>
  </si>
  <si>
    <t xml:space="preserve">    - Others</t>
  </si>
  <si>
    <t>Rent for Office Premises</t>
  </si>
  <si>
    <t>Travelling &amp; Conveyance</t>
  </si>
  <si>
    <t>( B )</t>
  </si>
  <si>
    <t>SELLING &amp; DISTRIBUTION EXPENSES</t>
  </si>
  <si>
    <t xml:space="preserve">Advertisement </t>
  </si>
  <si>
    <t>Insurance on Sales</t>
  </si>
  <si>
    <t>Clearing &amp; Forwarding Expenses</t>
  </si>
  <si>
    <t>Commission on sales</t>
  </si>
  <si>
    <t>( C )</t>
  </si>
  <si>
    <t>( A+ B + C )</t>
  </si>
  <si>
    <t>NOTE 28 : OTHER COMPREHENSIVE INCOME</t>
  </si>
  <si>
    <t>A (i)Items that will not be reclassified in the profit &amp; loss</t>
  </si>
  <si>
    <t>Remeasurement of defined benefit liabilities</t>
  </si>
  <si>
    <t>B (i) Items that will be reclassified to the profit &amp; loss</t>
  </si>
  <si>
    <t xml:space="preserve">(ii) Income tax relating to items that will  be reclassified to profit or loss </t>
  </si>
  <si>
    <t>Total (A+B)</t>
  </si>
  <si>
    <t>NOTE 29 : EARNING PER SHARE</t>
  </si>
  <si>
    <t>Net Profit after tax from continuing operation</t>
  </si>
  <si>
    <t>Weighted average number of Equity shares outstanding (Face Value of ₹ 10 per Eq. Share)</t>
  </si>
  <si>
    <t>Earning per share</t>
  </si>
  <si>
    <t>Diluted Earning per Share</t>
  </si>
  <si>
    <t>NOTE 30 : SUPPLEMENTARY INFORMATION</t>
  </si>
  <si>
    <t>A. CIF VALUE OF IMPORTS</t>
  </si>
  <si>
    <t>Raw Material - Waste Paper</t>
  </si>
  <si>
    <t>Stores &amp; Spare Parts</t>
  </si>
  <si>
    <t>B. STOCKS</t>
  </si>
  <si>
    <t>RAW MATERIAL</t>
  </si>
  <si>
    <t>Waste Paper</t>
  </si>
  <si>
    <t>Chemicals</t>
  </si>
  <si>
    <t>C. FINISHED GOODS</t>
  </si>
  <si>
    <t>Kraft Paper</t>
  </si>
  <si>
    <t>Finished Goods (Sale in Transit)</t>
  </si>
  <si>
    <t>D. VALUE OF RAW MATERIAL, STORES &amp; SPARES CONSUMPTION:</t>
  </si>
  <si>
    <t>Imported</t>
  </si>
  <si>
    <t>Raw Material</t>
  </si>
  <si>
    <t>Value</t>
  </si>
  <si>
    <t>Percentage of Total Consumption</t>
  </si>
  <si>
    <t>Indigenous</t>
  </si>
  <si>
    <t>E. SALES</t>
  </si>
  <si>
    <t>Manufacturing Sales (Net of Taxes)</t>
  </si>
  <si>
    <t>NOTE 31 : AUDITORS REMUNERATION</t>
  </si>
  <si>
    <t>Audit fee</t>
  </si>
  <si>
    <t>NOTE 32: FAIR VALUE DISCLOSURES</t>
  </si>
  <si>
    <t>Notes</t>
  </si>
  <si>
    <t>a) Trade Receivables</t>
  </si>
  <si>
    <t>b) Cash and Cash Equivalents</t>
  </si>
  <si>
    <t>c) Bank Balances other than above</t>
  </si>
  <si>
    <t>d) Other Financial Assets</t>
  </si>
  <si>
    <t>a) Borrowings</t>
  </si>
  <si>
    <t>b) Trade Payables</t>
  </si>
  <si>
    <t>c) Other Financial Liabilities</t>
  </si>
  <si>
    <t>Fair value hierarchy and method of valuation</t>
  </si>
  <si>
    <t>Risk Management Framework</t>
  </si>
  <si>
    <t>Financial Risk Management</t>
  </si>
  <si>
    <t>The Company has exposure to the following risks arising from financial instruments:</t>
  </si>
  <si>
    <r>
      <t>i)</t>
    </r>
    <r>
      <rPr>
        <b/>
        <sz val="14"/>
        <rFont val="Calibri"/>
        <family val="2"/>
        <scheme val="minor"/>
      </rPr>
      <t xml:space="preserve"> Credit Risk :</t>
    </r>
    <r>
      <rPr>
        <sz val="14"/>
        <rFont val="Calibri"/>
        <family val="2"/>
        <scheme val="minor"/>
      </rPr>
      <t xml:space="preserve"> Credit risk is the risk of financial loss to the Company if a customer or counterparty to a financial instrument fails to meet its contractual obligations and arises principally from the Company's receivables from customers, investment in inter corporate deposit and loans given to related parties.</t>
    </r>
  </si>
  <si>
    <t>The carrying amount of following financial assets represents the maximum credit exposure:</t>
  </si>
  <si>
    <r>
      <t xml:space="preserve">Other Financial Assets: </t>
    </r>
    <r>
      <rPr>
        <sz val="14"/>
        <rFont val="Calibri"/>
        <family val="2"/>
        <scheme val="minor"/>
      </rPr>
      <t xml:space="preserve">Credit risk from balances with banks and loans, advances are managed by responsible and authorised person of the Company. Investments of surplus funds are made only with approved counterparties. </t>
    </r>
  </si>
  <si>
    <r>
      <t xml:space="preserve">ii) </t>
    </r>
    <r>
      <rPr>
        <b/>
        <sz val="14"/>
        <rFont val="Calibri"/>
        <family val="2"/>
        <scheme val="minor"/>
      </rPr>
      <t xml:space="preserve">Liquidity Risk : </t>
    </r>
    <r>
      <rPr>
        <sz val="14"/>
        <rFont val="Calibri"/>
        <family val="2"/>
        <scheme val="minor"/>
      </rPr>
      <t>Liquidity risk is the risk that the Company will encounter difficulty in meeting the obligations associated with its financial liabilities that are settled by delivering cash or another financial asset. The Company’s approach in managing liquidity is to ensure as far as possible that it will have sufficient liquidity to meet its liabilities when they are due, under both normal and stressed condition, without incurring unacceptablelosses or risking damage to the Company’s reputation</t>
    </r>
  </si>
  <si>
    <t>The Management monitors rolling forecasts of the Company's liquidity position on the basis of expected cash flows. The Company’s objective is to maintain a balance between continuity of funding and flexibility through the use of surplus funds and inter-corporate loans.</t>
  </si>
  <si>
    <r>
      <t xml:space="preserve">iii) </t>
    </r>
    <r>
      <rPr>
        <b/>
        <sz val="14"/>
        <rFont val="Calibri"/>
        <family val="2"/>
        <scheme val="minor"/>
      </rPr>
      <t xml:space="preserve">Market Risk : </t>
    </r>
    <r>
      <rPr>
        <sz val="14"/>
        <rFont val="Calibri"/>
        <family val="2"/>
        <scheme val="minor"/>
      </rPr>
      <t>Market risk is the risk that changes in market prices such as foreign exchange rates, interest rates and commodity prices which will affect the Company’s income or the value of its holdings of financial instruments. The objective of market risk management is to manage and control market exposures within acceptable parameters, while optimising the return.</t>
    </r>
    <r>
      <rPr>
        <b/>
        <sz val="14"/>
        <rFont val="Calibri"/>
        <family val="2"/>
        <scheme val="minor"/>
      </rPr>
      <t xml:space="preserve"> </t>
    </r>
  </si>
  <si>
    <r>
      <t xml:space="preserve">a) </t>
    </r>
    <r>
      <rPr>
        <b/>
        <sz val="14"/>
        <rFont val="Calibri"/>
        <family val="2"/>
        <scheme val="minor"/>
      </rPr>
      <t xml:space="preserve">Foreign currency risk </t>
    </r>
    <r>
      <rPr>
        <sz val="14"/>
        <rFont val="Calibri"/>
        <family val="2"/>
        <scheme val="minor"/>
      </rPr>
      <t>is the risk that the value of financial instruments will fluctuate due to changes in foreign exchange rates. It arises mainly where receivables and payables exist due to transactions entered in foreign currencies.</t>
    </r>
  </si>
  <si>
    <t>Exposure to interest rate risk</t>
  </si>
  <si>
    <t>The Company’s interest rate risk arises majorly from the term loans from banks carrying floating rate of interest. These obligations exposes the Company to cash flow interest rate risk. The exposure of the Company’s borrowing to interest rate changes as reported to the management at the end of the reporting period are as follows:</t>
  </si>
  <si>
    <t>Particulars Variable - rate Instruments</t>
  </si>
  <si>
    <t>Term Loan including WCTL  from Bank</t>
  </si>
  <si>
    <t>Current Borrowings (Working Capital Facility)</t>
  </si>
  <si>
    <t>Current maturities of non-current borrowings</t>
  </si>
  <si>
    <t>NOTE 33: CAPITAL MANAGEMENT</t>
  </si>
  <si>
    <t>For the purpose of the Company’s capital management, capital includes issued equity share capital, share premium and all other equity reserves attributable to the equity holders. The primary objective of the management of the Company’s capital structure is to maintain an efficient mix of debt and equity in order to achieve a low cost of capital, while taking into account the desirability of retaining financial flexibility to pursue business opportunities and adequate access to liquidity to mitigate the effect of unforeseen events on cash flows.</t>
  </si>
  <si>
    <t>The Company manages its capital structure and makes adjustments to it in light of changes in economic conditions. To maintain or adjust the capital structure, the Company may return capital to shareholders, raise new debt or issue new shares.</t>
  </si>
  <si>
    <t>The Company monitors capital on the basis of the debt to capital ratio, which is calculated as interest-bearing debts divided by total capital (equity attributable to owners of the parent plus interest-bearing debts)</t>
  </si>
  <si>
    <t>(a) Defined Benefit Plans:</t>
  </si>
  <si>
    <t>Gratuity Fund</t>
  </si>
  <si>
    <t>The present value of the defined benefit obligations and the related current service cost were measured using the Projected Unit Credit Method, with actuarial valuations being carried out at each balance sheet date. The following table provides the disclosures in accordance with IND AS 19.</t>
  </si>
  <si>
    <t>Reconciliation of present value of the obligation and the fair value of plan assets</t>
  </si>
  <si>
    <t xml:space="preserve">Reconcilation of Opening and Closing balance of the Present Value of the defined benefit obligation </t>
  </si>
  <si>
    <t>Obligation at period beginning</t>
  </si>
  <si>
    <t>Current service cost</t>
  </si>
  <si>
    <t>Past Service Cost</t>
  </si>
  <si>
    <t>Interest Cost</t>
  </si>
  <si>
    <t>Actuarial (gain) /  loss</t>
  </si>
  <si>
    <t>Benefits paid</t>
  </si>
  <si>
    <t>Actuarial (gain) /  loss due to Experience</t>
  </si>
  <si>
    <t>Obligations at the year end</t>
  </si>
  <si>
    <t>Change in Plan Assets</t>
  </si>
  <si>
    <t>Plan assets at period beginning, at fair value</t>
  </si>
  <si>
    <t>Expected return on plan assets</t>
  </si>
  <si>
    <t>Contributions</t>
  </si>
  <si>
    <t>Plan assets at the year end, at fair value</t>
  </si>
  <si>
    <t>Fair Value of plan assets at the end of the year</t>
  </si>
  <si>
    <t>Present value of the defined benefit obligations at the end of the year</t>
  </si>
  <si>
    <t>Liabilities/(Assets) recognised in the Balance Sheet</t>
  </si>
  <si>
    <t>Cost for the year</t>
  </si>
  <si>
    <t>Net Cost recognised in the Statement of Profit and Loss</t>
  </si>
  <si>
    <t>Assumptions used to determine the benefit obligation:</t>
  </si>
  <si>
    <t>Discount Rate</t>
  </si>
  <si>
    <t>Estimated rate of return on plan assets</t>
  </si>
  <si>
    <t>Expected rate of increase in salary</t>
  </si>
  <si>
    <t>Attrition Rate</t>
  </si>
  <si>
    <t>Actual return on plan assets</t>
  </si>
  <si>
    <t>(b) Provident Fund</t>
  </si>
  <si>
    <t>“Contribution to provident and other funds” is recognised as an expense in the Statement of Profit and Loss.</t>
  </si>
  <si>
    <t>NOTE 35 :</t>
  </si>
  <si>
    <t>NOTE 36 :</t>
  </si>
  <si>
    <t>NOTE 37: CORPORATE SOCIAL RESPONSIBILITY</t>
  </si>
  <si>
    <t>Promotion of Education</t>
  </si>
  <si>
    <t>Rural Development Projects</t>
  </si>
  <si>
    <t>Benefit of Police and their Family</t>
  </si>
  <si>
    <t>CSR Expenses Incurred in Subsequent FY</t>
  </si>
  <si>
    <t>Amount Incurred in Current FY Relating to Previous FY</t>
  </si>
  <si>
    <t>Amount required to be spent as per Section 135 of the Act:</t>
  </si>
  <si>
    <t>NOTE 38 :  RELATED PARTIES DISCLOSURE</t>
  </si>
  <si>
    <t>Directors/ Key Management Personnel</t>
  </si>
  <si>
    <t>Mr. Kailash Chand Agarwal</t>
  </si>
  <si>
    <t>Mr. Anil kumar Lakhotiya</t>
  </si>
  <si>
    <t>Mr. Jarnailsingh Saini</t>
  </si>
  <si>
    <t>Mr. Omprakash D. Rathi</t>
  </si>
  <si>
    <t>Enterprises in which there is a significant influence of Members/Directors</t>
  </si>
  <si>
    <t>Kaygaon Paper Mills Private Limited</t>
  </si>
  <si>
    <t>Saini Transport Company</t>
  </si>
  <si>
    <t>Chandra Sales Corporation</t>
  </si>
  <si>
    <t>Chandra Coal Private Limited</t>
  </si>
  <si>
    <t>Others</t>
  </si>
  <si>
    <t>(a) Director's &amp;  Key Management Personnel Relative</t>
  </si>
  <si>
    <t>Mr. Sartaj Manindersingh Saini</t>
  </si>
  <si>
    <t>Mrs. Anita Lakhotiya</t>
  </si>
  <si>
    <t xml:space="preserve">Mrs. Sushil Kaur Saini </t>
  </si>
  <si>
    <t>Mrs. Kajal Sanjay Agarwal</t>
  </si>
  <si>
    <t>Mr. Karnailsingh Saini</t>
  </si>
  <si>
    <t>Mr. Kailash Kaur</t>
  </si>
  <si>
    <t>Mr. Baljit Singh Saini</t>
  </si>
  <si>
    <t>Mrs. Snehlata A Lakhotiya</t>
  </si>
  <si>
    <t>Mr. Kuldeepsingh Saini</t>
  </si>
  <si>
    <t>Mrs. Hazelkaur Manindersingh Saini</t>
  </si>
  <si>
    <t>Mrs. Baljit Kaur</t>
  </si>
  <si>
    <t>Mrs. Sanjamkaur Saini</t>
  </si>
  <si>
    <t>Ms. Navita K. Agrawal</t>
  </si>
  <si>
    <t>Mr. Prakashkaur Saini</t>
  </si>
  <si>
    <t>Mrs. Amarjit kaur Saini</t>
  </si>
  <si>
    <t>Gurmitsingh Gurdassingh (HUF)</t>
  </si>
  <si>
    <t>Mrs.Satnamkaur Karnail Singh Saini</t>
  </si>
  <si>
    <t>Mr. Gaurav A Lakhotiya</t>
  </si>
  <si>
    <t>Karnail singh Gurudassingh (HUF)</t>
  </si>
  <si>
    <t>Mrs. Garima  Maheswari</t>
  </si>
  <si>
    <t>Disclosure of material transaction with related parties</t>
  </si>
  <si>
    <t>RELATED PARTY TRANSACTIONS DURING THE YEAR</t>
  </si>
  <si>
    <t>Profit &amp; loss A/c</t>
  </si>
  <si>
    <t>Sales</t>
  </si>
  <si>
    <t>Freight Charges</t>
  </si>
  <si>
    <t>Interest Paid</t>
  </si>
  <si>
    <t>Mr.Omprakash Damodar Rathi</t>
  </si>
  <si>
    <t>Mrs. Baljit Kaur Manindersingh Saini</t>
  </si>
  <si>
    <t>Mrs. Kailash Kaur Jarnailsingh Saini</t>
  </si>
  <si>
    <t>Mrs. Sanjamkumar Saini</t>
  </si>
  <si>
    <t>Director's Remuneration and Incentives</t>
  </si>
  <si>
    <t>(Includes Bonus)</t>
  </si>
  <si>
    <t>Salary to Related Party</t>
  </si>
  <si>
    <t>Mr. Gaurav Lakhotiya</t>
  </si>
  <si>
    <t>Purchase of Coal</t>
  </si>
  <si>
    <t>Chandra Coal Private Ltd (Coal Purchase &amp; Coal Liasoning Charges)</t>
  </si>
  <si>
    <t>Purchase of Raw material (Net)</t>
  </si>
  <si>
    <t>Sale of Finished Goods (Net)</t>
  </si>
  <si>
    <t>Balance Sheet</t>
  </si>
  <si>
    <t>Loan Accepted</t>
  </si>
  <si>
    <t>Mr. Anil M. Lakhotiya</t>
  </si>
  <si>
    <t>Jarnailsingh Saini</t>
  </si>
  <si>
    <t>Loan Repaid</t>
  </si>
  <si>
    <t>CLOSING BALANCES</t>
  </si>
  <si>
    <t>Maximum Outstandings</t>
  </si>
  <si>
    <t>Loans Taken</t>
  </si>
  <si>
    <t>Mrs. Baljitkaur Manindersingh Saini</t>
  </si>
  <si>
    <t xml:space="preserve">Trade Payables </t>
  </si>
  <si>
    <t>Chandra Coal Private Ltd</t>
  </si>
  <si>
    <t>Saini Transport company</t>
  </si>
  <si>
    <t>NOTE 39 :CONTINGENT LIABILITIES &amp; CAPITAL COMMITMENTS</t>
  </si>
  <si>
    <t>Contingent liabilities not provided for in respect of:</t>
  </si>
  <si>
    <t>Bank Guarantee given to M.S.E.D.C.L.</t>
  </si>
  <si>
    <t>Bank Guarantee given to M.P.C.B.</t>
  </si>
  <si>
    <t>Interest as per section 16 of MSMED Act</t>
  </si>
  <si>
    <t>TDS</t>
  </si>
  <si>
    <t>Excise Duty From F.Y.2008-09 to 2010-2011</t>
  </si>
  <si>
    <t xml:space="preserve"> - Demand Raised excluding interest</t>
  </si>
  <si>
    <t xml:space="preserve"> - Penalty Levied</t>
  </si>
  <si>
    <t>The Company had received demand of Rs 2,73,06,791 in earlier years on account of Excise Duty &amp; Penalty excluding interest for the period from  F.Y.2008-09 to 2010-2011.The Company had obtained stay order against the same and filed an appeal with Custom, Excise &amp; Service Tax Appellate Tribunal, Mumbai. Based on Legal advice , the Company had not made any provision against the same.</t>
  </si>
  <si>
    <t>Excise Duty From July 2003 to March 2004</t>
  </si>
  <si>
    <t>Excise Duty From April 2004 to October 2004</t>
  </si>
  <si>
    <t>In Past, the Company had received order from the office of the Commissioner of Central Excise, Custom &amp; Service Tax, Nagpur -II demanding Excise Duty of Rs. 25,88,898/- including penalty. The Company has filed an appeal with the Commissioner (Appeals) under section 35 of the Act against the said order. The Company has paid the basic Demand under protest amounting to 12,94,449/- to save interest and penalty on suomoto basis. Based on the legal advice, the Company had not made any provisions against the said demand. In absence of any progress on the said matter, during the year, the company has written of the said amount paid in FY 2018-19.</t>
  </si>
  <si>
    <t>Capital Commitments (Net of Advances )</t>
  </si>
  <si>
    <t>Estimated amount of contracts remaining to be executed on Capital accounts and not provided</t>
  </si>
  <si>
    <t>NOTE 40 :</t>
  </si>
  <si>
    <t>The balances of Trade Payables, Trade Receivables and Loans &amp; Advances are subject to confirmation and reconciliation.</t>
  </si>
  <si>
    <t>NOTE 41 :</t>
  </si>
  <si>
    <t>NOTE 42 :</t>
  </si>
  <si>
    <t>NOTE 43 :PSI Subsidy</t>
  </si>
  <si>
    <t>Unhedged Foreign Exchange Exposure</t>
  </si>
  <si>
    <t>Outstanding in Forex</t>
  </si>
  <si>
    <t>Outstanding in INR</t>
  </si>
  <si>
    <t>USD</t>
  </si>
  <si>
    <t>Advance to Suppliers for Capital goods and stores</t>
  </si>
  <si>
    <t>Nil</t>
  </si>
  <si>
    <t>Trade Payables for Raw Materials &amp; Stores</t>
  </si>
  <si>
    <t>Previous year's figures have been regrouped and rearranged to correspond with the figures of current year wherever necessary.</t>
  </si>
  <si>
    <t>GP calculation</t>
  </si>
  <si>
    <t>Depreciation as per P&amp;L</t>
  </si>
  <si>
    <t>Depreciation as per PPE</t>
  </si>
  <si>
    <t>Difference as per cl</t>
  </si>
  <si>
    <t>Cl as per calculation</t>
  </si>
  <si>
    <t>Cl as per tally</t>
  </si>
  <si>
    <t>Difference due to Cl stock valuation</t>
  </si>
  <si>
    <t>Pending from Hardoli, entries to be rectified.</t>
  </si>
  <si>
    <t>Power &amp; Fuel</t>
  </si>
  <si>
    <t>Stores &amp; Spares</t>
  </si>
  <si>
    <t>Packing Material</t>
  </si>
  <si>
    <t>Exp Incurred</t>
  </si>
  <si>
    <t>Opening</t>
  </si>
  <si>
    <t>Closing</t>
  </si>
  <si>
    <t xml:space="preserve">Stock </t>
  </si>
  <si>
    <t>Opening-2020-21</t>
  </si>
  <si>
    <t>Opening-2019-20</t>
  </si>
  <si>
    <t>Closing-2020-21</t>
  </si>
  <si>
    <t>Closing-2019-20</t>
  </si>
  <si>
    <t>Finished</t>
  </si>
  <si>
    <t>Raw material</t>
  </si>
  <si>
    <t>TO be deducted from Purchase</t>
  </si>
  <si>
    <t>It is Provision for earlier year</t>
  </si>
  <si>
    <t>March 31, 2022 (₹)</t>
  </si>
  <si>
    <t>NOTES TO FINANCIAL STATEMENT FOR THE YEAR ENDED 31ST MARCH, 2022</t>
  </si>
  <si>
    <t>Other Non Current Assets</t>
  </si>
  <si>
    <t>Cash and cash Equivalents</t>
  </si>
  <si>
    <t>Other Financial Assets - Non Current</t>
  </si>
  <si>
    <t>Current Tax Assets</t>
  </si>
  <si>
    <t>Other Financial Liabilities - Current</t>
  </si>
  <si>
    <t>Non Current - Provisions</t>
  </si>
  <si>
    <t>Short Term Provisions</t>
  </si>
  <si>
    <t>PSI Subsidy</t>
  </si>
  <si>
    <t>Other - Manufacturing Expenses</t>
  </si>
  <si>
    <t>Power and Fuel</t>
  </si>
  <si>
    <t>Repairs &amp; Maintainence - Machinery</t>
  </si>
  <si>
    <t>Repairs &amp; Maintainence - Building</t>
  </si>
  <si>
    <t>Waste Paper Feeding Charges</t>
  </si>
  <si>
    <t>Other - Establishment Expenses</t>
  </si>
  <si>
    <t>Legal and Professional Charges</t>
  </si>
  <si>
    <t>Listing Expenses</t>
  </si>
  <si>
    <t>Repairs &amp; Maintainence - Others</t>
  </si>
  <si>
    <t>Repairs &amp; Maintainence - Vehicle</t>
  </si>
  <si>
    <t>Rent Expense</t>
  </si>
  <si>
    <t>Travelling and Conveyance Expense</t>
  </si>
  <si>
    <t>Telephone Expenses</t>
  </si>
  <si>
    <t>Other - Selling &amp; Distribution Expenses</t>
  </si>
  <si>
    <t>Discount &amp; Commission</t>
  </si>
  <si>
    <t>Freight on Sales</t>
  </si>
  <si>
    <t>Earlier Year Taxes</t>
  </si>
  <si>
    <t>Property, Plant and Equipment Total</t>
  </si>
  <si>
    <t>Other Financial Assets - Non Current Total</t>
  </si>
  <si>
    <t>Other Non Current Assets Total</t>
  </si>
  <si>
    <t>Financial Assets Total</t>
  </si>
  <si>
    <t>Cash and cash Equivalents Total</t>
  </si>
  <si>
    <t>Other Financial Liabilities - Current Total</t>
  </si>
  <si>
    <t>Short Term Provisions Total</t>
  </si>
  <si>
    <t>Other - Establishment Expenses Total</t>
  </si>
  <si>
    <t>Current Tax Assets Total</t>
  </si>
  <si>
    <t>11 Total</t>
  </si>
  <si>
    <t>Advertisement Expenses Total</t>
  </si>
  <si>
    <t>Discount &amp; Commission Total</t>
  </si>
  <si>
    <t>Clearing &amp; Forwarding Expenses Total</t>
  </si>
  <si>
    <t>Insurance on Sales Total</t>
  </si>
  <si>
    <t>Freight on Sales Total</t>
  </si>
  <si>
    <t>Commission on Sales Total</t>
  </si>
  <si>
    <t>Other - Selling &amp; Distribution Expenses Total</t>
  </si>
  <si>
    <t>General Expenses Total</t>
  </si>
  <si>
    <t>Listing Expenses Total</t>
  </si>
  <si>
    <t>Audit Expenses Total</t>
  </si>
  <si>
    <t>Bank Commission &amp; Charges Total</t>
  </si>
  <si>
    <t>CSR Expenses Total</t>
  </si>
  <si>
    <t>Office Expenses Total</t>
  </si>
  <si>
    <t>Rates &amp; Taxes Total</t>
  </si>
  <si>
    <t>Legal and Professional Charges Total</t>
  </si>
  <si>
    <t>Travelling and Conveyance Expense Total</t>
  </si>
  <si>
    <t>Rent Expense Total</t>
  </si>
  <si>
    <t>Insurance Charges Total</t>
  </si>
  <si>
    <t>Earlier Year Taxes Total</t>
  </si>
  <si>
    <t>Internal Audit Fees Total</t>
  </si>
  <si>
    <t>Repairs &amp; Maintainence - Others Total</t>
  </si>
  <si>
    <t>Printing &amp; Stationery Total</t>
  </si>
  <si>
    <t>Statutory Audit Fees Total</t>
  </si>
  <si>
    <t>Telephone Expenses Total</t>
  </si>
  <si>
    <t>Repairs &amp; Maintainence - Vehicle Total</t>
  </si>
  <si>
    <t>Factory Expenses Total</t>
  </si>
  <si>
    <t>Repairs &amp; Maintainence - Machinery Total</t>
  </si>
  <si>
    <t>Power and Fuel Total</t>
  </si>
  <si>
    <t>Finished Goods Packing and Allied Charges Total</t>
  </si>
  <si>
    <t>Packing Material Purchase Total</t>
  </si>
  <si>
    <t>Stores &amp; Spares Consumed Total</t>
  </si>
  <si>
    <t>Raw Material Sorting Charges Total</t>
  </si>
  <si>
    <t>Repairs &amp; Maintainence - Building Total</t>
  </si>
  <si>
    <t>Security Service Charges Total</t>
  </si>
  <si>
    <t>Waste Paper Feeding Charges Total</t>
  </si>
  <si>
    <t>Other - Manufacturing Expenses Total</t>
  </si>
  <si>
    <t>27 Total</t>
  </si>
  <si>
    <t>23 Total</t>
  </si>
  <si>
    <t>Non Current - Provisions Total</t>
  </si>
  <si>
    <t>14 Total</t>
  </si>
  <si>
    <t>PSI Subsidy Total</t>
  </si>
  <si>
    <t>21 Total</t>
  </si>
  <si>
    <t>Interest Accrued but not due on Term Loans</t>
  </si>
  <si>
    <t>Interest Accrued but not due on Term Loans Total</t>
  </si>
  <si>
    <t>2021-22</t>
  </si>
  <si>
    <t>Calculation of Remuneration as per Section 197 of the Companies Act</t>
  </si>
  <si>
    <t>Amount</t>
  </si>
  <si>
    <t>Net Profit for F/Y</t>
  </si>
  <si>
    <t>Bounties and subsidies received from any Government, or any public authority constituted or authorized in this behalf, by any Government. (Except as Central Government directs otherwise)</t>
  </si>
  <si>
    <t>Add:</t>
  </si>
  <si>
    <t>Profits, by way of premium on shares or debentures of the company, which are issued or sold by the company.</t>
  </si>
  <si>
    <t>Where the amount for which any fixed asset is sold exceeds the written- down value thereof, credit shall be given for so much of the excess as is not higher than the difference between the original cost of that fixed asset and its writtendown value.</t>
  </si>
  <si>
    <t>Less:</t>
  </si>
  <si>
    <t>Profits on sales by the company of forfeited shares.</t>
  </si>
  <si>
    <t>Profits of a capital nature including profits from the sale of the undertaking or any of the undertakings of the company or of any part thereof.</t>
  </si>
  <si>
    <t>Profits from the sale of any immovable property or fixed assets of a capital nature comprised in the undertaking or any of the undertakings of the company. (unless the business of the company consists, whether wholly or partly, of buying and selling any such property or assets).</t>
  </si>
  <si>
    <t>Any change in carrying amount of an asset or of a liability recognised in equity reserves including surplus in profit and loss account on measurement of the asset or the liability at fair value.</t>
  </si>
  <si>
    <t>All the usual working charges</t>
  </si>
  <si>
    <t>Directors’ remuneration</t>
  </si>
  <si>
    <t>Bonus or commission paid or payable to any member of the company’s staff, or to any engineer, technician or person employed or engaged by the company, whether on a whole-time or on a part-time basis</t>
  </si>
  <si>
    <t>Any tax notified by the Central Government as being in the nature of a tax on excess or abnormal profits.</t>
  </si>
  <si>
    <t>Any tax on business profits imposed for special reasons or in special circumstances and notified by the Central Government in this behalf.</t>
  </si>
  <si>
    <t>Interest on debentures issued by the company</t>
  </si>
  <si>
    <t>Expenses on repairs, whether to immovable or to movable property, provided the repairs are not of a capital nature.</t>
  </si>
  <si>
    <t>Outgoings inclusive of contributions made under section 181.</t>
  </si>
  <si>
    <t>Depreciation to the extent specified in section 123.</t>
  </si>
  <si>
    <t>The excess of expenditure over income, which had arisen in computing the net profits in accordance with this section in any year which begins at or after the commencement of this Act, in so far as such excess has not been deducted in any subsequent year preceding the year in respect of which the net profits have to be ascertained.</t>
  </si>
  <si>
    <t>Any compensation or damages to be paid in virtue of any legal liability including a liability arising from a breach of contract.</t>
  </si>
  <si>
    <t>Any sum paid by way of insurance against the risk of meeting any liability such as is referred to in clause (20)</t>
  </si>
  <si>
    <t>Debts considered bad and written off or adjusted during the year of account.</t>
  </si>
  <si>
    <t>Taken Not Taken</t>
  </si>
  <si>
    <t>ü</t>
  </si>
  <si>
    <t>Months</t>
  </si>
  <si>
    <t>Anilkumar Lakhotiya</t>
  </si>
  <si>
    <t>Kailashchandra Agarwal</t>
  </si>
  <si>
    <t>Omprakash Rathi</t>
  </si>
  <si>
    <t>Jairnailsingh Saini</t>
  </si>
  <si>
    <t>Paid in</t>
  </si>
  <si>
    <t>Dissallowances under Income Tax</t>
  </si>
  <si>
    <t>PY PT Paid</t>
  </si>
  <si>
    <t>Earlier year Tax</t>
  </si>
  <si>
    <t>Interest on TDS</t>
  </si>
  <si>
    <t>Deposits Group Gratuity Fund (New Policy 707003372)</t>
  </si>
  <si>
    <t>Deposits Group Gratuity Fund (Policy No. 707000291)</t>
  </si>
  <si>
    <t>Insurance Premium in Group Gratuity</t>
  </si>
  <si>
    <t>TERM LOAN DETAILS</t>
  </si>
  <si>
    <t>Sanction Amount / Op Balance</t>
  </si>
  <si>
    <t>Principle O/s</t>
  </si>
  <si>
    <t>Interest Exp</t>
  </si>
  <si>
    <t>Principle Payment</t>
  </si>
  <si>
    <t>Short Term Liability</t>
  </si>
  <si>
    <t>Long Term Outstandig</t>
  </si>
  <si>
    <t>Remarks</t>
  </si>
  <si>
    <t>Repayment will start from December 23. Hence not short term principle amount payable for March 22</t>
  </si>
  <si>
    <t>Repyment Started from June 2021</t>
  </si>
  <si>
    <t>Repayment Schedule - WCTL GECL 4 - 73 Lacs - A/c No. 40590939457</t>
  </si>
  <si>
    <t>Principle Amount</t>
  </si>
  <si>
    <t>EMI</t>
  </si>
  <si>
    <t>Balance</t>
  </si>
  <si>
    <t>Repayment Schedule - WCTL GECL 1 - 146 Lacs - A/c No. 39366011281</t>
  </si>
  <si>
    <t>Interest Payment</t>
  </si>
  <si>
    <t>Commitment</t>
  </si>
  <si>
    <t>Repayment Schedule - Term Loan- 775 Lacs - A/c No. 40667225452</t>
  </si>
  <si>
    <t>Repayment</t>
  </si>
  <si>
    <t>Addition</t>
  </si>
  <si>
    <t>Commitment Charges</t>
  </si>
  <si>
    <t>Payment</t>
  </si>
  <si>
    <t>Date</t>
  </si>
  <si>
    <t>Days</t>
  </si>
  <si>
    <t>%</t>
  </si>
  <si>
    <t>Int Exp</t>
  </si>
  <si>
    <t xml:space="preserve">Anita lakhotiya </t>
  </si>
  <si>
    <t>Balijit Kaur Maninersingh Saini</t>
  </si>
  <si>
    <t xml:space="preserve">Gaurav Lakhotiya </t>
  </si>
  <si>
    <t xml:space="preserve">Kailash kaur Jarnailsingh Saini </t>
  </si>
  <si>
    <t xml:space="preserve">Sanjamkaur saini </t>
  </si>
  <si>
    <t xml:space="preserve">Sartaj Manindersingh Saini </t>
  </si>
  <si>
    <t xml:space="preserve">Snehlata A. Lakhotiya </t>
  </si>
  <si>
    <t>TOTAL INSTEREST ON UNSECURED LOAN</t>
  </si>
  <si>
    <t>AS PER BOOKS</t>
  </si>
  <si>
    <t>Difference</t>
  </si>
  <si>
    <t>H A R D O L I   P A P E R   M I L L S   L I M I T E D</t>
  </si>
  <si>
    <t>BONUS STATEMENT 01.04.21 TO 31.03.22</t>
  </si>
  <si>
    <t>Employees Contribution towards Provident Fund</t>
  </si>
  <si>
    <t>Employers Contribution towards Provident Fund - INCLUDING ADMIN CHARGES &amp; EDLI</t>
  </si>
  <si>
    <t>ESIC</t>
  </si>
  <si>
    <t>ESIC - Employer Share</t>
  </si>
  <si>
    <t>A] TECHNICAL STAFF :</t>
  </si>
  <si>
    <t>SN.</t>
  </si>
  <si>
    <t>NAME</t>
  </si>
  <si>
    <t>APRIL</t>
  </si>
  <si>
    <t>MAY</t>
  </si>
  <si>
    <t>JUNE</t>
  </si>
  <si>
    <t>JULY</t>
  </si>
  <si>
    <t>AUG.</t>
  </si>
  <si>
    <t>SEPT.</t>
  </si>
  <si>
    <t>OCT.</t>
  </si>
  <si>
    <t>NOV.</t>
  </si>
  <si>
    <t>DEC.</t>
  </si>
  <si>
    <t>JAN.</t>
  </si>
  <si>
    <t>FEB.</t>
  </si>
  <si>
    <t>MARCH</t>
  </si>
  <si>
    <t>TOTAL</t>
  </si>
  <si>
    <t>BONUS</t>
  </si>
  <si>
    <t>@8.33%</t>
  </si>
  <si>
    <t>MR.</t>
  </si>
  <si>
    <t>NITIN  THAKRE</t>
  </si>
  <si>
    <t>MOHAN FULZELE</t>
  </si>
  <si>
    <t>SAMBHU RAI</t>
  </si>
  <si>
    <t>PRADIP THAKRE</t>
  </si>
  <si>
    <t>PRAKASH CHAPLE</t>
  </si>
  <si>
    <t>VINOD SAMDURKAR</t>
  </si>
  <si>
    <t>SATISH KALBANDE</t>
  </si>
  <si>
    <t>SUBHASH SHIRSAGAR</t>
  </si>
  <si>
    <t>SUBHASH JAISWAL</t>
  </si>
  <si>
    <t>SURESH KEDAR</t>
  </si>
  <si>
    <t>NASIR KHAN</t>
  </si>
  <si>
    <t>SUDHAKAR RAUT</t>
  </si>
  <si>
    <t>NANDKISHOR AKOLKAR</t>
  </si>
  <si>
    <t>NARESH ERPATE</t>
  </si>
  <si>
    <t>SUNIL NAGOSE</t>
  </si>
  <si>
    <t>MAHULAL YADAV</t>
  </si>
  <si>
    <t>PAWAN DIGAMBER</t>
  </si>
  <si>
    <t>MANOHAR REWATKAR</t>
  </si>
  <si>
    <t>JANARDHAN THAWLE</t>
  </si>
  <si>
    <t>PRAMOD NEHARE</t>
  </si>
  <si>
    <t>MANOJ GORE</t>
  </si>
  <si>
    <t>SACHIN DEHANKAR</t>
  </si>
  <si>
    <t>AMOL KAKDE</t>
  </si>
  <si>
    <t>CHANDRASHEKHAR BALKI</t>
  </si>
  <si>
    <t>BHOJRAJ KADU</t>
  </si>
  <si>
    <t>DILIP PATEL</t>
  </si>
  <si>
    <t>MANOHAR SHEREKAR</t>
  </si>
  <si>
    <t>KHUSHAL D. PATIL</t>
  </si>
  <si>
    <t>RAMNARESH SINGH</t>
  </si>
  <si>
    <t>DIGAMBER DHORE</t>
  </si>
  <si>
    <t>NANAJI DIGORE</t>
  </si>
  <si>
    <t>RISHIKUMAR YADAV</t>
  </si>
  <si>
    <t>VISHNU ANMADWAR</t>
  </si>
  <si>
    <t>DHANRAJ RAUT</t>
  </si>
  <si>
    <t>RAMSINGH PARTETI</t>
  </si>
  <si>
    <t>JIWAN WANDHARE</t>
  </si>
  <si>
    <t>NARAYAN WARTHI</t>
  </si>
  <si>
    <t>RAVINDRA KUMBHARE</t>
  </si>
  <si>
    <t>ISHWAR NAGOSE</t>
  </si>
  <si>
    <t>AMIL WARTHI</t>
  </si>
  <si>
    <t>JAYAPRAKASH DHURVE</t>
  </si>
  <si>
    <t>BHUSHAN BAWANKAR</t>
  </si>
  <si>
    <t>B] FACTORY STAFF :</t>
  </si>
  <si>
    <t>GAURAV LAKHOTIYA</t>
  </si>
  <si>
    <t>VISHAL JOSHI</t>
  </si>
  <si>
    <t>VINOD KAROLE</t>
  </si>
  <si>
    <t>MAHESH MIRASHE</t>
  </si>
  <si>
    <t>RAHUL BAGDE</t>
  </si>
  <si>
    <t>MS.</t>
  </si>
  <si>
    <t>DIKSHA DHARME</t>
  </si>
  <si>
    <t>ASHUTOSH SHIRKHEDKAR</t>
  </si>
  <si>
    <t>C] OFFICE STAFF :</t>
  </si>
  <si>
    <t>DEVIDAS PANDE</t>
  </si>
  <si>
    <t>SMT.</t>
  </si>
  <si>
    <t>JAYSHREE THAWRE</t>
  </si>
  <si>
    <t>KUNAL JAIN</t>
  </si>
  <si>
    <t>SURYAKANT SADAWARTI</t>
  </si>
  <si>
    <t>ANWAR AKHTAR</t>
  </si>
  <si>
    <t>NILKANTH NIKHARE</t>
  </si>
  <si>
    <t>JITENDRA NIKHARE</t>
  </si>
  <si>
    <t>MAYANK LUNIYA</t>
  </si>
  <si>
    <t>D] REMUNERATION :</t>
  </si>
  <si>
    <t>A. M. LAKHOTIYA</t>
  </si>
  <si>
    <t>K. P. AGARWAL</t>
  </si>
  <si>
    <t>OMPRAKASH RATHI</t>
  </si>
  <si>
    <t>JARNAILSINGH SAINI</t>
  </si>
  <si>
    <t>A B S T R A C T :</t>
  </si>
  <si>
    <t>AMOUNT</t>
  </si>
  <si>
    <t>A]</t>
  </si>
  <si>
    <t>TECHNICAL STAFF</t>
  </si>
  <si>
    <t>B]</t>
  </si>
  <si>
    <t>FACTORY STAFF</t>
  </si>
  <si>
    <t>C]</t>
  </si>
  <si>
    <t>OFFICE STAFF</t>
  </si>
  <si>
    <t>D]</t>
  </si>
  <si>
    <t>REMUNERATION</t>
  </si>
  <si>
    <t>TOTAL BONUS RS.</t>
  </si>
  <si>
    <t>Difference in Bonus</t>
  </si>
  <si>
    <t>LEAVE WITH WAGES STATEMENT 01.04.2021 TO 31.03.2022</t>
  </si>
  <si>
    <t>S.N.</t>
  </si>
  <si>
    <t>NAME OF EMPLOYEES</t>
  </si>
  <si>
    <t>MONTHS</t>
  </si>
  <si>
    <t>DAYS</t>
  </si>
  <si>
    <t>SALARY</t>
  </si>
  <si>
    <t xml:space="preserve">AMOUNT </t>
  </si>
  <si>
    <t>01.04.21</t>
  </si>
  <si>
    <t>01.01.22</t>
  </si>
  <si>
    <t>BASIC+DA</t>
  </si>
  <si>
    <t>04.04.21</t>
  </si>
  <si>
    <t>TO</t>
  </si>
  <si>
    <t>RS.</t>
  </si>
  <si>
    <t>31.12.21</t>
  </si>
  <si>
    <t>31.03.22</t>
  </si>
  <si>
    <t>NASIR AHMAD KHAN</t>
  </si>
  <si>
    <t>MOHD ANISH ABDUL AZIZ</t>
  </si>
  <si>
    <t>DIGAMBER  DHORE</t>
  </si>
  <si>
    <t>NANAJI  DIGORE</t>
  </si>
  <si>
    <t>TOTAL AMOUNT</t>
  </si>
  <si>
    <t>GST ANNUAL FEES F.Y. 2021-22</t>
  </si>
  <si>
    <t>MNS Credit Management Group Pvt Ltd</t>
  </si>
  <si>
    <t>Payable to GST Annual Fees F.Y.21-22</t>
  </si>
  <si>
    <t>Bank FD Details</t>
  </si>
  <si>
    <t>A/c No.</t>
  </si>
  <si>
    <t>Opening Balance / Deposit Amount</t>
  </si>
  <si>
    <t>Interest rate</t>
  </si>
  <si>
    <t>Balance as on 31-03-2022</t>
  </si>
  <si>
    <t>Purpose of FD</t>
  </si>
  <si>
    <t>BG for MSEB 12.50 Lacs</t>
  </si>
  <si>
    <t>WDL transfer to which A/c 4898047129575</t>
  </si>
  <si>
    <t>BG for MPCB 5 Lacs</t>
  </si>
  <si>
    <t>BG For custom 8.25 Lacs</t>
  </si>
  <si>
    <t>WDL transfer to which A/c 4898047129575. Balance not matching with tally</t>
  </si>
  <si>
    <t>For additional MSEB FD</t>
  </si>
  <si>
    <t>Hardoli Paper Mills Limited</t>
  </si>
  <si>
    <t>Details of Capital Advance as on 31-03-2022</t>
  </si>
  <si>
    <t>Vendor Name</t>
  </si>
  <si>
    <t>Date of Advance</t>
  </si>
  <si>
    <t xml:space="preserve">Amt of Advance </t>
  </si>
  <si>
    <t>Amt of Bill / PO</t>
  </si>
  <si>
    <t>Contingent Liability</t>
  </si>
  <si>
    <t>Boiler NCC Panel + PLC Panel  with AC Drive for FD FAN</t>
  </si>
  <si>
    <t>No. of Days</t>
  </si>
  <si>
    <t>31-03-2022</t>
  </si>
  <si>
    <t>Chaitanya Construction</t>
  </si>
  <si>
    <t>14-02-2022</t>
  </si>
  <si>
    <t>31/01/2022</t>
  </si>
  <si>
    <t>22/02/2022</t>
  </si>
  <si>
    <t>Deaerator Tank accessories</t>
  </si>
  <si>
    <t>Indian Machinery Stores</t>
  </si>
  <si>
    <t>24-03-2022</t>
  </si>
  <si>
    <t>ELGI Make Air Compressor</t>
  </si>
  <si>
    <t>30-12-2021</t>
  </si>
  <si>
    <t>out of the total PO value of Rs. 2865000, Bills of Rs. 11091444 are received.</t>
  </si>
  <si>
    <t>Navdurga Boiler &amp; Equipments P. Ltd.</t>
  </si>
  <si>
    <t>15-12-2021</t>
  </si>
  <si>
    <t>21-03-2022</t>
  </si>
  <si>
    <t>28-03-2022</t>
  </si>
  <si>
    <t>Total Advance paid is of Rs. 1389464/- whereas PO value is just of Rs. 643330/-</t>
  </si>
  <si>
    <t>SS Controls</t>
  </si>
  <si>
    <t>22-02-2022</t>
  </si>
  <si>
    <t>Panels purchase</t>
  </si>
  <si>
    <t>Single Girder EOT Crane with modular design &amp; rope hoist</t>
  </si>
  <si>
    <t>HARDOLI PAPER MILLS LTD.</t>
  </si>
  <si>
    <t>IPS CLAIM from F.Y. 2008-09 to 2019-20, 2020-21, 2021-22</t>
  </si>
  <si>
    <t>AS PER SANCTION LETTER</t>
  </si>
  <si>
    <t>Financial Years</t>
  </si>
  <si>
    <t xml:space="preserve">Date </t>
  </si>
  <si>
    <t>Admissible IPS Sanction</t>
  </si>
  <si>
    <t>85% IPS Claim Received</t>
  </si>
  <si>
    <t xml:space="preserve">Closing Balance Amount </t>
  </si>
  <si>
    <t>Dated</t>
  </si>
  <si>
    <t>Admissible IPS Provision</t>
  </si>
  <si>
    <t>Received As per Books</t>
  </si>
  <si>
    <t>Closing Balance Amount</t>
  </si>
  <si>
    <t>F. Y. 2008-09</t>
  </si>
  <si>
    <t>F. Y. 2009-10</t>
  </si>
  <si>
    <t>F. Y. 2010-11</t>
  </si>
  <si>
    <t>F. Y. 2011-12</t>
  </si>
  <si>
    <t>F. Y. 2012-13</t>
  </si>
  <si>
    <t>F. Y. 2013-14</t>
  </si>
  <si>
    <t>F. Y. 2014-15</t>
  </si>
  <si>
    <t>F. Y. 2015-16</t>
  </si>
  <si>
    <t>F. Y. 2016-17_Rem</t>
  </si>
  <si>
    <t>F. Y. 2016-17</t>
  </si>
  <si>
    <t>F. Y. 2017-18_Vat</t>
  </si>
  <si>
    <t>GST Act July-2017</t>
  </si>
  <si>
    <t>F. Y. 2017-18_GST</t>
  </si>
  <si>
    <t>F. Y. 2018-19</t>
  </si>
  <si>
    <t>F. Y. 2019-20</t>
  </si>
  <si>
    <t>F. Y. 2020-21</t>
  </si>
  <si>
    <t>As per Sanction letter</t>
  </si>
  <si>
    <t>As per Books</t>
  </si>
  <si>
    <t>Admissible IPS Claimed As per Sanction Letter</t>
  </si>
  <si>
    <t>Admissible IPS Claimed as per Books</t>
  </si>
  <si>
    <t>IPS Claim Received 85% As per Sanction letter</t>
  </si>
  <si>
    <t>IPS Claimed Received as per Books</t>
  </si>
  <si>
    <t>Remaining Balance  (Closing Balance 31/03/2022)</t>
  </si>
  <si>
    <t xml:space="preserve">Differences </t>
  </si>
  <si>
    <t>Differences:</t>
  </si>
  <si>
    <t>Hardoli  Paper  Mills  Ltd</t>
  </si>
  <si>
    <t>Valuation as  per cost</t>
  </si>
  <si>
    <t xml:space="preserve">Production  </t>
  </si>
  <si>
    <t>Excluded</t>
  </si>
  <si>
    <t>Overheads</t>
  </si>
  <si>
    <t xml:space="preserve">Raw Material Consumption </t>
  </si>
  <si>
    <t>Salary  &amp; Wages</t>
  </si>
  <si>
    <t>Incentive on Power Consumption</t>
  </si>
  <si>
    <t>Security  Service  Charges</t>
  </si>
  <si>
    <t>Stores  &amp;  Spares  Consumed</t>
  </si>
  <si>
    <t>Packing  Material Consumed</t>
  </si>
  <si>
    <t>Repair  &amp;  Maint - Machinery</t>
  </si>
  <si>
    <t>Factory  Expenses</t>
  </si>
  <si>
    <t>Waste paper Fedding Charges</t>
  </si>
  <si>
    <t>Administration Cost</t>
  </si>
  <si>
    <t>Cost /MT</t>
  </si>
  <si>
    <t>Total Cost/MT</t>
  </si>
  <si>
    <t xml:space="preserve">Cl. Stock </t>
  </si>
  <si>
    <t>Valuation at cost</t>
  </si>
  <si>
    <t>FINANCIAL YEAR 2021-22</t>
  </si>
  <si>
    <t>WDL transfer to which A/c 4898047129575.</t>
  </si>
  <si>
    <t>Staff Loan Repayment Schdule From 01.04.2021 to 31.01.2022</t>
  </si>
  <si>
    <t>bookcd</t>
  </si>
  <si>
    <t>bookdes</t>
  </si>
  <si>
    <t>accd</t>
  </si>
  <si>
    <t>acname</t>
  </si>
  <si>
    <t>trcurcd</t>
  </si>
  <si>
    <t>subldcd</t>
  </si>
  <si>
    <t>S.No.</t>
  </si>
  <si>
    <t>Emplyee Name</t>
  </si>
  <si>
    <t>Loan Amount as on 31.03.2022</t>
  </si>
  <si>
    <t>&lt; 1 Year</t>
  </si>
  <si>
    <t>&gt; 1 Year</t>
  </si>
  <si>
    <t>AP</t>
  </si>
  <si>
    <t>Amol Pharma</t>
  </si>
  <si>
    <t>200215</t>
  </si>
  <si>
    <t>Staff Loan</t>
  </si>
  <si>
    <t>RS</t>
  </si>
  <si>
    <t>AP/002</t>
  </si>
  <si>
    <t>AP/035</t>
  </si>
  <si>
    <t>SURESH KUMAR SAHU</t>
  </si>
  <si>
    <t>ADVANCE TO SUPPLIER 01-04-2021 TO 31-03-2022</t>
  </si>
  <si>
    <t>Sr. No.</t>
  </si>
  <si>
    <t>Party Name</t>
  </si>
  <si>
    <t>K/A PERSON</t>
  </si>
  <si>
    <t>Please provide the Ledger Confirmation</t>
  </si>
  <si>
    <t>Raw Material Consumption</t>
  </si>
  <si>
    <t>Purchase</t>
  </si>
  <si>
    <t>Year Ended March 31, 2021 (₹)</t>
  </si>
  <si>
    <t>Year Ended March 31, 2020 (₹)</t>
  </si>
  <si>
    <t>QTY</t>
  </si>
  <si>
    <t>Rate</t>
  </si>
  <si>
    <t>Sales of Production Qty</t>
  </si>
  <si>
    <t>Manufacturing Expenses</t>
  </si>
  <si>
    <t>Cost of Production</t>
  </si>
  <si>
    <t>Gross Profit</t>
  </si>
  <si>
    <t>Net Profit Before Tax</t>
  </si>
  <si>
    <t>(1) MAT credit Entilement</t>
  </si>
  <si>
    <t>(2) Deferred tax</t>
  </si>
  <si>
    <t>PROFIT PER MT CALCULATION FOR THE YEAR ENDED ON 31ST MARCH, 2022</t>
  </si>
  <si>
    <t>Year Ended March 31, 2022 (₹)</t>
  </si>
  <si>
    <t>31st March, 2021 (₹)</t>
  </si>
  <si>
    <t>A CASH FLOW FROM OPERATING ACTIVITIES</t>
  </si>
  <si>
    <t xml:space="preserve">PROFIT BEFORE INCOME TAX </t>
  </si>
  <si>
    <t>Adjustments for:</t>
  </si>
  <si>
    <t>Other comprehensive Income - Acturial Gain / (loss)</t>
  </si>
  <si>
    <t xml:space="preserve">Depreciation, amortisation and impairment </t>
  </si>
  <si>
    <t xml:space="preserve">Net (Gain)/ Loss on disposal of property, plant and equipment </t>
  </si>
  <si>
    <t>FY 2018-19</t>
  </si>
  <si>
    <t>FY 2017-18</t>
  </si>
  <si>
    <t xml:space="preserve">Operating profit before working capital changes </t>
  </si>
  <si>
    <t>Change in operating assets and liabilities:</t>
  </si>
  <si>
    <t>Particular</t>
  </si>
  <si>
    <t>Closing 2020-21</t>
  </si>
  <si>
    <t>Opening 2020-21</t>
  </si>
  <si>
    <t>Difference 2020-21</t>
  </si>
  <si>
    <t>Closing 2019-20</t>
  </si>
  <si>
    <t>Opening 2019-20</t>
  </si>
  <si>
    <t>Difference  2019-20</t>
  </si>
  <si>
    <t xml:space="preserve">(Increase)/ Decrease in inventories </t>
  </si>
  <si>
    <t xml:space="preserve">(Increase)/ Decrease in trade receivables </t>
  </si>
  <si>
    <t>(Increase)/ Decrease in other financials assets</t>
  </si>
  <si>
    <t xml:space="preserve">(Increase)/ Decrease in other current assets </t>
  </si>
  <si>
    <t>(Increase)/ Decrease in other Bank Balance</t>
  </si>
  <si>
    <t xml:space="preserve">Increase/ (Decrease) in trade payables </t>
  </si>
  <si>
    <t>Trade Payable</t>
  </si>
  <si>
    <t>Increase/ (Decrease) in other Non Current Provisions</t>
  </si>
  <si>
    <t>Non Current Provisions</t>
  </si>
  <si>
    <t xml:space="preserve">Increase/ (Decrease) in other financial liabilities </t>
  </si>
  <si>
    <t>Other Financial Liabilities</t>
  </si>
  <si>
    <t xml:space="preserve">Increase/ (Decrease) in other current liabilities </t>
  </si>
  <si>
    <t xml:space="preserve">Increase/ (Decrease) in provisions </t>
  </si>
  <si>
    <t>Current Provisions</t>
  </si>
  <si>
    <t xml:space="preserve">(Increase)/ Decrease in other financial assets (Non Current) </t>
  </si>
  <si>
    <t>Non Current Financial Assets</t>
  </si>
  <si>
    <t xml:space="preserve">(Increase)/ Decrease in other non-current assets </t>
  </si>
  <si>
    <t>Non Current Assets</t>
  </si>
  <si>
    <t>Provision</t>
  </si>
  <si>
    <t xml:space="preserve">Changes in Working Capital </t>
  </si>
  <si>
    <t xml:space="preserve">Cash generated from Operations </t>
  </si>
  <si>
    <t xml:space="preserve">Income taxes paid (net of refunds) </t>
  </si>
  <si>
    <t>Paid during the year</t>
  </si>
  <si>
    <t xml:space="preserve">NET CASH INFLOW GENERATED FROM OPERATING ACTIVITIES </t>
  </si>
  <si>
    <t>Other Tax Assets</t>
  </si>
  <si>
    <t>Income Tax Provision</t>
  </si>
  <si>
    <t>B CASH FLOW FROM INVESTING ACTIVITIES</t>
  </si>
  <si>
    <t>MAT adjustment</t>
  </si>
  <si>
    <t xml:space="preserve">Payment for property, plant and equipment </t>
  </si>
  <si>
    <t>MAT Credit</t>
  </si>
  <si>
    <t xml:space="preserve">Proceeds from sale of property, plant and equipment </t>
  </si>
  <si>
    <t xml:space="preserve">Payment for purchase of investments </t>
  </si>
  <si>
    <t xml:space="preserve">Payment for purchase of inter-corporate deposits placed </t>
  </si>
  <si>
    <t xml:space="preserve">(Given)/ Repayment of loans by related parties </t>
  </si>
  <si>
    <t xml:space="preserve">Interest received </t>
  </si>
  <si>
    <t xml:space="preserve">NET CASH (OUTFLOW) / INFLOW FROM INVESTING ACTIVITIES </t>
  </si>
  <si>
    <t>C CASH FLOW FROM FINANCING ACTIVITIES</t>
  </si>
  <si>
    <t xml:space="preserve">Proceeds from issuance of share capital (net of share issue expenses) </t>
  </si>
  <si>
    <t xml:space="preserve">Increase/ (Decrease) in Borrowing </t>
  </si>
  <si>
    <t>Borrowing</t>
  </si>
  <si>
    <t xml:space="preserve">Repayment of borrowings </t>
  </si>
  <si>
    <t xml:space="preserve">Interest paid </t>
  </si>
  <si>
    <t xml:space="preserve">NET CASH (OUTFLOW) / INFLOW FROM FINANCING ACTIVITIES </t>
  </si>
  <si>
    <t xml:space="preserve">D NET INCREASE / (DECREASE) IN CASH &amp; CASH EQUIVALENTS (A+B+C) </t>
  </si>
  <si>
    <t>E CASH AND CASH EQUIVALENTS AT THE BEGINNING OF THE FINANCIAL YEAR.</t>
  </si>
  <si>
    <t>The cash flow statement has been prepared under the indirect method as set out in Indian Accounting Standard (Ind AS 7) statement of cash flows.</t>
  </si>
  <si>
    <t>For DARAK AND ASSOCIATES</t>
  </si>
  <si>
    <t>FIRM REGISTRATION NO. 132818W</t>
  </si>
  <si>
    <t>CA AMIT M. DARAK</t>
  </si>
  <si>
    <t>Membership No. 144005</t>
  </si>
  <si>
    <t>ANNEXURE 'H'</t>
  </si>
  <si>
    <t>RE : ACCOUNTING RATIO</t>
  </si>
  <si>
    <t>REF.: CLAUSE '32' OF FORM 3CD</t>
  </si>
  <si>
    <t>F.Y. 2019-20</t>
  </si>
  <si>
    <t>GROSS PROFIT</t>
  </si>
  <si>
    <t xml:space="preserve">Turnover                                                                                                                             </t>
  </si>
  <si>
    <t>(A)</t>
  </si>
  <si>
    <t>Less : Raw Material Consumed</t>
  </si>
  <si>
    <t xml:space="preserve">          Excise Duty</t>
  </si>
  <si>
    <t xml:space="preserve">          Manufacturing Expenses</t>
  </si>
  <si>
    <t xml:space="preserve">          Purchase of stock in trade</t>
  </si>
  <si>
    <t xml:space="preserve">          Increase / (Decrease) in stock</t>
  </si>
  <si>
    <t>(B)</t>
  </si>
  <si>
    <t>Gross Profit/(Loss) (A-B)</t>
  </si>
  <si>
    <t>Gross Profit Ratio (%)</t>
  </si>
  <si>
    <t>NET PROFIT RATIO</t>
  </si>
  <si>
    <t>Net Profit After Current Tax</t>
  </si>
  <si>
    <t>Turnover</t>
  </si>
  <si>
    <t>Net Profit Ratio (%)</t>
  </si>
  <si>
    <t>STOCK IN TRADE/TURNOVER</t>
  </si>
  <si>
    <t>Turnover (Finished Goods)</t>
  </si>
  <si>
    <t>Stock in Trade (Finished Goods)</t>
  </si>
  <si>
    <t xml:space="preserve">Stock in Trade/Turnover Ratio </t>
  </si>
  <si>
    <t>MATERIAL CONSUMED/FINISHED GOODS PRODUCED</t>
  </si>
  <si>
    <t>Material Consumed</t>
  </si>
  <si>
    <t>Increase / (Decrease) in stock</t>
  </si>
  <si>
    <t>Finished Goods Produced</t>
  </si>
  <si>
    <t xml:space="preserve">Excise Duty </t>
  </si>
  <si>
    <t>Sales Tax</t>
  </si>
  <si>
    <t>Packing Expenses</t>
  </si>
  <si>
    <t>Power,fuel &amp; water Charges</t>
  </si>
  <si>
    <t>Payment &amp; Provision for Employees</t>
  </si>
  <si>
    <t>Repairs &amp; Maintenance on Building</t>
  </si>
  <si>
    <t>Repairs &amp; Maintenance on Machinery</t>
  </si>
  <si>
    <t>Other Manufacturing Expenses</t>
  </si>
  <si>
    <t>Material Consumed/Finished Goods Produced</t>
  </si>
  <si>
    <t>Actual  Value (Rs.)</t>
  </si>
  <si>
    <t>Tax Value (Rs.)</t>
  </si>
  <si>
    <t>Difference on account of Depreciation</t>
  </si>
  <si>
    <t>WDV as per Companies Act (excluding Revaluation reserve)</t>
  </si>
  <si>
    <t>WDV as per Income Tax Act</t>
  </si>
  <si>
    <t xml:space="preserve">                  Deferred Tax Liability</t>
  </si>
  <si>
    <t>Provision for Bonus</t>
  </si>
  <si>
    <t>Provision for Gratuity</t>
  </si>
  <si>
    <t>Provision for Leave encashment</t>
  </si>
  <si>
    <t>Business Losses</t>
  </si>
  <si>
    <t>Deferred Tax Asset</t>
  </si>
  <si>
    <t>Total Deferred Tax Asset</t>
  </si>
  <si>
    <t>Total Deferred Tax Liability</t>
  </si>
  <si>
    <t>Opening Balance of Deferred Tax Liability</t>
  </si>
  <si>
    <t>Deferred Tax Assets for the year ended 31.03.21</t>
  </si>
  <si>
    <t>Clubbed Entry</t>
  </si>
  <si>
    <t xml:space="preserve">Profit &amp; Loss A/c                                   </t>
  </si>
  <si>
    <t xml:space="preserve"> Dr.</t>
  </si>
  <si>
    <t xml:space="preserve">         To Deferred Tax Liability</t>
  </si>
  <si>
    <t xml:space="preserve">NAME                                                       </t>
  </si>
  <si>
    <t>:</t>
  </si>
  <si>
    <t>STATUS</t>
  </si>
  <si>
    <t>PUBLIC LIMITED COMPANY</t>
  </si>
  <si>
    <t>PREVIOUS YEAR</t>
  </si>
  <si>
    <t xml:space="preserve">ASSESSMENT YEAR                                 </t>
  </si>
  <si>
    <t>PAN NO.</t>
  </si>
  <si>
    <t>AAACH 1472 N</t>
  </si>
  <si>
    <t>COMPUTATION OF INCOME</t>
  </si>
  <si>
    <t>Normal Taxation</t>
  </si>
  <si>
    <t>U/s 115BAA</t>
  </si>
  <si>
    <t>A.Y.2020-21</t>
  </si>
  <si>
    <t>Profit as per Profit and Loss Statement after extraordinary item</t>
  </si>
  <si>
    <t>ADD : DISALLOWANCE CONSIDERED SEPARATELY</t>
  </si>
  <si>
    <t>2018-19</t>
  </si>
  <si>
    <t>Depreciation as per books</t>
  </si>
  <si>
    <t xml:space="preserve">Provision for Gratuity </t>
  </si>
  <si>
    <t>Penalty on Sales Tax</t>
  </si>
  <si>
    <t>Penalty on Service Tax</t>
  </si>
  <si>
    <t xml:space="preserve">Bonus </t>
  </si>
  <si>
    <t>Penalties</t>
  </si>
  <si>
    <t>Loss on sales of asset</t>
  </si>
  <si>
    <t>LESS : ALLOWANCE CONSIDERED SEPARATELY</t>
  </si>
  <si>
    <t>Sec 37 Disallowance</t>
  </si>
  <si>
    <t>Depreciation as per Income Tax</t>
  </si>
  <si>
    <t>CSR</t>
  </si>
  <si>
    <t>LESS : UTILISATION OF UNABSORBED DEPRECIATION</t>
  </si>
  <si>
    <t>Loss on sale of writeoff of asset</t>
  </si>
  <si>
    <t>ADD : UNABSORBED DEPRECIATION TO BE CARRIED FORWARD</t>
  </si>
  <si>
    <t>Sec 40 Disallowance</t>
  </si>
  <si>
    <t>Sec 43B Disallowance</t>
  </si>
  <si>
    <t>Excess provision for bonus for earlier year</t>
  </si>
  <si>
    <t>Provision Of Gratuity</t>
  </si>
  <si>
    <t>Bonus paid for last year u/s 43B</t>
  </si>
  <si>
    <t>Provision of Bonus</t>
  </si>
  <si>
    <t>GROSS TOTAL INCOME</t>
  </si>
  <si>
    <t xml:space="preserve">TOTAL INCOME </t>
  </si>
  <si>
    <t>Sec 43B Disallowance Allowed</t>
  </si>
  <si>
    <t>Profit on Sale of Mutual fund</t>
  </si>
  <si>
    <t>Payment Of Gratuity Pertaining to FY2019-20</t>
  </si>
  <si>
    <t>Less:Exempt Income - u/s 10(38)</t>
  </si>
  <si>
    <t>Payment of Bonus Pertaining to FY2019-20</t>
  </si>
  <si>
    <t xml:space="preserve">Total </t>
  </si>
  <si>
    <t>Less : Set off of Losses</t>
  </si>
  <si>
    <t>Interest Calculation u/s 234C</t>
  </si>
  <si>
    <t>S. No.</t>
  </si>
  <si>
    <t>Installment Period</t>
  </si>
  <si>
    <t>Total Tax Due</t>
  </si>
  <si>
    <t>To Be Deposited (In %)</t>
  </si>
  <si>
    <t>To Be Deposited (In Amount)</t>
  </si>
  <si>
    <t>Deposit Amount</t>
  </si>
  <si>
    <t>Remaining Tax Due</t>
  </si>
  <si>
    <t>Int Rate (In %)</t>
  </si>
  <si>
    <t>First (Up to June)</t>
  </si>
  <si>
    <t>TAX ON TOTAL INCOME  (A)</t>
  </si>
  <si>
    <t>Second (Up to Sep)</t>
  </si>
  <si>
    <t>Third (Up to Dec)</t>
  </si>
  <si>
    <t>Fourth (Up to March)</t>
  </si>
  <si>
    <t>Less : Depreciation or book loss (whichever is lower)</t>
  </si>
  <si>
    <t>BOOK PROFIT</t>
  </si>
  <si>
    <t xml:space="preserve">15% THEREOF </t>
  </si>
  <si>
    <t>TAX ON INCOME  (B)</t>
  </si>
  <si>
    <t>A OR B WHICHEVER IS HIGHER</t>
  </si>
  <si>
    <t>Add  : Surcharge @ 7%</t>
  </si>
  <si>
    <t>Add  : Education Cess @ 4%</t>
  </si>
  <si>
    <t>TOTAL TAX PAYABLE</t>
  </si>
  <si>
    <t>Less : Tax Paid</t>
  </si>
  <si>
    <t xml:space="preserve">           (a)  TDS and TCS ( As per 26 AS)</t>
  </si>
  <si>
    <t xml:space="preserve">           (b)  MAT Utilised</t>
  </si>
  <si>
    <t xml:space="preserve">           (c)  Advance Tax</t>
  </si>
  <si>
    <t>Add  : Interest  u/s 234C</t>
  </si>
  <si>
    <t>Less : Self Assessment Tax Paid</t>
  </si>
  <si>
    <t>BALANCE TAX PAYABLE / (REFUNDABLE)</t>
  </si>
  <si>
    <t xml:space="preserve">Brought Forward Loss / Unabsorbed Depreciation  </t>
  </si>
  <si>
    <t>Business Loss</t>
  </si>
  <si>
    <t>Unabsorbed Depreciation</t>
  </si>
  <si>
    <t>Normal Depreciation</t>
  </si>
  <si>
    <t>Additional Depreciation</t>
  </si>
  <si>
    <t>AY 2016-17</t>
  </si>
  <si>
    <t>Less: Set off Against Income of AY 2018-19</t>
  </si>
  <si>
    <t>Less: Set off Against Income of AY 2020-21</t>
  </si>
  <si>
    <t>Calculation of Maximum Remuneration to Director u/s 197 of  Companies Act 2013</t>
  </si>
  <si>
    <t>In case of No profit /Loss/Inedaqate Profit</t>
  </si>
  <si>
    <t>Mat Credit Utilisation working</t>
  </si>
  <si>
    <t>Effective capital :</t>
  </si>
  <si>
    <t>IT</t>
  </si>
  <si>
    <t>MAT</t>
  </si>
  <si>
    <t>Paid up capial</t>
  </si>
  <si>
    <t>SC</t>
  </si>
  <si>
    <t xml:space="preserve">Reserves </t>
  </si>
  <si>
    <t>EC</t>
  </si>
  <si>
    <t>Long term loans and deposit</t>
  </si>
  <si>
    <t>repayment after 1 year</t>
  </si>
  <si>
    <t>Investments</t>
  </si>
  <si>
    <t>Celing Limit</t>
  </si>
  <si>
    <t>Effective capital  between  5 Crores - 10 Crores</t>
  </si>
  <si>
    <t>Total Remuneration Allowable</t>
  </si>
  <si>
    <t>Actual Given</t>
  </si>
  <si>
    <t>Short</t>
  </si>
  <si>
    <t>HARDOLI PAPER MILLS LTD</t>
  </si>
  <si>
    <t>ANNEXURE A</t>
  </si>
  <si>
    <t>RE: PARTICULARS OF DEPRECIATION ALLOWABLE AS PER INCOME TAX ACT</t>
  </si>
  <si>
    <t>REF : CLAUSE '18' OF FORM 3CD</t>
  </si>
  <si>
    <t>Name Of Asset</t>
  </si>
  <si>
    <t xml:space="preserve">Rate of </t>
  </si>
  <si>
    <t>W.D.V.as on</t>
  </si>
  <si>
    <t>Exchange Difference (Gain)/ Loss</t>
  </si>
  <si>
    <t>Deletions</t>
  </si>
  <si>
    <t xml:space="preserve">Depreciation </t>
  </si>
  <si>
    <t>Additional Depreciation for the Current Year</t>
  </si>
  <si>
    <t>Additional Depreciation for the Preceeding Year</t>
  </si>
  <si>
    <t>Total 
Depreciation</t>
  </si>
  <si>
    <t xml:space="preserve">W.D.V.as on </t>
  </si>
  <si>
    <t>Additional Depreciation to be carried forward</t>
  </si>
  <si>
    <t>Depren</t>
  </si>
  <si>
    <t>Before 6</t>
  </si>
  <si>
    <t>After 6</t>
  </si>
  <si>
    <t>Allowable</t>
  </si>
  <si>
    <t>BLOCK I</t>
  </si>
  <si>
    <t>Land</t>
  </si>
  <si>
    <t>Block I Total</t>
  </si>
  <si>
    <t>BLOCK II</t>
  </si>
  <si>
    <t>Block II Total</t>
  </si>
  <si>
    <t>BLOCK III</t>
  </si>
  <si>
    <t xml:space="preserve">Furniture &amp; Fixtures </t>
  </si>
  <si>
    <t>Electric Installation</t>
  </si>
  <si>
    <t>Block III Total</t>
  </si>
  <si>
    <t>BLOCK IV</t>
  </si>
  <si>
    <t>Car &amp; Motor Vehicle</t>
  </si>
  <si>
    <t>Block IV Total</t>
  </si>
  <si>
    <t>BLOCK V</t>
  </si>
  <si>
    <t>a</t>
  </si>
  <si>
    <t>b</t>
  </si>
  <si>
    <t>Plant &amp; Machinery (No Add Dep)</t>
  </si>
  <si>
    <t>c</t>
  </si>
  <si>
    <t>Pollution Control Equipment</t>
  </si>
  <si>
    <t>Office Equipments</t>
  </si>
  <si>
    <t>Block V Total</t>
  </si>
  <si>
    <t>BLOCK VI</t>
  </si>
  <si>
    <t>Computers</t>
  </si>
  <si>
    <t>Block VI Total</t>
  </si>
  <si>
    <t>Computation of additional deprecation 2020-21</t>
  </si>
  <si>
    <t>Additions</t>
  </si>
  <si>
    <t>Additonal Dep.</t>
  </si>
  <si>
    <t>Before</t>
  </si>
  <si>
    <t>After</t>
  </si>
  <si>
    <t>Additonal to be carried forward</t>
  </si>
  <si>
    <t>Additional dep of last year 2019-20</t>
  </si>
  <si>
    <t>(as per details given below)</t>
  </si>
  <si>
    <t>Plant and Machiney</t>
  </si>
  <si>
    <t>ACTUAL</t>
  </si>
  <si>
    <t>I</t>
  </si>
  <si>
    <t>RATIO ANALYSIS</t>
  </si>
  <si>
    <t>Net  Sales</t>
  </si>
  <si>
    <t>EBIDTA (including Other Income)</t>
  </si>
  <si>
    <t>Current Assets</t>
  </si>
  <si>
    <t>Less: Adjustments</t>
  </si>
  <si>
    <t>Adjusted Current Assets</t>
  </si>
  <si>
    <t>Current Liabilities</t>
  </si>
  <si>
    <r>
      <t xml:space="preserve">less: </t>
    </r>
    <r>
      <rPr>
        <sz val="10"/>
        <rFont val="Book Antiqua"/>
        <family val="1"/>
      </rPr>
      <t>Creditors for Capital Goods</t>
    </r>
  </si>
  <si>
    <t>Adjusted Current Liabilities</t>
  </si>
  <si>
    <t>Net Working Capital</t>
  </si>
  <si>
    <t xml:space="preserve">Gross Profit </t>
  </si>
  <si>
    <t>Cash Accruals</t>
  </si>
  <si>
    <t>Total Outside Liabilities</t>
  </si>
  <si>
    <t>Tangible Net Worth</t>
  </si>
  <si>
    <t>Net Worth</t>
  </si>
  <si>
    <t>Less: Investment in Associates</t>
  </si>
  <si>
    <t>Adjusted Net Worth</t>
  </si>
  <si>
    <t>Total Tangible Assets</t>
  </si>
  <si>
    <t>Term Loans</t>
  </si>
  <si>
    <t>Working capital Loans</t>
  </si>
  <si>
    <t>Total Debt</t>
  </si>
  <si>
    <t>II</t>
  </si>
  <si>
    <t>CRITICAL RATIOS</t>
  </si>
  <si>
    <t>Growth in Sales</t>
  </si>
  <si>
    <t>Gross Profit Ratio</t>
  </si>
  <si>
    <t>EBIDTA/Sales</t>
  </si>
  <si>
    <t>Consumption Ratio</t>
  </si>
  <si>
    <t>PBT/Sales</t>
  </si>
  <si>
    <t>PBT/Sales (Excl. Extraordinary Items)</t>
  </si>
  <si>
    <t>PAT/Sales</t>
  </si>
  <si>
    <t xml:space="preserve">PAT/Sales </t>
  </si>
  <si>
    <t>Interest Coverage  (PBDIT/Int. times)</t>
  </si>
  <si>
    <t>TOL/TNW</t>
  </si>
  <si>
    <t>Current Ratio(CA/CL)</t>
  </si>
  <si>
    <t>Current ratio Excluding TL Installment</t>
  </si>
  <si>
    <t>NWC/CA(%)</t>
  </si>
  <si>
    <t>ROCE(PBDIT incl. Other Income/TTA)</t>
  </si>
  <si>
    <t>Cash Accruals/ Net Sales</t>
  </si>
  <si>
    <t>Debt/EBIDTA</t>
  </si>
  <si>
    <t>III</t>
  </si>
  <si>
    <t>OTHER RATIOS</t>
  </si>
  <si>
    <t>Operating Profit/Sales</t>
  </si>
  <si>
    <t>Operating Costs(Excl. Intt)/sales</t>
  </si>
  <si>
    <t>Deferred Debt/Equity</t>
  </si>
  <si>
    <t>CA/TTA(%)</t>
  </si>
  <si>
    <t>Bank Borrowings/Current Assets</t>
  </si>
  <si>
    <t>Inventory to Total Current Assets</t>
  </si>
  <si>
    <t>Receivable to Total Current Assets</t>
  </si>
  <si>
    <t>Inventory to Sales (days)</t>
  </si>
  <si>
    <t>Receivables to Sales (days)</t>
  </si>
  <si>
    <t>Creditors to RMC (days)</t>
  </si>
  <si>
    <t>RMC in Sales</t>
  </si>
  <si>
    <t>Debtors Holding Period in Days</t>
  </si>
  <si>
    <t>Creditors Holding Period in Days</t>
  </si>
  <si>
    <t>Raw Material Holding Period in Days</t>
  </si>
  <si>
    <t>2022-23</t>
  </si>
  <si>
    <t>2021-2022</t>
  </si>
  <si>
    <t>Gross  Block</t>
  </si>
  <si>
    <t>Additions From 01/04/2021-31/03/2022</t>
  </si>
  <si>
    <t>Deletions From 01/04/2021-31/03/2022</t>
  </si>
  <si>
    <t>Accumulated Depreciation on 01/04/2021</t>
  </si>
  <si>
    <t>Charge to P&amp;L</t>
  </si>
  <si>
    <t>Deletion</t>
  </si>
  <si>
    <t>Accumulated Depreciation</t>
  </si>
  <si>
    <t>Net Block</t>
  </si>
  <si>
    <t>Buildings</t>
  </si>
  <si>
    <t>Motor Vehicles</t>
  </si>
  <si>
    <t>Furniture and Fittings</t>
  </si>
  <si>
    <t>Electrical Installations</t>
  </si>
  <si>
    <t>Sub Total</t>
  </si>
  <si>
    <t>1. WIP Building</t>
  </si>
  <si>
    <t>2. WIP Plant &amp; Machinery</t>
  </si>
  <si>
    <t xml:space="preserve"> BALANCE SHEET AS AT 31ST MARCH, 2022</t>
  </si>
  <si>
    <t xml:space="preserve"> STATEMENT OF PROFIT AND LOSS FOR THE YEAR ENDED ON 31ST MARCH, 2022</t>
  </si>
  <si>
    <t xml:space="preserve"> STATEMENT OF CHANGE IN EQUITY FOR THE YEAR ENDED ON 31ST MARCH, 2022</t>
  </si>
  <si>
    <t>Note 2 : PROPERTY, PLANT &amp; EQUIPMENT</t>
  </si>
  <si>
    <t>Asset Category</t>
  </si>
  <si>
    <t>Gross Block</t>
  </si>
  <si>
    <t>Disposals</t>
  </si>
  <si>
    <t>At March 31 2021</t>
  </si>
  <si>
    <t>Note :</t>
  </si>
  <si>
    <t>1) Depreciation on building includes the depreciation charged on revalued amount of Rs, 573063/-.</t>
  </si>
  <si>
    <t>At April 01 2020</t>
  </si>
  <si>
    <t>At March 31 2022</t>
  </si>
  <si>
    <t>2020-2021</t>
  </si>
  <si>
    <t>Additions From 01/04/2020-31/03/2021</t>
  </si>
  <si>
    <t>Deletions From 01/04/2020-31/03/2021</t>
  </si>
  <si>
    <t>Accumulated Depreciation on 01/04/2020</t>
  </si>
  <si>
    <t>Capital Work in Progress (CWIP) ageing schedule</t>
  </si>
  <si>
    <t>CWIP</t>
  </si>
  <si>
    <t>&lt;1 Year</t>
  </si>
  <si>
    <t>1 - 2 Years</t>
  </si>
  <si>
    <t>2 - 3 Years</t>
  </si>
  <si>
    <t>&gt;3 Years</t>
  </si>
  <si>
    <t xml:space="preserve">  - Project in Progress</t>
  </si>
  <si>
    <t>Amount in CWIP for a period of</t>
  </si>
  <si>
    <t>Power Plant</t>
  </si>
  <si>
    <t>Existing Plant</t>
  </si>
  <si>
    <t>(a) CWIP ageing schedule as on March 31, 22</t>
  </si>
  <si>
    <t>(a) CWIP ageing schedule as on March 31, 21</t>
  </si>
  <si>
    <t>Trade Receivable ageing schedule</t>
  </si>
  <si>
    <t>&lt;6 Months</t>
  </si>
  <si>
    <t>6Month-1Year</t>
  </si>
  <si>
    <t>1-2 Years</t>
  </si>
  <si>
    <t>(i) Undisputed Trade Receivables - Considered Good</t>
  </si>
  <si>
    <t>(ii) Undisputed Trade Receivables - which have significant increase in credit risk.</t>
  </si>
  <si>
    <t>(iii)Undisputed Trade Receivables - Credit Impaired</t>
  </si>
  <si>
    <t>Outstanding for following periods from due date of payment - March 31,2022</t>
  </si>
  <si>
    <t>Outstanding for following periods from due date of payment - March 31,2021</t>
  </si>
  <si>
    <t>As at March 31, 2022</t>
  </si>
  <si>
    <t>Pomoter Name</t>
  </si>
  <si>
    <t>No. of Shares at the beginning of the year</t>
  </si>
  <si>
    <t>Change during the year</t>
  </si>
  <si>
    <t>No. of shares at the end of the year</t>
  </si>
  <si>
    <t>% of Total Shares</t>
  </si>
  <si>
    <t>% Change during the year</t>
  </si>
  <si>
    <t>More than 2 Years</t>
  </si>
  <si>
    <t>(i) Undisputed Trade receivables -considered good</t>
  </si>
  <si>
    <t>(i) Undisputed Trade receivables -considered doubtful</t>
  </si>
  <si>
    <t>(iii) Disputed trade receivables  considered good</t>
  </si>
  <si>
    <t>(iv) Disputed trade receivables  considered doubtful</t>
  </si>
  <si>
    <t>Relevant Para of the CARO 2020 - 3(xix)</t>
  </si>
  <si>
    <t>Ratio Analysis</t>
  </si>
  <si>
    <t>Numerator</t>
  </si>
  <si>
    <t>Denominator</t>
  </si>
  <si>
    <t>Current Ratio</t>
  </si>
  <si>
    <t>Creditors for goods and services</t>
  </si>
  <si>
    <t>Sundry Debtors</t>
  </si>
  <si>
    <t>Short term loans</t>
  </si>
  <si>
    <t>Cash and Bank balances</t>
  </si>
  <si>
    <t>Bank Overdraft</t>
  </si>
  <si>
    <t>Receivables/Accruals</t>
  </si>
  <si>
    <t>Cash Credit</t>
  </si>
  <si>
    <t>Loans and Advances</t>
  </si>
  <si>
    <t>Outstanding Expenses</t>
  </si>
  <si>
    <t>Disposable Investments</t>
  </si>
  <si>
    <t>Provision for taxation</t>
  </si>
  <si>
    <t>Any other current assets</t>
  </si>
  <si>
    <t>Unclaimed Dividend</t>
  </si>
  <si>
    <t>Any other current liabilities</t>
  </si>
  <si>
    <t>Debt Equity Ratio</t>
  </si>
  <si>
    <t>Total Liabilities</t>
  </si>
  <si>
    <t>Shareholder's Equity</t>
  </si>
  <si>
    <t>Total Shareholders Equity</t>
  </si>
  <si>
    <t>Debt Service Coverage Ratio</t>
  </si>
  <si>
    <t>Net Operating Income</t>
  </si>
  <si>
    <t>Debt Service</t>
  </si>
  <si>
    <t>(For Ind AS Companies Profit before OCI)</t>
  </si>
  <si>
    <t>Net Profit after tax + non-cash operating expenses like depreciation and other amortizations + Interest+other adjustments like loss on sale of fixed assets, etc.</t>
  </si>
  <si>
    <t>Current Debt Obligation (Interest &amp; Lease payment+ Principal Repayment.</t>
  </si>
  <si>
    <t>Return on Equity Ratio</t>
  </si>
  <si>
    <t>Profit for the period</t>
  </si>
  <si>
    <t>Avg. Shareholders Equity</t>
  </si>
  <si>
    <t>Net Profit after taxes - preference dividend (if any)</t>
  </si>
  <si>
    <t>(Beginning shareholders' equity + Ending shareholders' equity) ÷ 2</t>
  </si>
  <si>
    <t>Inventory Turnover Ratio</t>
  </si>
  <si>
    <t>Cost of Goods sold</t>
  </si>
  <si>
    <t>Average Inventory</t>
  </si>
  <si>
    <t>(Opening Stock + Purchases) – Closing Stock</t>
  </si>
  <si>
    <t>(Opening Stock + Closing Stock)/2</t>
  </si>
  <si>
    <t>Trade Receivables Turnover Ratio</t>
  </si>
  <si>
    <t>Net Credit Sales</t>
  </si>
  <si>
    <t>Average Trade Receivables</t>
  </si>
  <si>
    <t>as per FM book</t>
  </si>
  <si>
    <t>Credit Sales</t>
  </si>
  <si>
    <t>(Beginning Trade Receivables + Ending Trade Receivables) / 2</t>
  </si>
  <si>
    <t>Trade Payables Turnover Ratio</t>
  </si>
  <si>
    <t>Total Purchases</t>
  </si>
  <si>
    <t>Average Trade Payables</t>
  </si>
  <si>
    <t>Annual Net Credit Purchases</t>
  </si>
  <si>
    <t>(Beginning Trade Payables + Ending Trade Payables) / 2</t>
  </si>
  <si>
    <t>Net Capital Turnover Ratio</t>
  </si>
  <si>
    <t>Net Sales</t>
  </si>
  <si>
    <t>Average Working Capital</t>
  </si>
  <si>
    <t>Total Sales - Sales Return</t>
  </si>
  <si>
    <t>Current Assets - Current Liabilities</t>
  </si>
  <si>
    <t>Net Profit Ratio</t>
  </si>
  <si>
    <t>Net Profit</t>
  </si>
  <si>
    <t>Profit After Tax</t>
  </si>
  <si>
    <t>Return on Capital employed</t>
  </si>
  <si>
    <t>EBIT</t>
  </si>
  <si>
    <t>Capital Employed *</t>
  </si>
  <si>
    <t>Profit before Interest and Taxes</t>
  </si>
  <si>
    <t>Capital Employed = Tangible Net Worth + Total Debt + Deferred Tax Liability</t>
  </si>
  <si>
    <t>Return on Investment</t>
  </si>
  <si>
    <t>Return/Profit/Earnings</t>
  </si>
  <si>
    <t>Investment **</t>
  </si>
  <si>
    <t xml:space="preserve">* Capital Employed could be treated three ways </t>
  </si>
  <si>
    <t xml:space="preserve">Total Assets - Current Labilities </t>
  </si>
  <si>
    <t>Fixed Assets + Working Capital</t>
  </si>
  <si>
    <t>Equity + Long Term Debt</t>
  </si>
  <si>
    <t>***</t>
  </si>
  <si>
    <t>ROI as per GN</t>
  </si>
  <si>
    <t xml:space="preserve">{MV(T0) + Sum [W(t) * C(t)]} </t>
  </si>
  <si>
    <t xml:space="preserve">where, T1 = End of time period </t>
  </si>
  <si>
    <t xml:space="preserve">T0 = Beginning of time period </t>
  </si>
  <si>
    <t xml:space="preserve">t = Specific date falling between T1 and T0 </t>
  </si>
  <si>
    <t xml:space="preserve">MV(T1) = Market Value at T1 </t>
  </si>
  <si>
    <t xml:space="preserve">MV(T0) = Market Value at T0 </t>
  </si>
  <si>
    <t xml:space="preserve">C(t) = Cash inflow, cash outflow on specific date </t>
  </si>
  <si>
    <t xml:space="preserve">W(t) = Weight of the net cash flow (i.e. either net inflow or net outflow) on day ‘t’, calculated as [T1 – t] / T1 </t>
  </si>
  <si>
    <t>Companies may provide ROI separately for each asset class (e.g., equity, fixed income, money market, etc.).</t>
  </si>
  <si>
    <r>
      <t xml:space="preserve">ROI = </t>
    </r>
    <r>
      <rPr>
        <u/>
        <sz val="10"/>
        <rFont val="Calibri"/>
        <family val="2"/>
        <scheme val="minor"/>
      </rPr>
      <t xml:space="preserve">{MV(T1) – MV(T0) – Sum [C(t)]} </t>
    </r>
  </si>
  <si>
    <t>31.03.2022 (₹)</t>
  </si>
  <si>
    <t>31.03.2021 (₹)</t>
  </si>
  <si>
    <t>(i) MSME</t>
  </si>
  <si>
    <t>(ii) Others</t>
  </si>
  <si>
    <t>(iii) Disputed dues- MSME</t>
  </si>
  <si>
    <t>(iv) Disputed dues - Others</t>
  </si>
  <si>
    <t>Provision for Income Tax</t>
  </si>
  <si>
    <t>01.04.2021</t>
  </si>
  <si>
    <t>d</t>
  </si>
  <si>
    <t>Amount Adjusted U/s 115BAA</t>
  </si>
  <si>
    <t>ASSESSMENT YEAR 2022-23</t>
  </si>
  <si>
    <t>Q4 2021-22</t>
  </si>
  <si>
    <t>Raw Materials</t>
  </si>
  <si>
    <t xml:space="preserve">Finished Goods </t>
  </si>
  <si>
    <t>Less : Closing Stock</t>
  </si>
  <si>
    <t>As at March 31, 2021</t>
  </si>
  <si>
    <t>CASH FLOW STATEMENT FOR THE YEAR ENDED 31ST MARCH, 2022</t>
  </si>
  <si>
    <t>31st March, 2022 (₹)</t>
  </si>
  <si>
    <t>HARDOLI PAPER MILLS LTD,</t>
  </si>
  <si>
    <t>RAW MATERIAL PURCHASE,CONSUMPTION &amp; CLOSING STOCK AS ON 31-03-2022</t>
  </si>
  <si>
    <t>S.R.NO.</t>
  </si>
  <si>
    <t>OPENING STOCK</t>
  </si>
  <si>
    <t>PURCHASE</t>
  </si>
  <si>
    <t>CONSUMPTION</t>
  </si>
  <si>
    <t>CLOSING STOCK</t>
  </si>
  <si>
    <t>RATE</t>
  </si>
  <si>
    <t>FREIGHT</t>
  </si>
  <si>
    <t>A)</t>
  </si>
  <si>
    <t>WASTE KRAFT (LOCAL)</t>
  </si>
  <si>
    <t>B)</t>
  </si>
  <si>
    <t>SUPERIOR KRAFT (OCC)</t>
  </si>
  <si>
    <t xml:space="preserve">TOTAL </t>
  </si>
  <si>
    <t>TRASIT OCC</t>
  </si>
  <si>
    <t>TOTAL (A+B)</t>
  </si>
  <si>
    <t>C)</t>
  </si>
  <si>
    <t>PACKING MATRIAL</t>
  </si>
  <si>
    <t>D)</t>
  </si>
  <si>
    <t>CHEMICAL</t>
  </si>
  <si>
    <t>E)</t>
  </si>
  <si>
    <t>COAL</t>
  </si>
  <si>
    <t>F)</t>
  </si>
  <si>
    <t xml:space="preserve">RICE HUSK </t>
  </si>
  <si>
    <t>TOTAL (A+B+C+D)</t>
  </si>
  <si>
    <t>G)</t>
  </si>
  <si>
    <t>FINISHED GOODS</t>
  </si>
  <si>
    <t>Sales in Transit</t>
  </si>
  <si>
    <t>H)</t>
  </si>
  <si>
    <t>STORE &amp; SPARES</t>
  </si>
  <si>
    <t>GRAND TOTAL(A:G)</t>
  </si>
  <si>
    <t>WASTE PAPER</t>
  </si>
  <si>
    <t>As  Per Tally</t>
  </si>
  <si>
    <t>As per Working</t>
  </si>
  <si>
    <t>diff</t>
  </si>
  <si>
    <t>COAL Purchase</t>
  </si>
  <si>
    <t xml:space="preserve">Less: Closing Stock </t>
  </si>
  <si>
    <t>DEBTORS AGEING AS ON 31-03-2022</t>
  </si>
  <si>
    <t>Inv. No.</t>
  </si>
  <si>
    <t>Amount Rs.</t>
  </si>
  <si>
    <t>Credit Days</t>
  </si>
  <si>
    <t>Due  Date</t>
  </si>
  <si>
    <t>Due  Days</t>
  </si>
  <si>
    <t>LESS THAN&lt; 45 DAYS</t>
  </si>
  <si>
    <t>GREATER THAN &gt;45 DAYS</t>
  </si>
  <si>
    <t>61-90</t>
  </si>
  <si>
    <t>91-120</t>
  </si>
  <si>
    <t>121-180</t>
  </si>
  <si>
    <t>Party DNT-54/TDS</t>
  </si>
  <si>
    <t>Party DNT-63/TDS</t>
  </si>
  <si>
    <t>Party DNT-72/TDS</t>
  </si>
  <si>
    <t>Party DNT-85/TDS</t>
  </si>
  <si>
    <t>Other credit balances</t>
  </si>
  <si>
    <t>(Chandra Coal Transfer)</t>
  </si>
  <si>
    <t>Insu claim</t>
  </si>
  <si>
    <t>Commi CNT(FEB-Mar)</t>
  </si>
  <si>
    <t>TDS Dnt</t>
  </si>
  <si>
    <t>Insurance Claim</t>
  </si>
  <si>
    <t>short received balance</t>
  </si>
  <si>
    <t>GRAND TOTAL</t>
  </si>
  <si>
    <t>FIRM REGISTRATION NO.: 132818W</t>
  </si>
  <si>
    <t>AMIT M. DARAK</t>
  </si>
  <si>
    <t>MEMBERSHIP NO. : 144005</t>
  </si>
  <si>
    <t>Date: 27-05-2022</t>
  </si>
  <si>
    <t>31.03.2022</t>
  </si>
  <si>
    <t>KAMALKUMAR KAILASH AGRAWAL</t>
  </si>
  <si>
    <t>JARNAILSINGH GURDASSINGH SAINI</t>
  </si>
  <si>
    <t>RAJINDERSINGH BISHANSINGH SAINI</t>
  </si>
  <si>
    <t>KAILASH PURUSHOTTAM AGRAWAL</t>
  </si>
  <si>
    <t>ANILKUMAR MURARILAL LAKHOTIYA</t>
  </si>
  <si>
    <t>RAJIV  BEHAL</t>
  </si>
  <si>
    <t>HARDOLI PAPER MILLS LTD    SELL-PURCHASE  LIST OF SHAREHOLDERS   BETWEEN  01-APR-2021 and 31-MAR-2022</t>
  </si>
  <si>
    <t>Srl_No</t>
  </si>
  <si>
    <t>Holder
 Type</t>
  </si>
  <si>
    <t>FOLIO_NO</t>
  </si>
  <si>
    <t>No Of  Shares As On 
01-APR-2021</t>
  </si>
  <si>
    <t>BUY</t>
  </si>
  <si>
    <t>SELL</t>
  </si>
  <si>
    <t>No Of  Shares As On  
31-MAR-2022</t>
  </si>
  <si>
    <t>Promoter</t>
  </si>
  <si>
    <t>1201060002666327</t>
  </si>
  <si>
    <t>1201060002936271</t>
  </si>
  <si>
    <t>1201060002936284</t>
  </si>
  <si>
    <t>1201060002956621</t>
  </si>
  <si>
    <t>1201060100063921</t>
  </si>
  <si>
    <t>IN300214/37282168</t>
  </si>
  <si>
    <t>IN301604/10015674</t>
  </si>
  <si>
    <t>J0000306</t>
  </si>
  <si>
    <t>JARNAIL SINGH  SAINI</t>
  </si>
  <si>
    <t>00001006</t>
  </si>
  <si>
    <t>KHUZEMA Z  SAIFEE</t>
  </si>
  <si>
    <t>00001007</t>
  </si>
  <si>
    <t>MURTUZA SHABBIR  BOHRA</t>
  </si>
  <si>
    <t>00001008</t>
  </si>
  <si>
    <t>MUSTAFA SHABBIR  BOHRA</t>
  </si>
  <si>
    <t>00001061</t>
  </si>
  <si>
    <t>KAMAL K AGRAWAL</t>
  </si>
  <si>
    <t>00001067</t>
  </si>
  <si>
    <t>ANILKUMAR  LAKHOTIYA (HUF)</t>
  </si>
  <si>
    <t>00001090</t>
  </si>
  <si>
    <t>KAILASH  KAUR</t>
  </si>
  <si>
    <t>00001091</t>
  </si>
  <si>
    <t>BALJIT  KAUR</t>
  </si>
  <si>
    <t>00001092</t>
  </si>
  <si>
    <t>JASWINDER  KAUR</t>
  </si>
  <si>
    <t>00001093</t>
  </si>
  <si>
    <t>MANINDER SINGH SAINI</t>
  </si>
  <si>
    <t>00001094</t>
  </si>
  <si>
    <t>BALJIT SINGH SAINI</t>
  </si>
  <si>
    <t>00001095</t>
  </si>
  <si>
    <t>SUSHIL  KAUR</t>
  </si>
  <si>
    <t>00001096</t>
  </si>
  <si>
    <t>SATNAM  KAUR</t>
  </si>
  <si>
    <t>00001098</t>
  </si>
  <si>
    <t>ANITA GAURAV LAKHOTIYA</t>
  </si>
  <si>
    <t>00001105</t>
  </si>
  <si>
    <t>GAURAV ANILKUMAR LAKHOTIYA</t>
  </si>
  <si>
    <t>00001106</t>
  </si>
  <si>
    <t>MEGHA AKSHAY RATHI</t>
  </si>
  <si>
    <t>00001108</t>
  </si>
  <si>
    <t>RUBLEEN SUKHWINDERSINGH SAINI</t>
  </si>
  <si>
    <t>00001109</t>
  </si>
  <si>
    <t>INDERJITSINGH JASBIRSINGH SAINI</t>
  </si>
  <si>
    <t>00001110</t>
  </si>
  <si>
    <t>RAJESHWARI SHASHIKANT KAPSE</t>
  </si>
  <si>
    <t>00001111</t>
  </si>
  <si>
    <t>RAMESH TAORI</t>
  </si>
  <si>
    <t>00001112</t>
  </si>
  <si>
    <t>SHREE HOME DECOR</t>
  </si>
  <si>
    <t>00001113</t>
  </si>
  <si>
    <t>KIRAN HARI CHAOJI</t>
  </si>
  <si>
    <t>00001114</t>
  </si>
  <si>
    <t>TASNEEM MURTAZA BOHRA</t>
  </si>
  <si>
    <t>00001115</t>
  </si>
  <si>
    <t>00001116</t>
  </si>
  <si>
    <t>BHUSHAN SURESH TAORI</t>
  </si>
  <si>
    <t>00001117</t>
  </si>
  <si>
    <t>AMRITPAL KAUR SAINI</t>
  </si>
  <si>
    <t>00001123</t>
  </si>
  <si>
    <t>MADHURIMA  RATHI</t>
  </si>
  <si>
    <t>00001126</t>
  </si>
  <si>
    <t>GAURAV  LAKHOTIYA</t>
  </si>
  <si>
    <t>00001129</t>
  </si>
  <si>
    <t>PRITHPALSINGH JOGINDERSINGH KHANIJON</t>
  </si>
  <si>
    <t>00001130</t>
  </si>
  <si>
    <t>NARINDER KAUR GILL</t>
  </si>
  <si>
    <t>00001131</t>
  </si>
  <si>
    <t>00001133</t>
  </si>
  <si>
    <t>PRITAM NARENDRA KHIVANSARA</t>
  </si>
  <si>
    <t>1201060002237604</t>
  </si>
  <si>
    <t>SANJAY KAILASHCHANDRA AGRAWAL</t>
  </si>
  <si>
    <t>1201060002421256</t>
  </si>
  <si>
    <t>VASUDEO MALU</t>
  </si>
  <si>
    <t>1201060002423895</t>
  </si>
  <si>
    <t>SASHIKALA VASUDEO MALU</t>
  </si>
  <si>
    <t>1201060002473725</t>
  </si>
  <si>
    <t>ANITA DILIP AGRAWAL</t>
  </si>
  <si>
    <t>1201060002473744</t>
  </si>
  <si>
    <t>DILIP PURUSHOTTAMDASJI AGRAWAL</t>
  </si>
  <si>
    <t>1201060002930001</t>
  </si>
  <si>
    <t>BANWARI BHANWARLAL MALU</t>
  </si>
  <si>
    <t>1201060002959878</t>
  </si>
  <si>
    <t>SHAILENDRA KAILASHCHANDRA AGRAWAL</t>
  </si>
  <si>
    <t>1201060002973126</t>
  </si>
  <si>
    <t>KAILASH AGRAWAL HUF</t>
  </si>
  <si>
    <t>1201060003300667</t>
  </si>
  <si>
    <t>1201060003378027</t>
  </si>
  <si>
    <t>1201060003471932</t>
  </si>
  <si>
    <t>GARIMA GAURAV MAHESHWARI</t>
  </si>
  <si>
    <t>1201060100019329</t>
  </si>
  <si>
    <t>Shiv Kumar Balbhadra Prasad Agrawal</t>
  </si>
  <si>
    <t>1201060100026596</t>
  </si>
  <si>
    <t>Krishna Gopal Gorishankar Newatia</t>
  </si>
  <si>
    <t>1201060100048939</t>
  </si>
  <si>
    <t>Prem Sadhuram Kewalramani</t>
  </si>
  <si>
    <t>1201060100063915</t>
  </si>
  <si>
    <t>SNEHLATA ANILKUMAR LAKHOTIYA</t>
  </si>
  <si>
    <t>1201060100064450</t>
  </si>
  <si>
    <t>Anilkumar Murarilal Lakhotiya (HUF)</t>
  </si>
  <si>
    <t>1201060100209616</t>
  </si>
  <si>
    <t>VEEJAY OMPRAKASH BANSALL</t>
  </si>
  <si>
    <t>1201060100233584</t>
  </si>
  <si>
    <t>DILIPKUMAR GHISULAL BOHRA</t>
  </si>
  <si>
    <t>1201060100260880</t>
  </si>
  <si>
    <t>PRABHA AGRAWAL</t>
  </si>
  <si>
    <t>1201060100260901</t>
  </si>
  <si>
    <t>ARCHANA SHAILENDRA AGRAWAL</t>
  </si>
  <si>
    <t>1201060100260920</t>
  </si>
  <si>
    <t>KAJAL SANJAY AGRAWAL</t>
  </si>
  <si>
    <t>1201060100264211</t>
  </si>
  <si>
    <t>NAVITA KAMAL AGRAWAL</t>
  </si>
  <si>
    <t>1201060100264870</t>
  </si>
  <si>
    <t>KAVERIDEVI JEETMAL MALU</t>
  </si>
  <si>
    <t>1201090000714254</t>
  </si>
  <si>
    <t>DHANRAJ MURLIDHAR MINIYAR</t>
  </si>
  <si>
    <t>1201690000074131</t>
  </si>
  <si>
    <t>ALOK KIRTI MEHTA</t>
  </si>
  <si>
    <t>1202200000018681</t>
  </si>
  <si>
    <t>VIJAY RANGNATHRAO JOSHI</t>
  </si>
  <si>
    <t>1202300000276320</t>
  </si>
  <si>
    <t>BABULAL AMARCHAND AGRAWAL</t>
  </si>
  <si>
    <t>1202890000052057</t>
  </si>
  <si>
    <t>RAJKUMAR RAMPRASADJI AGRAWAL</t>
  </si>
  <si>
    <t>1202890001886195</t>
  </si>
  <si>
    <t>PRAVIN SHANKARLAL TAPADIA</t>
  </si>
  <si>
    <t>1203320001296038</t>
  </si>
  <si>
    <t>SAGAR PRAFUL MALANI</t>
  </si>
  <si>
    <t>1203450000841674</t>
  </si>
  <si>
    <t>RAMPRASAD RAMBILAS AGRAWAL</t>
  </si>
  <si>
    <t>1203460000462054</t>
  </si>
  <si>
    <t>NARAYAN DAS DHANWANI .</t>
  </si>
  <si>
    <t>1203600000026531</t>
  </si>
  <si>
    <t>DINA PRAFUL RANDERIA</t>
  </si>
  <si>
    <t>1205520000000211</t>
  </si>
  <si>
    <t>PRAMOD HASTIMAL RUNWAL</t>
  </si>
  <si>
    <t>1206420004707505</t>
  </si>
  <si>
    <t>NAVIN J BOHARA</t>
  </si>
  <si>
    <t>1206420006939762</t>
  </si>
  <si>
    <t>KISHOR POPATLAL CHORDIA</t>
  </si>
  <si>
    <t>1302190000124989</t>
  </si>
  <si>
    <t>NARENDRA RAMNATH BHANGDIYA</t>
  </si>
  <si>
    <t>1304030000015780</t>
  </si>
  <si>
    <t>MAXIM ALEX CASTELINO</t>
  </si>
  <si>
    <t>A0000103</t>
  </si>
  <si>
    <t>ACHYUT MADHAV  DHAMDHARE</t>
  </si>
  <si>
    <t>A0000105</t>
  </si>
  <si>
    <t>AJAY SHANTILAL  KHETARPAL</t>
  </si>
  <si>
    <t>A0000114</t>
  </si>
  <si>
    <t>ANIL DATTATRAYA  HAROLIKAR</t>
  </si>
  <si>
    <t>A0000120</t>
  </si>
  <si>
    <t>ARUNKUMAR RAMKISHORSING  SAINI</t>
  </si>
  <si>
    <t>A0000123</t>
  </si>
  <si>
    <t>ASHADEVI JAYANARAYAN  SONI</t>
  </si>
  <si>
    <t>A0000160</t>
  </si>
  <si>
    <t>AMARSINGH BAWASINGH  SAINI</t>
  </si>
  <si>
    <t>A0000161</t>
  </si>
  <si>
    <t>A0000301</t>
  </si>
  <si>
    <t>A R  AWACHAT</t>
  </si>
  <si>
    <t>A0000302</t>
  </si>
  <si>
    <t>ABDUL RAHMAN SIDDIQUI</t>
  </si>
  <si>
    <t>A0000303</t>
  </si>
  <si>
    <t>ABHAY  WADYALKAR</t>
  </si>
  <si>
    <t>A0000304</t>
  </si>
  <si>
    <t>ABHISHEK  AGRAWAL</t>
  </si>
  <si>
    <t>A0000306</t>
  </si>
  <si>
    <t>ADESH  BHATIA</t>
  </si>
  <si>
    <t>A0000308</t>
  </si>
  <si>
    <t>AJAY  SHARMA</t>
  </si>
  <si>
    <t>A0000309</t>
  </si>
  <si>
    <t>AJAY MOHANLAL  SAPRA</t>
  </si>
  <si>
    <t>A0000314</t>
  </si>
  <si>
    <t>AMRIK SINGH  JOLLY</t>
  </si>
  <si>
    <t>A0000315</t>
  </si>
  <si>
    <t>ANAND JAGANNATH  GAIDHAN</t>
  </si>
  <si>
    <t>A0000320</t>
  </si>
  <si>
    <t>ANIL WASUDEORAO  BALWAIK</t>
  </si>
  <si>
    <t>A0000321</t>
  </si>
  <si>
    <t>ANIL  GOENKA</t>
  </si>
  <si>
    <t>A0000323</t>
  </si>
  <si>
    <t>ANIRBAN  MAITY</t>
  </si>
  <si>
    <t>A0000324</t>
  </si>
  <si>
    <t>ANITA  AGRAWAL</t>
  </si>
  <si>
    <t>A0000332</t>
  </si>
  <si>
    <t>ARUN KUMAR  SHARMA</t>
  </si>
  <si>
    <t>A0000335</t>
  </si>
  <si>
    <t>ARUN GULABCHAND  JAISWAL</t>
  </si>
  <si>
    <t>A0000336</t>
  </si>
  <si>
    <t>ARVIND KUMAR  JAIN</t>
  </si>
  <si>
    <t>A0000344</t>
  </si>
  <si>
    <t>ASHOK  DAGA</t>
  </si>
  <si>
    <t>A0000346</t>
  </si>
  <si>
    <t>ASHWIN KAMALKUMAR  SINGHANIA</t>
  </si>
  <si>
    <t>A0000351</t>
  </si>
  <si>
    <t>AVTAR SONGH  SONI</t>
  </si>
  <si>
    <t>B0000101</t>
  </si>
  <si>
    <t>BALJITSINGH JASWANTSINGH  SAINI</t>
  </si>
  <si>
    <t>B0000106</t>
  </si>
  <si>
    <t>BHAGWANDAS VISHNUDAS  LADDHA</t>
  </si>
  <si>
    <t>B0000108</t>
  </si>
  <si>
    <t>BHARTI CHANDRAHAS  CHAREKAR</t>
  </si>
  <si>
    <t>B0000110</t>
  </si>
  <si>
    <t>BHIMRAO KANTIK  CHAUDHARI</t>
  </si>
  <si>
    <t>B0000112</t>
  </si>
  <si>
    <t>BULAKIDAS A  VERMA</t>
  </si>
  <si>
    <t>B0000158</t>
  </si>
  <si>
    <t>BALJITSINGH   JASWANTSINGH SAINI</t>
  </si>
  <si>
    <t>B0000159</t>
  </si>
  <si>
    <t>B0000302</t>
  </si>
  <si>
    <t>BACKSIS SINGH  RANA</t>
  </si>
  <si>
    <t>B0000304</t>
  </si>
  <si>
    <t>BALDEV SINGH  GOYAL</t>
  </si>
  <si>
    <t>B0000305</t>
  </si>
  <si>
    <t>BALJITSINGH  SAINI</t>
  </si>
  <si>
    <t>B0000310</t>
  </si>
  <si>
    <t>BHANUKUMAR  SHAH</t>
  </si>
  <si>
    <t>B0000313</t>
  </si>
  <si>
    <t>BHARTI  BANTHIA</t>
  </si>
  <si>
    <t>B0000314</t>
  </si>
  <si>
    <t>BHOLAJI CHINDHUJI  SHENDE</t>
  </si>
  <si>
    <t>B0000315</t>
  </si>
  <si>
    <t>BHUPINDER SINGH  KOHLI</t>
  </si>
  <si>
    <t>B0000316</t>
  </si>
  <si>
    <t>BHUPINDER SING  JOLLY</t>
  </si>
  <si>
    <t>B0000317</t>
  </si>
  <si>
    <t>BIMAL  VORA</t>
  </si>
  <si>
    <t>B0000321</t>
  </si>
  <si>
    <t>BRINDAVAN RAMSUMER  MISHRA</t>
  </si>
  <si>
    <t>B0000322</t>
  </si>
  <si>
    <t>BRIJINDER SINGH  SONI</t>
  </si>
  <si>
    <t>C0000101</t>
  </si>
  <si>
    <t>CHANDRAKANT HARIKISAN  RATHI</t>
  </si>
  <si>
    <t>C0000303</t>
  </si>
  <si>
    <t>CHANDRAKANT  VORA</t>
  </si>
  <si>
    <t>C0000306</t>
  </si>
  <si>
    <t>CHANDRASHEKHAR  MADAN</t>
  </si>
  <si>
    <t>C0000310</t>
  </si>
  <si>
    <t>CHARANPRIT SINGH  SAINI</t>
  </si>
  <si>
    <t>C0000311</t>
  </si>
  <si>
    <t>CHETAN  CHANDAK</t>
  </si>
  <si>
    <t>C0000312</t>
  </si>
  <si>
    <t>CHHAYA  AGRAWAL</t>
  </si>
  <si>
    <t>D0000101</t>
  </si>
  <si>
    <t>DAMYANTI HANUMANDAS  RATHI</t>
  </si>
  <si>
    <t>D0000106</t>
  </si>
  <si>
    <t>DHYANPRAKASH KANHAIYALAL  MODANI</t>
  </si>
  <si>
    <t>D0000303</t>
  </si>
  <si>
    <t>DEEPAK  KHANDELWAL</t>
  </si>
  <si>
    <t>D0000304</t>
  </si>
  <si>
    <t>DEEPAK H  LAKHIANI</t>
  </si>
  <si>
    <t>D0000310</t>
  </si>
  <si>
    <t>DHIRENDRA  KANABAR</t>
  </si>
  <si>
    <t>D0000311</t>
  </si>
  <si>
    <t>DIANA  D'SOUZA</t>
  </si>
  <si>
    <t>D0000318</t>
  </si>
  <si>
    <t>DINESH  TAWARI</t>
  </si>
  <si>
    <t>D0000319</t>
  </si>
  <si>
    <t>DIPAK CHAMANLAL  PAREKH</t>
  </si>
  <si>
    <t>D0000320</t>
  </si>
  <si>
    <t>DIPAK BABURAO  CHAFALE</t>
  </si>
  <si>
    <t>D0000322</t>
  </si>
  <si>
    <t>DORAB  PATEL</t>
  </si>
  <si>
    <t>D0000325</t>
  </si>
  <si>
    <t>DIVYESH  VORA</t>
  </si>
  <si>
    <t>G0000103</t>
  </si>
  <si>
    <t>GEETA RAMNARAYAN SHARMA</t>
  </si>
  <si>
    <t>G0000108</t>
  </si>
  <si>
    <t>GOVIND KRISHNAJI  KUBDE</t>
  </si>
  <si>
    <t>G0000303</t>
  </si>
  <si>
    <t>GANESH S  BHATTAD</t>
  </si>
  <si>
    <t>G0000313</t>
  </si>
  <si>
    <t>GIRISH PISUMAL DEWANI</t>
  </si>
  <si>
    <t>G0000317</t>
  </si>
  <si>
    <t>GOPAL  AGRAWAL</t>
  </si>
  <si>
    <t>G0000323</t>
  </si>
  <si>
    <t>GULREZ IMRAN  ALI</t>
  </si>
  <si>
    <t>G0000327</t>
  </si>
  <si>
    <t>GURDAYAL SINGH  PADDA</t>
  </si>
  <si>
    <t>G0000333</t>
  </si>
  <si>
    <t>GHANSHYAM J  SOMANI</t>
  </si>
  <si>
    <t>H0000102</t>
  </si>
  <si>
    <t>HARISHCHANDRA BHAGRIRATH SONI</t>
  </si>
  <si>
    <t>H0000302</t>
  </si>
  <si>
    <t>HARISHCAHANDRA  GUPTA</t>
  </si>
  <si>
    <t>H0000303</t>
  </si>
  <si>
    <t>HARJIT SINGH  SAINI</t>
  </si>
  <si>
    <t>H0000304</t>
  </si>
  <si>
    <t>HARJINDER PAL  SINGH</t>
  </si>
  <si>
    <t>H0000306</t>
  </si>
  <si>
    <t>HEMANT  BANSAL</t>
  </si>
  <si>
    <t>H0000307</t>
  </si>
  <si>
    <t>HEMLATA  BOHRA</t>
  </si>
  <si>
    <t>H0000308</t>
  </si>
  <si>
    <t>HENRY  D'SOUZA</t>
  </si>
  <si>
    <t>I0000101</t>
  </si>
  <si>
    <t>INDUMATI HARICHANDRA  SONI</t>
  </si>
  <si>
    <t>I0000302</t>
  </si>
  <si>
    <t>INDERCHAND  JAIN</t>
  </si>
  <si>
    <t>I0000306</t>
  </si>
  <si>
    <t>IQBAL SINGH  CHABRA</t>
  </si>
  <si>
    <t>IN300159/10247390</t>
  </si>
  <si>
    <t>NIRMAL MODI</t>
  </si>
  <si>
    <t>IN300183/12090888</t>
  </si>
  <si>
    <t>AKSHAY OMPRAKASH RATHI</t>
  </si>
  <si>
    <t>IN300214/13740590</t>
  </si>
  <si>
    <t>RAJESH SAJJAN JAIN</t>
  </si>
  <si>
    <t>IN300214/14654619</t>
  </si>
  <si>
    <t>SUDHA GUPTA</t>
  </si>
  <si>
    <t>IN300513/15045878</t>
  </si>
  <si>
    <t>MANJU MAYUR BAGADIA</t>
  </si>
  <si>
    <t>IN300513/15067950</t>
  </si>
  <si>
    <t>JYOTI K BAGADIA</t>
  </si>
  <si>
    <t>IN300513/86347801</t>
  </si>
  <si>
    <t>BHARATKUMAR BHOGILAL DOSHI</t>
  </si>
  <si>
    <t>IN300513/86429107</t>
  </si>
  <si>
    <t>PRAFULLACHANDRA BHOGILAL DOSHI</t>
  </si>
  <si>
    <t>IN300513/87778455</t>
  </si>
  <si>
    <t>SHANKARLAL BHAGWANDAS KHANDELWAL</t>
  </si>
  <si>
    <t>IN300757/10487373</t>
  </si>
  <si>
    <t>SHRAWAN KUMAR MALU</t>
  </si>
  <si>
    <t>IN300757/10488663</t>
  </si>
  <si>
    <t>PURUSHOTTAM MALU</t>
  </si>
  <si>
    <t>IN300829/10274329</t>
  </si>
  <si>
    <t>DOSHI PRAFULLCHANDRA BHOGILAL</t>
  </si>
  <si>
    <t>IN300888/13445440</t>
  </si>
  <si>
    <t>NAREN PRAVIN SANGHVI</t>
  </si>
  <si>
    <t>IN300974/10367045</t>
  </si>
  <si>
    <t>DILIP RAMESHCHANDRA LAL</t>
  </si>
  <si>
    <t>IN300982/10268941</t>
  </si>
  <si>
    <t>BHAVESH DHIRAJLAL TANNA</t>
  </si>
  <si>
    <t>IN301127/16415914</t>
  </si>
  <si>
    <t>YOGESH PURI</t>
  </si>
  <si>
    <t>IN301330/20523538</t>
  </si>
  <si>
    <t>GUNWANT VENKATRAO PATIL</t>
  </si>
  <si>
    <t>IN301330/21995605</t>
  </si>
  <si>
    <t>IN301549/19570178</t>
  </si>
  <si>
    <t>SUSHIL RAJENDRA SANGHI</t>
  </si>
  <si>
    <t>IN301549/54220696</t>
  </si>
  <si>
    <t>PLUTUS CAPITAL MANAGEMENT LLP</t>
  </si>
  <si>
    <t>IN301604/10015683</t>
  </si>
  <si>
    <t>AKSHAY RATHI</t>
  </si>
  <si>
    <t>IN301604/10015690</t>
  </si>
  <si>
    <t>MANGAL RATHI</t>
  </si>
  <si>
    <t>IN301604/10309670</t>
  </si>
  <si>
    <t>JUGALKISHORE ASARAMJI DHOOT</t>
  </si>
  <si>
    <t>IN301604/10587304</t>
  </si>
  <si>
    <t>NAVALKUMAR B AGRAWAL</t>
  </si>
  <si>
    <t>IN301604/11008207</t>
  </si>
  <si>
    <t>LATA JUGALKISHOR DHOOT</t>
  </si>
  <si>
    <t>IN302437/10078360</t>
  </si>
  <si>
    <t>KISHORE CHANGRANI</t>
  </si>
  <si>
    <t>IN302461/10145282</t>
  </si>
  <si>
    <t>VORA  CHANDRAKANT</t>
  </si>
  <si>
    <t>IN302679/30889008</t>
  </si>
  <si>
    <t>VITHALDAS CHUNILAL BAJAJ</t>
  </si>
  <si>
    <t>IN303028/67899511</t>
  </si>
  <si>
    <t>DIANA  DSOUZA</t>
  </si>
  <si>
    <t>IN303028/99847562</t>
  </si>
  <si>
    <t>ONKARSINGH SEWASINGH BAINS</t>
  </si>
  <si>
    <t>IN306114/20080716</t>
  </si>
  <si>
    <t>MANOJ KUMAR KOCHAR</t>
  </si>
  <si>
    <t>J0000102</t>
  </si>
  <si>
    <t>JASVINDERKAUR JASWANTSINGH  SAINI</t>
  </si>
  <si>
    <t>J0000103</t>
  </si>
  <si>
    <t>JASWANTSINGH AMARSINGH  SAINI</t>
  </si>
  <si>
    <t>J0000105</t>
  </si>
  <si>
    <t>JEETKAUR AMARSINGH  SAINI</t>
  </si>
  <si>
    <t>J0000158</t>
  </si>
  <si>
    <t>J0000159</t>
  </si>
  <si>
    <t>J0000160</t>
  </si>
  <si>
    <t>J0000161</t>
  </si>
  <si>
    <t>JEETKAUR   AMARSINGH SAINI</t>
  </si>
  <si>
    <t>J0000301</t>
  </si>
  <si>
    <t>JAGANNATH  SONI</t>
  </si>
  <si>
    <t>J0000307</t>
  </si>
  <si>
    <t>JARNAIL SINGH  DHOOT</t>
  </si>
  <si>
    <t>J0000308</t>
  </si>
  <si>
    <t>JASBIR SINGH  SAINI</t>
  </si>
  <si>
    <t>J0000309</t>
  </si>
  <si>
    <t>JASBIRSINGH  SAINI</t>
  </si>
  <si>
    <t>J0000315</t>
  </si>
  <si>
    <t>JAYESH  BAVISHI</t>
  </si>
  <si>
    <t>J0000325</t>
  </si>
  <si>
    <t>JUGALKISHORE  AGRAWAL</t>
  </si>
  <si>
    <t>J0000326</t>
  </si>
  <si>
    <t>JUZER  AMIN</t>
  </si>
  <si>
    <t>J0000330</t>
  </si>
  <si>
    <t>JYOTI KRISHNA HEDA</t>
  </si>
  <si>
    <t>K0000105</t>
  </si>
  <si>
    <t>KAILASHKAUR JARNAILSINGH  SAINI</t>
  </si>
  <si>
    <t>K0000107</t>
  </si>
  <si>
    <t>KALPANA GANGADHAR  LALPOTU</t>
  </si>
  <si>
    <t>K0000108</t>
  </si>
  <si>
    <t>KALPANA SANJAY SOMANI</t>
  </si>
  <si>
    <t>K0000115</t>
  </si>
  <si>
    <t>KARNALSINGH GURDASSINGH  SAINI</t>
  </si>
  <si>
    <t>K0000121</t>
  </si>
  <si>
    <t>KISHOR UTTAMCHAND  KHIVANSARA</t>
  </si>
  <si>
    <t>K0000124</t>
  </si>
  <si>
    <t>KULDEEPSINGH GURMITSINGH  SAINI</t>
  </si>
  <si>
    <t>K0000159</t>
  </si>
  <si>
    <t>K0000160</t>
  </si>
  <si>
    <t>KALYANI OMPRAKASH  RATHI</t>
  </si>
  <si>
    <t>K0000161</t>
  </si>
  <si>
    <t>KARNAILSINGH GURDASSING  SAINI</t>
  </si>
  <si>
    <t>K0000164</t>
  </si>
  <si>
    <t>K0000303</t>
  </si>
  <si>
    <t>KAILASH  RATHI</t>
  </si>
  <si>
    <t>K0000305</t>
  </si>
  <si>
    <t>KAILASH CHANDRA  NUWAL</t>
  </si>
  <si>
    <t>K0000306</t>
  </si>
  <si>
    <t>KAJORMAL  AGRAWAL</t>
  </si>
  <si>
    <t>K0000311</t>
  </si>
  <si>
    <t>KAMLADEVI B  MALU</t>
  </si>
  <si>
    <t>K0000312</t>
  </si>
  <si>
    <t>KAMLESH  RATHI</t>
  </si>
  <si>
    <t>K0000313</t>
  </si>
  <si>
    <t>KAMLESH  GUPTA</t>
  </si>
  <si>
    <t>K0000314</t>
  </si>
  <si>
    <t>KANAIYALAL  THAKKAR</t>
  </si>
  <si>
    <t>K0000315</t>
  </si>
  <si>
    <t>KANCHAN SANJAY  GANDHI</t>
  </si>
  <si>
    <t>K0000318</t>
  </si>
  <si>
    <t>KANTILAL MOHANLAL  JALAPARA</t>
  </si>
  <si>
    <t>K0000319</t>
  </si>
  <si>
    <t>KANTILAL CHAMPAKLAL  BHAYANI</t>
  </si>
  <si>
    <t>K0000320</t>
  </si>
  <si>
    <t>KASHIDEVI  AGRAWAL</t>
  </si>
  <si>
    <t>K0000326</t>
  </si>
  <si>
    <t>KHUZEMA  SAIFEE</t>
  </si>
  <si>
    <t>K0000327</t>
  </si>
  <si>
    <t>KIRAN  KHIVANSARA</t>
  </si>
  <si>
    <t>K0000330</t>
  </si>
  <si>
    <t>KIRIT GOVARDHAN  DAS KARIA</t>
  </si>
  <si>
    <t>K0000331</t>
  </si>
  <si>
    <t>KISAN VITHOBA  BHOLE</t>
  </si>
  <si>
    <t>K0000336</t>
  </si>
  <si>
    <t>KISHOR  SONI</t>
  </si>
  <si>
    <t>K0000338</t>
  </si>
  <si>
    <t>KRISHNA  HEDA</t>
  </si>
  <si>
    <t>K0000339</t>
  </si>
  <si>
    <t>KRISHNA GOPAL  GAURI SHANKAR NEWATIA</t>
  </si>
  <si>
    <t>K0000341</t>
  </si>
  <si>
    <t>KRUTI  VARMA</t>
  </si>
  <si>
    <t>K0000342</t>
  </si>
  <si>
    <t>KULVINDER SINGH  MANGAT</t>
  </si>
  <si>
    <t>K0000343</t>
  </si>
  <si>
    <t>KULWANT SINGH  TULI</t>
  </si>
  <si>
    <t>L0000101</t>
  </si>
  <si>
    <t>LAXMIDEVI DWARKADAS  SHARMA</t>
  </si>
  <si>
    <t>L0000102</t>
  </si>
  <si>
    <t>LAXMINARAYAN DHANRAJ  SHARMA</t>
  </si>
  <si>
    <t>L0000301</t>
  </si>
  <si>
    <t>LAHARI MANOHAR  VAKIL</t>
  </si>
  <si>
    <t>L0000302</t>
  </si>
  <si>
    <t>LAJINDER SINGH  BAWA</t>
  </si>
  <si>
    <t>L0000310</t>
  </si>
  <si>
    <t>LATA  DHOOT</t>
  </si>
  <si>
    <t>M0000102</t>
  </si>
  <si>
    <t>MADHURI SURESH  VAISHNAV</t>
  </si>
  <si>
    <t>M0000106</t>
  </si>
  <si>
    <t>MANINDERKAUR HARVINDERSINGH  SAINI</t>
  </si>
  <si>
    <t>M0000107</t>
  </si>
  <si>
    <t>MANINDERSINGH JARNAILSINGH  SAINI</t>
  </si>
  <si>
    <t>M0000109</t>
  </si>
  <si>
    <t>MANOJ DWARKANATH  LOYA</t>
  </si>
  <si>
    <t>M0000158</t>
  </si>
  <si>
    <t>M0000302</t>
  </si>
  <si>
    <t>MADHUSUDAN  BHATRIYA</t>
  </si>
  <si>
    <t>M0000303</t>
  </si>
  <si>
    <t>MADHU  TAORI</t>
  </si>
  <si>
    <t>M0000304</t>
  </si>
  <si>
    <t>MADHU  AGARWAL</t>
  </si>
  <si>
    <t>M0000306</t>
  </si>
  <si>
    <t>MADHURI  SHUKLA</t>
  </si>
  <si>
    <t>M0000322</t>
  </si>
  <si>
    <t>MANJEET SINGH  SAINI</t>
  </si>
  <si>
    <t>M0000323</t>
  </si>
  <si>
    <t>MANJIT SINGH  SONI</t>
  </si>
  <si>
    <t>M0000328</t>
  </si>
  <si>
    <t>MANOHARLAL  AGRAWAL</t>
  </si>
  <si>
    <t>M0000329</t>
  </si>
  <si>
    <t>MANOHAR  BHORKAR</t>
  </si>
  <si>
    <t>M0000330</t>
  </si>
  <si>
    <t>MANOHARRAO  GIRDE</t>
  </si>
  <si>
    <t>M0000337</t>
  </si>
  <si>
    <t>MD AZUM  S/O A RAZZAK TUMBI</t>
  </si>
  <si>
    <t>M0000338</t>
  </si>
  <si>
    <t>MEEMRAJ  AGARWAL</t>
  </si>
  <si>
    <t>M0000342</t>
  </si>
  <si>
    <t>MILIND  BHOLE</t>
  </si>
  <si>
    <t>M0000344</t>
  </si>
  <si>
    <t>MITA  BAVISHI</t>
  </si>
  <si>
    <t>M0000347</t>
  </si>
  <si>
    <t>MOHD AZAM  TUMBI</t>
  </si>
  <si>
    <t>M0000349</t>
  </si>
  <si>
    <t>MUFFADDAL  AMIN</t>
  </si>
  <si>
    <t>M0000350</t>
  </si>
  <si>
    <t>MUKESH  CHOURASIA</t>
  </si>
  <si>
    <t>M0000351</t>
  </si>
  <si>
    <t>MUKUL KUMAR  AGRAWAL</t>
  </si>
  <si>
    <t>M0000355</t>
  </si>
  <si>
    <t>MUSTAFA  COCHINWALA</t>
  </si>
  <si>
    <t>N0000101</t>
  </si>
  <si>
    <t>N  NARENDRAN</t>
  </si>
  <si>
    <t>N0000105</t>
  </si>
  <si>
    <t>NANDLAL GOVERDHANDAS  BHANSALI</t>
  </si>
  <si>
    <t>N0000110</t>
  </si>
  <si>
    <t>NAUNATH SHEKUJI  SHEWALE</t>
  </si>
  <si>
    <t>N0000113</t>
  </si>
  <si>
    <t>NAWNEETADAS VALLABHDAS  PAREKH</t>
  </si>
  <si>
    <t>N0000118</t>
  </si>
  <si>
    <t>NITIN JAYNARAYAN  SONI</t>
  </si>
  <si>
    <t>N0000302</t>
  </si>
  <si>
    <t>NAGESH  BURBURE</t>
  </si>
  <si>
    <t>N0000318</t>
  </si>
  <si>
    <t>NARESH ZUMBERLAL  JAIN</t>
  </si>
  <si>
    <t>N0000319</t>
  </si>
  <si>
    <t>NARINDER KUMAR  SAINI</t>
  </si>
  <si>
    <t>N0000320</t>
  </si>
  <si>
    <t>NAWALKISHORE  AGRAWAL</t>
  </si>
  <si>
    <t>N0000322</t>
  </si>
  <si>
    <t>NINNA Y  CHUGH</t>
  </si>
  <si>
    <t>N0000328</t>
  </si>
  <si>
    <t>NITA T  KOYA</t>
  </si>
  <si>
    <t>O0000102</t>
  </si>
  <si>
    <t>OMPRAKASH BHAULAL ASAWA</t>
  </si>
  <si>
    <t>O0000302</t>
  </si>
  <si>
    <t>ONKAR SINGH BAINS</t>
  </si>
  <si>
    <t>P0000107</t>
  </si>
  <si>
    <t>PRAKASH BALWANTRAO  SARJE</t>
  </si>
  <si>
    <t>P0000111</t>
  </si>
  <si>
    <t>PRAVINCHANDRA SHIVRAM  DRAVID</t>
  </si>
  <si>
    <t>P0000301</t>
  </si>
  <si>
    <t>P P  TUNGLE</t>
  </si>
  <si>
    <t>P0000303</t>
  </si>
  <si>
    <t>PARAMJIT SINGH  MATHARU</t>
  </si>
  <si>
    <t>P0000304</t>
  </si>
  <si>
    <t>PAWAN KUMAR  RUNGTA</t>
  </si>
  <si>
    <t>P0000305</t>
  </si>
  <si>
    <t>PAWANKUMAR SHYAMSUNDAR  PODDAR</t>
  </si>
  <si>
    <t>P0000306</t>
  </si>
  <si>
    <t>PAWAN  BANSAL</t>
  </si>
  <si>
    <t>P0000308</t>
  </si>
  <si>
    <t>PRADIP  DESHMUKH</t>
  </si>
  <si>
    <t>P0000314</t>
  </si>
  <si>
    <t>PRAKASH GOVERDHAN  KARIYA</t>
  </si>
  <si>
    <t>P0000315</t>
  </si>
  <si>
    <t>PRAKASH DIWAN  RAJPUT</t>
  </si>
  <si>
    <t>P0000317</t>
  </si>
  <si>
    <t>PRAMILA  SHAH</t>
  </si>
  <si>
    <t>P0000320</t>
  </si>
  <si>
    <t>PRASHANT PURUSHOTTAM  JAGDALE</t>
  </si>
  <si>
    <t>P0000322</t>
  </si>
  <si>
    <t>PRASHANT VISHNU  ASHTIKAR</t>
  </si>
  <si>
    <t>P0000323</t>
  </si>
  <si>
    <t>PRATIBHA  DESHMUKH</t>
  </si>
  <si>
    <t>P0000324</t>
  </si>
  <si>
    <t>PRAVINABEN V  VORA</t>
  </si>
  <si>
    <t>P0000327</t>
  </si>
  <si>
    <t>PREM SHANKAR  MUNDHRA</t>
  </si>
  <si>
    <t>P0000331</t>
  </si>
  <si>
    <t>PREMLATA  BANSAL</t>
  </si>
  <si>
    <t>P0000332</t>
  </si>
  <si>
    <t>PRITAM  KHIVANSARA</t>
  </si>
  <si>
    <t>P0000334</t>
  </si>
  <si>
    <t>PRITPALSINGH  KHAIJOUN</t>
  </si>
  <si>
    <t>P0000337</t>
  </si>
  <si>
    <t>PUSHPA  BANSAL</t>
  </si>
  <si>
    <t>P0000338</t>
  </si>
  <si>
    <t>PRAVIN SHANKARLAL  TAPADIA</t>
  </si>
  <si>
    <t>R0000101</t>
  </si>
  <si>
    <t>RACHNA MAHAVIR  PRASAD MODI</t>
  </si>
  <si>
    <t>R0000104</t>
  </si>
  <si>
    <t>RAGHUNATH GOVINDRAM  MINEEYAR</t>
  </si>
  <si>
    <t>R0000116</t>
  </si>
  <si>
    <t>RAJKAMAL RAMKISHAN  BAHETI</t>
  </si>
  <si>
    <t>R0000119</t>
  </si>
  <si>
    <t>RAMESH MOHANLAL  TAORI (HUF)</t>
  </si>
  <si>
    <t>R0000120</t>
  </si>
  <si>
    <t>RAMKISHAN DEVICHAND  BAHETI</t>
  </si>
  <si>
    <t>R0000121</t>
  </si>
  <si>
    <t>RAMPRASAD RAMBILAS  AGRAWAL</t>
  </si>
  <si>
    <t>R0000123</t>
  </si>
  <si>
    <t>RASHMI UMESH  PANDAV</t>
  </si>
  <si>
    <t>R0000124</t>
  </si>
  <si>
    <t>RAVINAND RAJARAM  SHARMA</t>
  </si>
  <si>
    <t>R0000125</t>
  </si>
  <si>
    <t>RAVINDRA JAYNARAYAN  SONI</t>
  </si>
  <si>
    <t>R0000127</t>
  </si>
  <si>
    <t>REETA  BIYANI</t>
  </si>
  <si>
    <t>R0000129</t>
  </si>
  <si>
    <t>REKHA  NARENDRAN</t>
  </si>
  <si>
    <t>R0000132</t>
  </si>
  <si>
    <t>ROSHANLAL ZUMBERLAL MEHAR</t>
  </si>
  <si>
    <t>R0000305</t>
  </si>
  <si>
    <t>RAJAN  MINOCHA</t>
  </si>
  <si>
    <t>R0000307</t>
  </si>
  <si>
    <t>RAJENDRA PRASAD  BAISWARA</t>
  </si>
  <si>
    <t>R0000310</t>
  </si>
  <si>
    <t>RAJENDRA  BANSAL</t>
  </si>
  <si>
    <t>R0000311</t>
  </si>
  <si>
    <t>RAJENDRA PRASAD  SANGHI</t>
  </si>
  <si>
    <t>R0000313</t>
  </si>
  <si>
    <t>RAJESH  AGARWAL</t>
  </si>
  <si>
    <t>R0000316</t>
  </si>
  <si>
    <t>RAJESH R  LADDHA</t>
  </si>
  <si>
    <t>R0000317</t>
  </si>
  <si>
    <t>RAJESH  KUMAR</t>
  </si>
  <si>
    <t>R0000324</t>
  </si>
  <si>
    <t>RAMAGAURI KANTILAL  BHAYANI</t>
  </si>
  <si>
    <t>R0000325</t>
  </si>
  <si>
    <t>RAMAKRISHNA NAMDEORAO  LONDHE</t>
  </si>
  <si>
    <t>R0000326</t>
  </si>
  <si>
    <t>RAMAMOHANA RAO  APPALA</t>
  </si>
  <si>
    <t>R0000328</t>
  </si>
  <si>
    <t>RAMESHWAR  DHOOT</t>
  </si>
  <si>
    <t>R0000329</t>
  </si>
  <si>
    <t>RAMESHCHANDRA  SONI</t>
  </si>
  <si>
    <t>R0000330</t>
  </si>
  <si>
    <t>RAMESH RAMGOPAL  JAISWAL</t>
  </si>
  <si>
    <t>R0000332</t>
  </si>
  <si>
    <t>RAMHARI INVESTMENTS  PVT LTD</t>
  </si>
  <si>
    <t>R0000333</t>
  </si>
  <si>
    <t>RAMNARAYAN  JAISWAL</t>
  </si>
  <si>
    <t>R0000334</t>
  </si>
  <si>
    <t>RAMRAO  DESHMUKH</t>
  </si>
  <si>
    <t>R0000337</t>
  </si>
  <si>
    <t>RAVINDRA PAL  DHAWAN</t>
  </si>
  <si>
    <t>R0000338</t>
  </si>
  <si>
    <t>REKHA LAXMAN  MOGHE</t>
  </si>
  <si>
    <t>R0000340</t>
  </si>
  <si>
    <t>REKHA  TAORI</t>
  </si>
  <si>
    <t>R0000343</t>
  </si>
  <si>
    <t>ROCHINAM TILOKCHAND  GIDWANI</t>
  </si>
  <si>
    <t>S0000105</t>
  </si>
  <si>
    <t>SANDHYA CHANDRAKANT  RATHI</t>
  </si>
  <si>
    <t>S0000107</t>
  </si>
  <si>
    <t>SANGEETA RAVINDRA  SONI</t>
  </si>
  <si>
    <t>S0000108</t>
  </si>
  <si>
    <t>SANGEETA ASHOK  BORA</t>
  </si>
  <si>
    <t>S0000110</t>
  </si>
  <si>
    <t>SANJAY RAMASWAROOP  GANDHI</t>
  </si>
  <si>
    <t>S0000116</t>
  </si>
  <si>
    <t>SATISH MOHANLAL  TAORI</t>
  </si>
  <si>
    <t>S0000117</t>
  </si>
  <si>
    <t>SATNAMKAUR KARNAILSINGH  SAINI</t>
  </si>
  <si>
    <t>S0000120</t>
  </si>
  <si>
    <t>SEEMA VINOD  JAIN</t>
  </si>
  <si>
    <t>S0000124</t>
  </si>
  <si>
    <t>SHARAD LAXMINARAYAN NAVANDAR</t>
  </si>
  <si>
    <t>S0000125</t>
  </si>
  <si>
    <t>SHASHIKALA RAMESH  BAHETI</t>
  </si>
  <si>
    <t>S0000131</t>
  </si>
  <si>
    <t>SHOBHA RAMESH  MALANI</t>
  </si>
  <si>
    <t>S0000135</t>
  </si>
  <si>
    <t>SHYAMASUNDER LAXMINARAYAN  RATHI</t>
  </si>
  <si>
    <t>S0000138</t>
  </si>
  <si>
    <t>SUBHASHCHANDRA SHAMRAO  WAGHOLIKAR</t>
  </si>
  <si>
    <t>S0000140</t>
  </si>
  <si>
    <t>SUBHASH DAMODHAR  RATHI</t>
  </si>
  <si>
    <t>S0000142</t>
  </si>
  <si>
    <t>SUKHAVINDERSINGH JARNAILSINGH  SAINI</t>
  </si>
  <si>
    <t>S0000144</t>
  </si>
  <si>
    <t>SUMAN SHARAD  NAVANDAR</t>
  </si>
  <si>
    <t>S0000145</t>
  </si>
  <si>
    <t>SUMANT RAMESH  MALANI</t>
  </si>
  <si>
    <t>S0000147</t>
  </si>
  <si>
    <t>SUNANDA SHRIRAM  HOLANI</t>
  </si>
  <si>
    <t>S0000148</t>
  </si>
  <si>
    <t>SUNANDA SURYAKANT  MUNOTH</t>
  </si>
  <si>
    <t>S0000151</t>
  </si>
  <si>
    <t>SURYAKANT GOKULDAS  SOMANI</t>
  </si>
  <si>
    <t>S0000152</t>
  </si>
  <si>
    <t>SUSHAMA NITIN  SONI</t>
  </si>
  <si>
    <t>S0000155</t>
  </si>
  <si>
    <t>SUSHILKAUR GURMITSINGH  SAINI</t>
  </si>
  <si>
    <t>S0000158</t>
  </si>
  <si>
    <t>SAMEER JUGALKISHORE  DHOOT</t>
  </si>
  <si>
    <t>S0000164</t>
  </si>
  <si>
    <t>SATNAMKAUR KARANSINGH  SAINI</t>
  </si>
  <si>
    <t>S0000167</t>
  </si>
  <si>
    <t>SHIVKUMAR PURSHOTTAMDAS  AGRAWAL</t>
  </si>
  <si>
    <t>S0000170</t>
  </si>
  <si>
    <t>S0000308</t>
  </si>
  <si>
    <t>SANDEEP S  DENGLA</t>
  </si>
  <si>
    <t>S0000316</t>
  </si>
  <si>
    <t>SANJAY D  ARORA</t>
  </si>
  <si>
    <t>S0000319</t>
  </si>
  <si>
    <t>SANJAY RAMSWARUP  GANDHI</t>
  </si>
  <si>
    <t>S0000320</t>
  </si>
  <si>
    <t>SANJAY SANCHALAL  CHHAJED</t>
  </si>
  <si>
    <t>S0000322</t>
  </si>
  <si>
    <t>SANJEEV KUMAR  LIHALA</t>
  </si>
  <si>
    <t>S0000323</t>
  </si>
  <si>
    <t>SANJEEV  SAOJI</t>
  </si>
  <si>
    <t>S0000326</t>
  </si>
  <si>
    <t>SANKERLAL BHAGWANDAS  KHANDELWAL</t>
  </si>
  <si>
    <t>S0000327</t>
  </si>
  <si>
    <t>SANTOSHDEVI  AGRAWAL</t>
  </si>
  <si>
    <t>S0000332</t>
  </si>
  <si>
    <t>SARBJIT SINGH  WIRK</t>
  </si>
  <si>
    <t>S0000334</t>
  </si>
  <si>
    <t>SARITA  AGARWAL</t>
  </si>
  <si>
    <t>S0000336</t>
  </si>
  <si>
    <t>SARLADEVI  GUPTA</t>
  </si>
  <si>
    <t>S0000342</t>
  </si>
  <si>
    <t>SATYABHAMA  AGARWAL</t>
  </si>
  <si>
    <t>S0000344</t>
  </si>
  <si>
    <t>SAVITA  AGRAWAL</t>
  </si>
  <si>
    <t>S0000346</t>
  </si>
  <si>
    <t>SAWARMAL S  DAINGLA</t>
  </si>
  <si>
    <t>S0000347</t>
  </si>
  <si>
    <t>SHABBIR  BOHRA</t>
  </si>
  <si>
    <t>S0000356</t>
  </si>
  <si>
    <t>SHASHI  AGRAWAL</t>
  </si>
  <si>
    <t>S0000359</t>
  </si>
  <si>
    <t>SHEETAL  DHOOT</t>
  </si>
  <si>
    <t>S0000360</t>
  </si>
  <si>
    <t>SHEHNAZ  BOHRA</t>
  </si>
  <si>
    <t>S0000361</t>
  </si>
  <si>
    <t>SHIMLA  AGRAWAL</t>
  </si>
  <si>
    <t>S0000363</t>
  </si>
  <si>
    <t>SHIVBHAGWAN  LAHOTI</t>
  </si>
  <si>
    <t>S0000364</t>
  </si>
  <si>
    <t>SHIVNARAYAN  JAISWAL</t>
  </si>
  <si>
    <t>S0000365</t>
  </si>
  <si>
    <t>SHIVSHANKAR  AGRAWAL</t>
  </si>
  <si>
    <t>S0000371</t>
  </si>
  <si>
    <t>SHUJKAT AHMED  SIDDIQUI</t>
  </si>
  <si>
    <t>S0000372</t>
  </si>
  <si>
    <t>SHYAM  RATHI</t>
  </si>
  <si>
    <t>S0000373</t>
  </si>
  <si>
    <t>SHYAM  AGRAWAL</t>
  </si>
  <si>
    <t>S0000377</t>
  </si>
  <si>
    <t>SITA DEVI  BANSAL</t>
  </si>
  <si>
    <t>S0000379</t>
  </si>
  <si>
    <t>SITALDAS TILOKCHAND  GIDWANI</t>
  </si>
  <si>
    <t>S0000387</t>
  </si>
  <si>
    <t>SUDESH  SHARMA</t>
  </si>
  <si>
    <t>S0000389</t>
  </si>
  <si>
    <t>SUKHVINDERSINGH  CHANNE</t>
  </si>
  <si>
    <t>S0000390</t>
  </si>
  <si>
    <t>SUMANBAI  LADE</t>
  </si>
  <si>
    <t>S0000394</t>
  </si>
  <si>
    <t>SUNIL  BANTHIA</t>
  </si>
  <si>
    <t>S0000396</t>
  </si>
  <si>
    <t>SURENDER SINGH  BEANT SINGH HODA</t>
  </si>
  <si>
    <t>S0000399</t>
  </si>
  <si>
    <t>SURESH  TAORI</t>
  </si>
  <si>
    <t>S0000401</t>
  </si>
  <si>
    <t>SURINDER KAUR SAINI</t>
  </si>
  <si>
    <t>S0000404</t>
  </si>
  <si>
    <t>SURYAKANT V  KORADIA</t>
  </si>
  <si>
    <t>S0000409</t>
  </si>
  <si>
    <t>SUSHILA  AGARWAL</t>
  </si>
  <si>
    <t>S0000415</t>
  </si>
  <si>
    <t>SHARDA PAPER  PRODUCTS PVT LTD</t>
  </si>
  <si>
    <t>T0000306</t>
  </si>
  <si>
    <t>TUSHAR K  KOYA</t>
  </si>
  <si>
    <t>U0000101</t>
  </si>
  <si>
    <t>UMESH RAMNARAYAN SHARMA</t>
  </si>
  <si>
    <t>V0000104</t>
  </si>
  <si>
    <t>VIJAYALAXMI  NARENDRAN</t>
  </si>
  <si>
    <t>V0000113</t>
  </si>
  <si>
    <t>VISHAL PADAMKUMAR  GANGWAL</t>
  </si>
  <si>
    <t>V0000304</t>
  </si>
  <si>
    <t>VASANT MOTIRAM  BARDE</t>
  </si>
  <si>
    <t>V0000305</t>
  </si>
  <si>
    <t>VASANTRAO  GIRDE</t>
  </si>
  <si>
    <t>V0000308</t>
  </si>
  <si>
    <t>VERONICA JOHN  FERREIRA</t>
  </si>
  <si>
    <t>V0000310</t>
  </si>
  <si>
    <t>VIDYA WASANT  GADKAR</t>
  </si>
  <si>
    <t>V0000312</t>
  </si>
  <si>
    <t>VIJAY  BAJAJ</t>
  </si>
  <si>
    <t>V0000314</t>
  </si>
  <si>
    <t>VIJAYA  BHANSALI</t>
  </si>
  <si>
    <t>V0000316</t>
  </si>
  <si>
    <t>VIJAY O  BANSAL</t>
  </si>
  <si>
    <t>V0000317</t>
  </si>
  <si>
    <t>VIJAY KIRAN  CHAOJI</t>
  </si>
  <si>
    <t>V0000320</t>
  </si>
  <si>
    <t>VIJAYA  SHETE</t>
  </si>
  <si>
    <t>V0000322</t>
  </si>
  <si>
    <t>VIJAYKUMAR  DESHPANDE</t>
  </si>
  <si>
    <t>V0000323</t>
  </si>
  <si>
    <t>VIKAS  SHETE</t>
  </si>
  <si>
    <t>V0000326</t>
  </si>
  <si>
    <t>VIMALKUMAR  AGRAWAL</t>
  </si>
  <si>
    <t>V0000328</t>
  </si>
  <si>
    <t>VINAYKUMAR S  VAHORA</t>
  </si>
  <si>
    <t>V0000330</t>
  </si>
  <si>
    <t>VINAY JANARDAN  VAITY</t>
  </si>
  <si>
    <t>V0000332</t>
  </si>
  <si>
    <t>VINOD M  KANANI</t>
  </si>
  <si>
    <t>V0000333</t>
  </si>
  <si>
    <t>VINODKUMAR  AGRAWAL</t>
  </si>
  <si>
    <t>V0000335</t>
  </si>
  <si>
    <t>IRENDRA KUMAR  AGRAWAL</t>
  </si>
  <si>
    <t>V0000336</t>
  </si>
  <si>
    <t>VISHAL   KIRAN LAKHANI</t>
  </si>
  <si>
    <t>V0000339</t>
  </si>
  <si>
    <t>VISHNU  ASHTIKAR</t>
  </si>
  <si>
    <t>V0000342</t>
  </si>
  <si>
    <t>VINOD  GANVIR</t>
  </si>
  <si>
    <t>W0000101</t>
  </si>
  <si>
    <t>WASUDEO TRIMBAKRAO  WASANTGADKAR</t>
  </si>
  <si>
    <t>W0000301</t>
  </si>
  <si>
    <t>WASANT  BORIKAR</t>
  </si>
  <si>
    <t>Y0000303</t>
  </si>
  <si>
    <t>YASMIN  AMIN</t>
  </si>
  <si>
    <t>Y0000304</t>
  </si>
  <si>
    <t>YESHAWANT  FUKE</t>
  </si>
  <si>
    <t>Y0000307</t>
  </si>
  <si>
    <t>YOGESH  CHUGH</t>
  </si>
  <si>
    <t>Y0000308</t>
  </si>
  <si>
    <t>YUG  VARMA</t>
  </si>
  <si>
    <t>Z0000301</t>
  </si>
  <si>
    <t>ZAKIUDDING  SAIFEE</t>
  </si>
  <si>
    <t>Z0000302</t>
  </si>
  <si>
    <t>ZARINA  MEMON</t>
  </si>
  <si>
    <t>Z0000303</t>
  </si>
  <si>
    <t>ZIA UL  HASAN</t>
  </si>
  <si>
    <t>Z0000304</t>
  </si>
  <si>
    <t>ZOHER  SABIR</t>
  </si>
  <si>
    <t>Kamalkumar Kailash Agrawal</t>
  </si>
  <si>
    <t>Jarnailsingh Gurdasssingh Saini</t>
  </si>
  <si>
    <t>Rajindrsingh Bishansingh Saini</t>
  </si>
  <si>
    <t>Kailash Purushottam Agrawal</t>
  </si>
  <si>
    <t>Anilkumar Murarilal Lakhotiya</t>
  </si>
  <si>
    <t>Rajiv Behal</t>
  </si>
  <si>
    <t>e. Details of Shares held by promoters:-</t>
  </si>
  <si>
    <t>1) Term Loan is secured by the assets to be created out of Bank Finance including Hypothecation of Plant &amp; machineries purchased out of Bank Finance. Hypothecation of Plant &amp; Machineries: Captive Power Plant to be brought in.</t>
  </si>
  <si>
    <t>2) Equitable Mortagage of Agriculture Land in the name of " Mr. Jarnailsingh Saini" being Survey Number, Khasra No. 20, situated at open Land at kh No. 20/1, P H No 67, Mouje: Hardoli, Tq: Katol, Dist: Nagpur- 441103, Admeasuring Total area 2.00 Hr.</t>
  </si>
  <si>
    <t>2) Fund Based Working Capital Term loan was sancioned  on 05.04.2021 which is repayable in 4 years including the moratariun of 12 months. The repayment starts from June 21 with the monthly repayment of Rs. 4.06 Lacs payable in 36 monthly installments.</t>
  </si>
  <si>
    <t>HARDOLI PAPER MILLS LTD.,</t>
  </si>
  <si>
    <t>CLOSING STOCK VALUATION AS ON 31/03/2022</t>
  </si>
  <si>
    <t>WP IMPORTED</t>
  </si>
  <si>
    <t>Import Qty</t>
  </si>
  <si>
    <t>Carrying &amp; Forwarding</t>
  </si>
  <si>
    <t>Other</t>
  </si>
  <si>
    <t>Total Cost</t>
  </si>
  <si>
    <t>Rate/ Ton</t>
  </si>
  <si>
    <t>Cl. Stock</t>
  </si>
  <si>
    <t>Cl. Stock Value</t>
  </si>
  <si>
    <t>carusa hershman</t>
  </si>
  <si>
    <t xml:space="preserve">sonoco </t>
  </si>
  <si>
    <t>Capital Goods (Capital WIP)</t>
  </si>
  <si>
    <t>Deposit under Group Gratuity Fund</t>
  </si>
  <si>
    <t>F CASH AND CASH EQUIVALENTS AT END OF THE YEAR.</t>
  </si>
  <si>
    <t>c. The Company has not allotted any shares for consideration other than cash during 5 years preceding March 31, 2022</t>
  </si>
  <si>
    <t>`</t>
  </si>
  <si>
    <t>(₹ in Lacs, unless otherwise stated)</t>
  </si>
  <si>
    <t>Quarter Ended</t>
  </si>
  <si>
    <t>Un-Audited</t>
  </si>
  <si>
    <t>Audited</t>
  </si>
  <si>
    <t>1.Income from operations</t>
  </si>
  <si>
    <t xml:space="preserve">         (a)     Revenue from Operations</t>
  </si>
  <si>
    <t xml:space="preserve">         (b)    Other Income</t>
  </si>
  <si>
    <t xml:space="preserve">                   Total income from operations (net)</t>
  </si>
  <si>
    <t>2.Expenses</t>
  </si>
  <si>
    <t xml:space="preserve">         (a)     Cost of Material Consumed</t>
  </si>
  <si>
    <t xml:space="preserve">         (b)    Changes to inventories of finished goods and WIP</t>
  </si>
  <si>
    <t xml:space="preserve">         (c)    Employee benefit expense</t>
  </si>
  <si>
    <t xml:space="preserve">         (d)    Financial Cost</t>
  </si>
  <si>
    <t xml:space="preserve">         (e)    Depreciation and Amortisation expenses </t>
  </si>
  <si>
    <t xml:space="preserve">         (f)    Other expenses</t>
  </si>
  <si>
    <t xml:space="preserve">                   Total expenses </t>
  </si>
  <si>
    <t>3.Profit / (Loss) before exceptional and extraordinary Items and tax (1-2)</t>
  </si>
  <si>
    <t>4.Exceptional Item</t>
  </si>
  <si>
    <t>5.Profit / (Loss) before extraordinary items and tax(3+4)</t>
  </si>
  <si>
    <t xml:space="preserve">6. Extraordinary items </t>
  </si>
  <si>
    <t>7.Profit/(loss) before tax (5+6)</t>
  </si>
  <si>
    <t>8.Tax expenses</t>
  </si>
  <si>
    <t xml:space="preserve">         (a) Current tax</t>
  </si>
  <si>
    <t xml:space="preserve">         (b) Earlier year taxes</t>
  </si>
  <si>
    <t xml:space="preserve">         (c) MAT credit Entilement</t>
  </si>
  <si>
    <t xml:space="preserve">         (d) Deferred tax</t>
  </si>
  <si>
    <t xml:space="preserve">                   Total tax</t>
  </si>
  <si>
    <t>9.Net Profit for the period /year (7-8)</t>
  </si>
  <si>
    <t>10.Other comprehensive income</t>
  </si>
  <si>
    <t xml:space="preserve">                   (i) items that will not be reclassified to profit or loss</t>
  </si>
  <si>
    <t xml:space="preserve">                   (ii) income tax relating to item that will not be  reclassified to profit or loss</t>
  </si>
  <si>
    <t>11.Total Comprehensive Income for the Period(9+10)</t>
  </si>
  <si>
    <r>
      <t xml:space="preserve">12. Paid-up-equity share capital ( face value </t>
    </r>
    <r>
      <rPr>
        <sz val="11"/>
        <color theme="1"/>
        <rFont val="Rupee"/>
      </rPr>
      <t xml:space="preserve">₹ </t>
    </r>
    <r>
      <rPr>
        <sz val="11"/>
        <color theme="1"/>
        <rFont val="Calibri"/>
        <family val="2"/>
      </rPr>
      <t>10/- each )</t>
    </r>
  </si>
  <si>
    <t>13.Reserve excluding revaluation reserves as per balance sheet of previous accounting year</t>
  </si>
  <si>
    <r>
      <t xml:space="preserve">                          - Basic EPS (</t>
    </r>
    <r>
      <rPr>
        <sz val="11"/>
        <color theme="1"/>
        <rFont val="Rupee"/>
      </rPr>
      <t>₹</t>
    </r>
    <r>
      <rPr>
        <sz val="11"/>
        <color theme="1"/>
        <rFont val="Calibri"/>
        <family val="2"/>
      </rPr>
      <t>)</t>
    </r>
  </si>
  <si>
    <r>
      <t xml:space="preserve">                          - Diluted EPS (</t>
    </r>
    <r>
      <rPr>
        <sz val="11"/>
        <color theme="1"/>
        <rFont val="Rupee"/>
      </rPr>
      <t>₹</t>
    </r>
    <r>
      <rPr>
        <sz val="11"/>
        <color theme="1"/>
        <rFont val="Calibri"/>
        <family val="2"/>
      </rPr>
      <t>)</t>
    </r>
  </si>
  <si>
    <t>Notes:</t>
  </si>
  <si>
    <t>Sub-total - Non Current assets</t>
  </si>
  <si>
    <t>Sub-total -Current assets</t>
  </si>
  <si>
    <t>TOTAL ASSETS</t>
  </si>
  <si>
    <t>Shareholders Fund</t>
  </si>
  <si>
    <t>Sub- total Shareholders fund</t>
  </si>
  <si>
    <t>Sub-total Non-current liabilities</t>
  </si>
  <si>
    <t>Sub-total Current liabilities</t>
  </si>
  <si>
    <t>TOTAL - EQUITY &amp; LIABILITIES</t>
  </si>
  <si>
    <t>1)Previous Year Figures have been regrouped wherever necessary.</t>
  </si>
  <si>
    <t>Period Ended</t>
  </si>
  <si>
    <t>STATEMENT OF UNAUDITIED STANDALONE FINANCIAL RESULTS FOR QUARTER ENDED 31ST MARCH 2022</t>
  </si>
  <si>
    <t>Statement Of Assets &amp; Liabilities as on 31ST MARCH 2022</t>
  </si>
  <si>
    <t>CASH FLOW STATEMENT FOR THE YEAR ENDED 31ST MARCH 2022</t>
  </si>
  <si>
    <t>31-12-2021</t>
  </si>
  <si>
    <t>31-03-2021</t>
  </si>
  <si>
    <t>As At</t>
  </si>
  <si>
    <t>March 31, 2022</t>
  </si>
  <si>
    <t>March 31, 2021</t>
  </si>
  <si>
    <t xml:space="preserve">1 ) The above results were reviewed by the Audit Committee and then approved by the Board at their respective meeting held on___________. </t>
  </si>
  <si>
    <t>3) The Company is into manufacturing of Kraft Paper which is considered as the only reportable segment. The Company's operations are based in India.</t>
  </si>
  <si>
    <t>4) The figures for corresponding periods have been regrouped, wherever applicable, to make them comparable.</t>
  </si>
  <si>
    <t>5) The figures for the querters ended 31st March 2022 and 31st March 2021 as reported in these financial results are the balancing figures between audited figures in respect of the full financial years and the published year to date figures end up to the end of the third quarter of the respective financial years.</t>
  </si>
  <si>
    <t>2) The results have been prepared in accordance with the Indian Accounting Standards (Ind AS) prescribed under section 133 of the Companies Act, 2013 and other recognised accounting practices and policies to the extent applicable.</t>
  </si>
  <si>
    <t>6) The Auditors of the Company have carried out "Limited Review" of the above financial results.</t>
  </si>
  <si>
    <t>AY 2022-23</t>
  </si>
  <si>
    <t>Changes in inventories of finished goods</t>
  </si>
  <si>
    <t>OMPRAKASH RATHI - WHOLE TIME DIRECTOR</t>
  </si>
  <si>
    <t>Total Income from Operations</t>
  </si>
  <si>
    <t>Net Profit / (Loss) for the period  (before tax, exceptional and / or extraordinary items)</t>
  </si>
  <si>
    <t>Net Profit / (Loss) for the period  before tax (after exceptional and / or extraordinary items)</t>
  </si>
  <si>
    <t>Net Profit / (Loss) for the period  after tax (after exceptional and / or extraordinary items)</t>
  </si>
  <si>
    <t>Total Comprehensive Income for the period (Comprising profit for the period after tax and Other Comprehensive Income after Tax)</t>
  </si>
  <si>
    <t>Paid-up Equity Share Capital</t>
  </si>
  <si>
    <t>Earning per Share</t>
  </si>
  <si>
    <t xml:space="preserve">14.Earnings per share </t>
  </si>
  <si>
    <t>Diluted EPS (in Rs.) (Not Annualised)</t>
  </si>
  <si>
    <t>Basic EPS (in Rs.) (Not Annualised)</t>
  </si>
  <si>
    <t>FY 2021-22</t>
  </si>
  <si>
    <t>Variance</t>
  </si>
  <si>
    <t>Financial Ratios</t>
  </si>
  <si>
    <t>Debt service</t>
  </si>
  <si>
    <t>31.3.2022</t>
  </si>
  <si>
    <t>31.3.2021</t>
  </si>
  <si>
    <t>Reason for variance of above 25%</t>
  </si>
  <si>
    <t>Current Ratio (no. of times)</t>
  </si>
  <si>
    <t xml:space="preserve">Current Assets </t>
  </si>
  <si>
    <t>Debt Equity Ratio (no. of times)</t>
  </si>
  <si>
    <t>Debt Service coverage ratio (no. of times)</t>
  </si>
  <si>
    <t>Earning available for debt service</t>
  </si>
  <si>
    <t>Return on Equity ratio (%)</t>
  </si>
  <si>
    <t>Net Profit after taxes</t>
  </si>
  <si>
    <t>Average Shareholder's Equity</t>
  </si>
  <si>
    <t>Inventory turnover ratio (no. of times)</t>
  </si>
  <si>
    <t>Cost of goods sold</t>
  </si>
  <si>
    <t>Average trade receivables</t>
  </si>
  <si>
    <t>Trade Receivables turnover (no. of times)</t>
  </si>
  <si>
    <t>Net Credit sales</t>
  </si>
  <si>
    <t>Trade Payable turnover (no. of times)</t>
  </si>
  <si>
    <t>Net Credit Purchases</t>
  </si>
  <si>
    <t>Average trade payables</t>
  </si>
  <si>
    <t>Net capital turnover ratio (no. of times)</t>
  </si>
  <si>
    <t>Net sales</t>
  </si>
  <si>
    <t>Working Capital</t>
  </si>
  <si>
    <t>Net profit ratio (%)</t>
  </si>
  <si>
    <t>Net Profits after taxes</t>
  </si>
  <si>
    <t>Earning before Interest &amp; Taxes</t>
  </si>
  <si>
    <t>Return on capital employed (ROI)(%)</t>
  </si>
  <si>
    <t>Difference in market value adjusted with net cash flows to equity</t>
  </si>
  <si>
    <t>Opening market value and sum of (Net cash flow from Equity * weight of net cash flow)</t>
  </si>
  <si>
    <t>Variance is primarily on account of increase in current maturities of long term borrowings payable in FY 22-23.</t>
  </si>
  <si>
    <t>Variance is primarily on account of reduction in net profit from Rs. 3,42,73,275 during 20-21 to 38,25,289 during 21-22.</t>
  </si>
  <si>
    <t>Variance is primarily on account of increase in sales along with decrease in average inventory.</t>
  </si>
  <si>
    <t>Variance is primarily on account of increase in net credit purchases.</t>
  </si>
  <si>
    <t>Variance is primarily on account of decrease in net profit and  increase in net sales.</t>
  </si>
  <si>
    <t>Variance is primarily on account of increase in net sales and decrease in working capital.</t>
  </si>
  <si>
    <t>Capital Employed</t>
  </si>
  <si>
    <t>Variance is primarily on account of decrease in earning before interest &amp; taxes and  slight increase in capital employed.</t>
  </si>
  <si>
    <t>NOTE 44 :Financial Ratios</t>
  </si>
  <si>
    <t>NOTE 45:</t>
  </si>
  <si>
    <t xml:space="preserve">NOTE 46 : </t>
  </si>
  <si>
    <t xml:space="preserve">PSI Subsidy for FY 2021-22 is recognised in the books after the receipt of provisional sanction from office of District Industries Centre. </t>
  </si>
  <si>
    <t xml:space="preserve">1) Working Capital Term Loan (WCTL) is secured by the hypothecation &amp; first charge on existing as well as future entire stock of raw materials, finished goods, stock-in-process, stores and spares, packing materials at the factory premises or at some other places including goods in transit, outstanding moneys, book debts and receivables with the personal guarantees of the directors. </t>
  </si>
  <si>
    <t>1 to 46</t>
  </si>
  <si>
    <t>Less : Creditors</t>
  </si>
  <si>
    <t>Net Value of RM</t>
  </si>
  <si>
    <t>Consumable Stores &amp; Spares</t>
  </si>
  <si>
    <t>Finished Goods</t>
  </si>
  <si>
    <t>Total Value of Inventory</t>
  </si>
  <si>
    <t>Receivables</t>
  </si>
  <si>
    <t>Total Inventory &amp; Receivables</t>
  </si>
  <si>
    <t>Submitted to Bank</t>
  </si>
  <si>
    <t>As per Books of Accounts</t>
  </si>
  <si>
    <t>Reasons</t>
  </si>
  <si>
    <t>DIFFERENCE IN STOCK STATEMENT SUBMITTED TO BANKS &amp; AS PER BOOKS OF ACCOUNTS</t>
  </si>
  <si>
    <t>Sports Promotion</t>
  </si>
  <si>
    <t>Promoting Gender Equality</t>
  </si>
  <si>
    <t>Prime Minister Relief Fund</t>
  </si>
  <si>
    <t>Unspent CSR Expenses / (Excess Incurred)</t>
  </si>
  <si>
    <t>UDIN: 22144005AKUHQC3197</t>
  </si>
  <si>
    <t>UDIN : 22144005AKUHQC3197</t>
  </si>
  <si>
    <t xml:space="preserve">B) Credit risk arising from trade receivables is managed in accordance with company's established policy with regard to credit limits, control and approval procedure.The company provides for expected credit losses on trade receivables based on simplified approach as per Ind AS 109 Under this Approach, expected credit losses are computed basis the probability of defaults over the lifetime of the asset. This allowance is measured taking into account credit profile of the customer,geographical spread,trade channels,past experience of defaults,estimates of future uncertainties etc. Further, management believes that the unimpaired amounts that are past due by more than 180 days are still collectable in full, based on historical payment behavior and extensive analysis of customer credit risk. </t>
  </si>
  <si>
    <t>3) Total Term Loan of ₹ 7.75 Crores, of which the Term Loan disbursed till date is 2.17 crores. As per the sanctioned terms the Term Loan should be availed within 3 Months of Sanction i.e. latest by March 22, and repayment to start from April 22. However due to unfavourable conditions, the commissioning of Captive Pawer plant could not be completed and the whole Term Loan amount is not availed till March 22. As per the management the commissioning of plant to be completed by 31st August 2022. However they have requested bank to start the repayment from October 2022. The bank has already deducted one installment of April 2022, as per the sanctioned Terms and the bifurcation of Long Term &amp; Short term loans is done on the basis of Sanction Letter as no official communication of deferment of EMI is received from Bank.</t>
  </si>
  <si>
    <t>(a) Breakup of Deferred Tax Assets at the end of the year.</t>
  </si>
  <si>
    <t>(a) Breakup of Deferred Tax Liability at the end of the year.</t>
  </si>
  <si>
    <t>Total outstanding dues to micro, small and medium enterprises</t>
  </si>
  <si>
    <r>
      <t xml:space="preserve">Information as required to be furnished as per section 22 of the Micro, Small and Medium Enterprises Development Act, 2006 (MSMED Act) for the year ended </t>
    </r>
    <r>
      <rPr>
        <sz val="14"/>
        <color theme="1"/>
        <rFont val="Calibri"/>
        <family val="2"/>
        <scheme val="minor"/>
      </rPr>
      <t>March 31,2022</t>
    </r>
    <r>
      <rPr>
        <sz val="14"/>
        <rFont val="Calibri"/>
        <family val="2"/>
        <scheme val="minor"/>
      </rPr>
      <t xml:space="preserve"> is given below. This infromation has been determined to the extent such parties have been identified on the basis of information available with the company.</t>
    </r>
  </si>
  <si>
    <t>i) The Principle amount and interest due there on remaining unpaid to suppliers under MSMED Act:</t>
  </si>
  <si>
    <t>Revalution Surplus on Revaluation of Fixed Assest  (Land &amp; Building)</t>
  </si>
  <si>
    <t>The carrying value and fair value of financial assets/liabilities by categories are as follows:</t>
  </si>
  <si>
    <t>The company considers that the carrying value amount recognised in the financial statements approximates the fair value largely due to the short term maturities of these instruments.</t>
  </si>
  <si>
    <t>The company's principle financial liabilities includes borrowings, trade payables and other payables. The company's principal financial assets includes loans, cash and cash equivalents and others. The company is exposed to credit risk, liquidity risk and market risk. The company's senior management oversees the management of these risks. The Company's senior management provides assurance that the Company's financial risk activities are governed by appropriate policies and procedures and that financial risks are identified, measured and managed in accordance with the company's policies and risk objectives.</t>
  </si>
  <si>
    <r>
      <t xml:space="preserve">Trade Receivables : </t>
    </r>
    <r>
      <rPr>
        <sz val="14"/>
        <rFont val="Calibri"/>
        <family val="2"/>
        <scheme val="minor"/>
      </rPr>
      <t>The Company’s exposure to credit risk is influenced mainly by the individual characteristics of each customer. Each outstanding customer receivables are regularly monitored and if outstanding is above due date, the further sales are controlled and can only be released if there is a proper justification. No impairment is observed in the carrying value of trade receivables.</t>
    </r>
  </si>
  <si>
    <r>
      <t>b)</t>
    </r>
    <r>
      <rPr>
        <b/>
        <sz val="14"/>
        <rFont val="Calibri"/>
        <family val="2"/>
        <scheme val="minor"/>
      </rPr>
      <t xml:space="preserve"> Interest rate risk :</t>
    </r>
    <r>
      <rPr>
        <sz val="14"/>
        <rFont val="Calibri"/>
        <family val="2"/>
        <scheme val="minor"/>
      </rPr>
      <t xml:space="preserve"> Interest rate risk is the risk that the future cash flows of a financial instrument will fluctuate because of changes in market interest rates. The Company’s main interest rate risk arises from long-term borrowings with variable rates, which exposes the Company to cash flow interest rate risk.</t>
    </r>
  </si>
  <si>
    <t>NOTE 34 : Disclosure required by IND AS 19-Employee Benefits</t>
  </si>
  <si>
    <t>Actuarial gain / (loss)</t>
  </si>
  <si>
    <t>Actuarial (gain) / loss</t>
  </si>
  <si>
    <t xml:space="preserve">Pursuant to the enactment of Companies Act, 2013, the Company has applied the estimated useful lives as specified in Schdule II, Accordingly the unamortised carrying value is being depreciated /amortised over the revised/remaining useful lives. The entity adopts the revaluation model under IND AS 16 for Land and Building pertaining to same class of assets. As per the management's estimation their is no material change in the valuation of Factory Land &amp; Building hence the no change in the valuation of Factory &amp; Building. </t>
  </si>
  <si>
    <t>The company has obtained its office premises for its business operations under operating lease or leave and license agreement. These are generally cancellable under leave and licence, or renewed longer for other lease and are renewable by mutual consent on mutually agreeable terms. Lease payments are recognised in the Statement of Profit and Loss under "Rent" in Note 27.</t>
  </si>
  <si>
    <t>Bank Gurantee given to Customs Department</t>
  </si>
  <si>
    <t>The Company is into the manufacturing of Kraft Paper which is considered as the only reportable segment. The Company’s operations are based in India.</t>
  </si>
  <si>
    <t>In the opinion of the Board and as certified by the management, all expenses charged to revenue and various cash payments to the suppliers of material and services through out the accounting year are genuine and have been solely and exclusively incurred out of business expediency.</t>
  </si>
  <si>
    <t>No changes were made in the objectives, policies or processes for managing capital during the years ended 31 March 2022 and
31 March 2021.</t>
  </si>
  <si>
    <t>z</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</si>
</sst>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3" formatCode="_ * #,##0.00_ ;_ * \-#,##0.00_ ;_ * &quot;-&quot;??_ ;_ @_ "/>
    <numFmt numFmtId="164" formatCode="_-* #,##0.00_-;\-* #,##0.00_-;_-* &quot;-&quot;??_-;_-@_-"/>
    <numFmt numFmtId="165" formatCode="_(* #,##0_);_(* \(#,##0\);_(* &quot;-&quot;_);_(@_)"/>
    <numFmt numFmtId="166" formatCode="_(&quot;$&quot;* #,##0.00_);_(&quot;$&quot;* \(#,##0.00\);_(&quot;$&quot;* &quot;-&quot;??_);_(@_)"/>
    <numFmt numFmtId="167" formatCode="_(* #,##0.00_);_(* \(#,##0.00\);_(* &quot;-&quot;??_);_(@_)"/>
    <numFmt numFmtId="168" formatCode="&quot;&quot;0.00"/>
    <numFmt numFmtId="169" formatCode="&quot;&quot;0"/>
    <numFmt numFmtId="170" formatCode="_ * #,##0.0_ ;_ * \-#,##0.0_ ;_ * &quot;-&quot;??_ ;_ @_ "/>
    <numFmt numFmtId="171" formatCode="_ * #,##0_ ;_ * \-#,##0_ ;_ * &quot;-&quot;??_ ;_ @_ "/>
    <numFmt numFmtId="172" formatCode="0.00;[Red]0.00"/>
    <numFmt numFmtId="173" formatCode="[$-409]d\-mmm\-yy;@"/>
    <numFmt numFmtId="174" formatCode="0.000000000000;[Red]0.000000000000"/>
    <numFmt numFmtId="175" formatCode="_(* #,##0_);_(* \(#,##0\);_(* &quot;-&quot;??_);_(@_)"/>
    <numFmt numFmtId="176" formatCode="0.00000000;[Red]0.00000000"/>
    <numFmt numFmtId="177" formatCode="0;[Red]0"/>
    <numFmt numFmtId="178" formatCode="0.00_ ;\-0.00\ "/>
    <numFmt numFmtId="179" formatCode="0.0"/>
    <numFmt numFmtId="180" formatCode="_(* #,##0.000_);_(* \(#,##0.000\);_(* &quot;-&quot;??_);_(@_)"/>
    <numFmt numFmtId="181" formatCode="_ * #,##0.000_ ;_ * \-#,##0.000_ ;_ * &quot;-&quot;??_ ;_ @_ "/>
    <numFmt numFmtId="182" formatCode="_ * #,##0.0000_ ;_ * \-#,##0.0000_ ;_ * &quot;-&quot;??_ ;_ @_ "/>
    <numFmt numFmtId="183" formatCode="&quot;WORKINGS ON DEFERRED TAXATION AS ON &quot;[$-409]d\-mmm\-yy;@"/>
    <numFmt numFmtId="184" formatCode="0.0%"/>
    <numFmt numFmtId="185" formatCode="&quot;Deferred Tax Liability as on &quot;[$-409]d\-mmm\-yy;@"/>
    <numFmt numFmtId="186" formatCode="#,##0.000000;\-#,##0.000000"/>
    <numFmt numFmtId="187" formatCode="0_);\(0\)"/>
    <numFmt numFmtId="188" formatCode="_-* #,##0_-;\-* #,##0_-;_-* &quot;-&quot;??_-;_-@_-"/>
    <numFmt numFmtId="189" formatCode="_-* #,##0.00_-;\-* #,##0.00_-;_-* &quot;-&quot;_-;_-@_-"/>
    <numFmt numFmtId="190" formatCode="dd/mmm/yyyy"/>
    <numFmt numFmtId="191" formatCode="dd\-mmm\-yyyy"/>
    <numFmt numFmtId="192" formatCode="_(* #,##0.00_);_(* \(#,##0.00\);_(* &quot;-&quot;_);_(@_)"/>
  </numFmts>
  <fonts count="128">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sz val="10"/>
      <color theme="1"/>
      <name val="Arial"/>
      <family val="2"/>
    </font>
    <font>
      <b/>
      <sz val="9"/>
      <color theme="1"/>
      <name val="Arial"/>
      <family val="2"/>
    </font>
    <font>
      <sz val="9"/>
      <color theme="1"/>
      <name val="Arial"/>
      <family val="2"/>
    </font>
    <font>
      <b/>
      <sz val="11"/>
      <color theme="1"/>
      <name val="Arial Black"/>
      <family val="2"/>
    </font>
    <font>
      <b/>
      <sz val="11"/>
      <name val="Bookman Old Style"/>
      <family val="1"/>
    </font>
    <font>
      <sz val="10"/>
      <name val="Arial"/>
      <family val="2"/>
    </font>
    <font>
      <b/>
      <sz val="14"/>
      <name val="Calibri"/>
      <family val="2"/>
      <scheme val="minor"/>
    </font>
    <font>
      <sz val="14"/>
      <name val="Calibri"/>
      <family val="2"/>
      <scheme val="minor"/>
    </font>
    <font>
      <b/>
      <u/>
      <sz val="14"/>
      <name val="Calibri"/>
      <family val="2"/>
      <scheme val="minor"/>
    </font>
    <font>
      <b/>
      <i/>
      <u/>
      <sz val="14"/>
      <name val="Calibri"/>
      <family val="2"/>
      <scheme val="minor"/>
    </font>
    <font>
      <i/>
      <sz val="14"/>
      <name val="Calibri"/>
      <family val="2"/>
      <scheme val="minor"/>
    </font>
    <font>
      <u/>
      <sz val="14"/>
      <name val="Calibri"/>
      <family val="2"/>
      <scheme val="minor"/>
    </font>
    <font>
      <sz val="10"/>
      <name val="Bookman Old Style"/>
      <family val="1"/>
    </font>
    <font>
      <sz val="14"/>
      <color theme="1"/>
      <name val="Calibri"/>
      <family val="2"/>
      <scheme val="minor"/>
    </font>
    <font>
      <b/>
      <sz val="14"/>
      <color theme="1"/>
      <name val="Calibri"/>
      <family val="2"/>
      <scheme val="minor"/>
    </font>
    <font>
      <b/>
      <u/>
      <sz val="11"/>
      <color theme="1"/>
      <name val="Calibri"/>
      <family val="2"/>
      <scheme val="minor"/>
    </font>
    <font>
      <sz val="11"/>
      <color theme="1"/>
      <name val="Wingdings"/>
      <charset val="2"/>
    </font>
    <font>
      <b/>
      <u/>
      <sz val="15"/>
      <color theme="1"/>
      <name val="Calibri"/>
      <family val="2"/>
      <scheme val="minor"/>
    </font>
    <font>
      <b/>
      <u val="singleAccounting"/>
      <sz val="11"/>
      <color theme="1"/>
      <name val="Calibri"/>
      <family val="2"/>
      <scheme val="minor"/>
    </font>
    <font>
      <sz val="8"/>
      <color theme="1"/>
      <name val="Calibri"/>
      <family val="2"/>
      <scheme val="minor"/>
    </font>
    <font>
      <b/>
      <sz val="15"/>
      <color theme="1"/>
      <name val="Calibri"/>
      <family val="2"/>
      <scheme val="minor"/>
    </font>
    <font>
      <sz val="15"/>
      <color theme="1"/>
      <name val="Calibri"/>
      <family val="2"/>
      <scheme val="minor"/>
    </font>
    <font>
      <sz val="10"/>
      <name val="Arial"/>
      <family val="2"/>
    </font>
    <font>
      <b/>
      <u/>
      <sz val="15"/>
      <name val="Arial"/>
      <family val="2"/>
    </font>
    <font>
      <b/>
      <u/>
      <sz val="13"/>
      <name val="Arial"/>
      <family val="2"/>
    </font>
    <font>
      <b/>
      <u/>
      <sz val="10"/>
      <name val="Arial"/>
      <family val="2"/>
    </font>
    <font>
      <b/>
      <sz val="12"/>
      <name val="Arial"/>
      <family val="2"/>
    </font>
    <font>
      <b/>
      <sz val="10"/>
      <name val="Arial"/>
      <family val="2"/>
    </font>
    <font>
      <sz val="12"/>
      <name val="Times New Roman"/>
      <family val="1"/>
    </font>
    <font>
      <sz val="10"/>
      <name val="Times New Roman"/>
      <family val="1"/>
    </font>
    <font>
      <b/>
      <sz val="10"/>
      <color rgb="FFFF0000"/>
      <name val="Arial"/>
      <family val="2"/>
    </font>
    <font>
      <b/>
      <sz val="11"/>
      <name val="Arial"/>
      <family val="2"/>
    </font>
    <font>
      <b/>
      <sz val="14"/>
      <name val="Times New Roman"/>
      <family val="1"/>
    </font>
    <font>
      <b/>
      <sz val="10"/>
      <name val="Times New Roman"/>
      <family val="1"/>
    </font>
    <font>
      <sz val="12"/>
      <name val="Arial"/>
      <family val="2"/>
    </font>
    <font>
      <b/>
      <sz val="12"/>
      <name val="Times New Roman"/>
      <family val="1"/>
    </font>
    <font>
      <b/>
      <sz val="20"/>
      <color theme="1"/>
      <name val="Calibri"/>
      <family val="2"/>
      <scheme val="minor"/>
    </font>
    <font>
      <b/>
      <sz val="9"/>
      <color indexed="81"/>
      <name val="Tahoma"/>
      <family val="2"/>
    </font>
    <font>
      <sz val="9"/>
      <color indexed="81"/>
      <name val="Tahoma"/>
      <family val="2"/>
    </font>
    <font>
      <b/>
      <sz val="10"/>
      <name val="Calibri Light"/>
      <family val="1"/>
      <scheme val="major"/>
    </font>
    <font>
      <b/>
      <u/>
      <sz val="10"/>
      <name val="Calibri Light"/>
      <family val="1"/>
      <scheme val="major"/>
    </font>
    <font>
      <sz val="10"/>
      <name val="Calibri Light"/>
      <family val="1"/>
      <scheme val="major"/>
    </font>
    <font>
      <b/>
      <sz val="10"/>
      <color indexed="12"/>
      <name val="Calibri Light"/>
      <family val="1"/>
      <scheme val="major"/>
    </font>
    <font>
      <sz val="10"/>
      <color indexed="12"/>
      <name val="Calibri Light"/>
      <family val="1"/>
      <scheme val="major"/>
    </font>
    <font>
      <sz val="13"/>
      <color theme="1"/>
      <name val="Calibri"/>
      <family val="2"/>
      <scheme val="minor"/>
    </font>
    <font>
      <b/>
      <sz val="9"/>
      <color theme="1"/>
      <name val="Andalus"/>
      <family val="1"/>
    </font>
    <font>
      <b/>
      <sz val="12"/>
      <name val="Calibri"/>
      <family val="2"/>
      <scheme val="minor"/>
    </font>
    <font>
      <sz val="11"/>
      <color theme="2" tint="-0.249977111117893"/>
      <name val="Calibri"/>
      <family val="2"/>
      <scheme val="minor"/>
    </font>
    <font>
      <sz val="12"/>
      <name val="Calibri"/>
      <family val="2"/>
      <scheme val="minor"/>
    </font>
    <font>
      <b/>
      <u/>
      <sz val="12"/>
      <name val="Calibri"/>
      <family val="2"/>
      <scheme val="minor"/>
    </font>
    <font>
      <b/>
      <sz val="12"/>
      <color theme="1"/>
      <name val="Calibri"/>
      <family val="2"/>
      <scheme val="minor"/>
    </font>
    <font>
      <sz val="12"/>
      <color theme="1"/>
      <name val="Calibri"/>
      <family val="2"/>
      <scheme val="minor"/>
    </font>
    <font>
      <b/>
      <u/>
      <sz val="11"/>
      <color theme="2" tint="-0.249977111117893"/>
      <name val="Calibri"/>
      <family val="2"/>
      <scheme val="minor"/>
    </font>
    <font>
      <u/>
      <sz val="10"/>
      <color indexed="12"/>
      <name val="Arial"/>
      <family val="2"/>
    </font>
    <font>
      <b/>
      <sz val="11"/>
      <color indexed="12"/>
      <name val="Bookman Old Style"/>
      <family val="1"/>
    </font>
    <font>
      <sz val="12"/>
      <name val="Bookman Old Style"/>
      <family val="1"/>
    </font>
    <font>
      <b/>
      <sz val="12"/>
      <name val="Bookman Old Style"/>
      <family val="1"/>
    </font>
    <font>
      <sz val="12"/>
      <color rgb="FFFF0000"/>
      <name val="Bookman Old Style"/>
      <family val="1"/>
    </font>
    <font>
      <b/>
      <sz val="12"/>
      <color indexed="12"/>
      <name val="Bookman Old Style"/>
      <family val="1"/>
    </font>
    <font>
      <sz val="12"/>
      <color indexed="12"/>
      <name val="Bookman Old Style"/>
      <family val="1"/>
    </font>
    <font>
      <sz val="11"/>
      <color indexed="8"/>
      <name val="Calibri"/>
      <family val="2"/>
    </font>
    <font>
      <u/>
      <sz val="11"/>
      <color theme="1"/>
      <name val="Calibri"/>
      <family val="2"/>
      <scheme val="minor"/>
    </font>
    <font>
      <i/>
      <sz val="12"/>
      <name val="Times New Roman"/>
      <family val="1"/>
    </font>
    <font>
      <sz val="12"/>
      <color indexed="8"/>
      <name val="Times New Roman"/>
      <family val="1"/>
    </font>
    <font>
      <sz val="12"/>
      <color rgb="FFFF0000"/>
      <name val="Times New Roman"/>
      <family val="1"/>
    </font>
    <font>
      <b/>
      <u/>
      <sz val="12"/>
      <name val="Times New Roman"/>
      <family val="1"/>
    </font>
    <font>
      <sz val="11"/>
      <name val="Calibri"/>
      <family val="2"/>
      <scheme val="minor"/>
    </font>
    <font>
      <b/>
      <sz val="11"/>
      <name val="Calibri"/>
      <family val="2"/>
      <scheme val="minor"/>
    </font>
    <font>
      <u/>
      <sz val="11"/>
      <color theme="10"/>
      <name val="Book Antiqua"/>
      <family val="2"/>
    </font>
    <font>
      <b/>
      <sz val="11"/>
      <color indexed="12"/>
      <name val="Calibri"/>
      <family val="2"/>
      <scheme val="minor"/>
    </font>
    <font>
      <sz val="11"/>
      <color indexed="0"/>
      <name val="Calibri"/>
      <family val="2"/>
      <scheme val="minor"/>
    </font>
    <font>
      <b/>
      <sz val="11"/>
      <color indexed="0"/>
      <name val="Calibri"/>
      <family val="2"/>
      <scheme val="minor"/>
    </font>
    <font>
      <b/>
      <sz val="11"/>
      <color indexed="8"/>
      <name val="Calibri"/>
      <family val="2"/>
      <scheme val="minor"/>
    </font>
    <font>
      <sz val="10"/>
      <name val="Book Antiqua"/>
      <family val="1"/>
    </font>
    <font>
      <b/>
      <sz val="10"/>
      <name val="Book Antiqua"/>
      <family val="1"/>
    </font>
    <font>
      <i/>
      <sz val="10"/>
      <name val="Book Antiqua"/>
      <family val="1"/>
    </font>
    <font>
      <b/>
      <u/>
      <sz val="12"/>
      <color theme="1"/>
      <name val="Calibri"/>
      <family val="2"/>
      <scheme val="minor"/>
    </font>
    <font>
      <u/>
      <sz val="11"/>
      <color theme="10"/>
      <name val="Calibri"/>
      <family val="2"/>
    </font>
    <font>
      <b/>
      <sz val="10"/>
      <name val="Calibri"/>
      <family val="2"/>
      <scheme val="minor"/>
    </font>
    <font>
      <sz val="10"/>
      <name val="Calibri"/>
      <family val="2"/>
      <scheme val="minor"/>
    </font>
    <font>
      <b/>
      <sz val="10"/>
      <color theme="0"/>
      <name val="Calibri"/>
      <family val="2"/>
      <scheme val="minor"/>
    </font>
    <font>
      <u/>
      <sz val="10"/>
      <name val="Calibri"/>
      <family val="2"/>
      <scheme val="minor"/>
    </font>
    <font>
      <sz val="11"/>
      <color theme="1"/>
      <name val="Book Antiqua"/>
      <family val="2"/>
    </font>
    <font>
      <b/>
      <sz val="18"/>
      <color theme="1"/>
      <name val="Book Antiqua"/>
      <family val="1"/>
    </font>
    <font>
      <sz val="11"/>
      <color theme="1"/>
      <name val="Book Antiqua"/>
      <family val="1"/>
    </font>
    <font>
      <b/>
      <sz val="12"/>
      <color theme="1"/>
      <name val="Book Antiqua"/>
      <family val="1"/>
    </font>
    <font>
      <b/>
      <sz val="12"/>
      <color rgb="FFFF0000"/>
      <name val="Book Antiqua"/>
      <family val="1"/>
    </font>
    <font>
      <b/>
      <sz val="11"/>
      <color theme="1"/>
      <name val="Book Antiqua"/>
      <family val="1"/>
    </font>
    <font>
      <sz val="10"/>
      <color theme="1"/>
      <name val="Book Antiqua"/>
      <family val="2"/>
    </font>
    <font>
      <b/>
      <sz val="10"/>
      <color theme="1"/>
      <name val="Book Antiqua"/>
      <family val="2"/>
    </font>
    <font>
      <b/>
      <sz val="11"/>
      <color theme="1"/>
      <name val="Book Antiqua"/>
      <family val="2"/>
    </font>
    <font>
      <b/>
      <sz val="10"/>
      <color theme="1"/>
      <name val="Book Antiqua"/>
      <family val="1"/>
    </font>
    <font>
      <sz val="10"/>
      <color theme="1"/>
      <name val="Book Antiqua"/>
      <family val="1"/>
    </font>
    <font>
      <sz val="11"/>
      <name val="Book Antiqua"/>
      <family val="1"/>
    </font>
    <font>
      <sz val="11"/>
      <color rgb="FFFF0000"/>
      <name val="Book Antiqua"/>
      <family val="1"/>
    </font>
    <font>
      <sz val="10"/>
      <color rgb="FFFF0000"/>
      <name val="Book Antiqua"/>
      <family val="2"/>
    </font>
    <font>
      <b/>
      <sz val="10"/>
      <color theme="0"/>
      <name val="Book Antiqua"/>
      <family val="1"/>
    </font>
    <font>
      <sz val="12"/>
      <color theme="1"/>
      <name val="Book Antiqua"/>
      <family val="1"/>
    </font>
    <font>
      <b/>
      <sz val="14"/>
      <color theme="1"/>
      <name val="Book Antiqua"/>
      <family val="1"/>
    </font>
    <font>
      <b/>
      <sz val="16"/>
      <color theme="1"/>
      <name val="Book Antiqua"/>
      <family val="1"/>
    </font>
    <font>
      <sz val="11"/>
      <color theme="0"/>
      <name val="Book Antiqua"/>
      <family val="2"/>
    </font>
    <font>
      <sz val="10"/>
      <color rgb="FF333333"/>
      <name val="Verdana"/>
      <family val="2"/>
    </font>
    <font>
      <sz val="11"/>
      <name val="Book Antiqua"/>
      <family val="2"/>
    </font>
    <font>
      <sz val="10"/>
      <color theme="0"/>
      <name val="Book Antiqua"/>
      <family val="2"/>
    </font>
    <font>
      <b/>
      <sz val="11"/>
      <color theme="0"/>
      <name val="Book Antiqua"/>
      <family val="2"/>
    </font>
    <font>
      <sz val="5"/>
      <color theme="0"/>
      <name val="Book Antiqua"/>
      <family val="1"/>
    </font>
    <font>
      <sz val="10"/>
      <name val="Courier"/>
      <family val="3"/>
    </font>
    <font>
      <b/>
      <sz val="11"/>
      <name val="Book Antiqua"/>
      <family val="1"/>
    </font>
    <font>
      <b/>
      <sz val="14"/>
      <name val="Book Antiqua"/>
      <family val="1"/>
    </font>
    <font>
      <sz val="12"/>
      <color theme="1"/>
      <name val="Bookman Old Style"/>
      <family val="1"/>
    </font>
    <font>
      <sz val="12"/>
      <color theme="0"/>
      <name val="Book Antiqua"/>
      <family val="1"/>
    </font>
    <font>
      <sz val="12"/>
      <color theme="1"/>
      <name val="Arial"/>
      <family val="2"/>
    </font>
    <font>
      <b/>
      <sz val="13"/>
      <color theme="1"/>
      <name val="Book Antiqua"/>
      <family val="1"/>
    </font>
    <font>
      <sz val="14"/>
      <color theme="0" tint="-0.499984740745262"/>
      <name val="Calibri"/>
      <family val="2"/>
      <scheme val="minor"/>
    </font>
    <font>
      <b/>
      <sz val="14"/>
      <color theme="0" tint="-0.499984740745262"/>
      <name val="Calibri"/>
      <family val="2"/>
      <scheme val="minor"/>
    </font>
    <font>
      <b/>
      <i/>
      <u/>
      <sz val="14"/>
      <color theme="0" tint="-0.499984740745262"/>
      <name val="Calibri"/>
      <family val="2"/>
      <scheme val="minor"/>
    </font>
    <font>
      <u/>
      <sz val="14"/>
      <color theme="0" tint="-0.499984740745262"/>
      <name val="Calibri"/>
      <family val="2"/>
      <scheme val="minor"/>
    </font>
    <font>
      <b/>
      <u/>
      <sz val="14"/>
      <color theme="0" tint="-0.499984740745262"/>
      <name val="Calibri"/>
      <family val="2"/>
      <scheme val="minor"/>
    </font>
    <font>
      <sz val="11"/>
      <color theme="0" tint="-0.499984740745262"/>
      <name val="Calibri"/>
      <family val="2"/>
      <scheme val="minor"/>
    </font>
    <font>
      <b/>
      <sz val="16"/>
      <name val="Calibri"/>
      <family val="2"/>
      <scheme val="minor"/>
    </font>
    <font>
      <sz val="11"/>
      <color theme="1"/>
      <name val="Rupee"/>
    </font>
    <font>
      <sz val="11"/>
      <color theme="1"/>
      <name val="Calibri"/>
      <family val="2"/>
    </font>
    <font>
      <b/>
      <sz val="20"/>
      <name val="Calibri"/>
      <family val="2"/>
      <scheme val="minor"/>
    </font>
    <font>
      <b/>
      <sz val="14"/>
      <color theme="9" tint="-0.499984740745262"/>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indexed="4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4"/>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9" tint="0.79998168889431442"/>
        <bgColor indexed="65"/>
      </patternFill>
    </fill>
    <fill>
      <patternFill patternType="solid">
        <fgColor rgb="FF00B050"/>
        <bgColor indexed="64"/>
      </patternFill>
    </fill>
  </fills>
  <borders count="8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thin">
        <color indexed="64"/>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thin">
        <color auto="1"/>
      </top>
      <bottom style="thin">
        <color auto="1"/>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thin">
        <color auto="1"/>
      </left>
      <right style="thin">
        <color auto="1"/>
      </right>
      <top style="medium">
        <color indexed="64"/>
      </top>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auto="1"/>
      </left>
      <right style="medium">
        <color indexed="64"/>
      </right>
      <top style="medium">
        <color indexed="64"/>
      </top>
      <bottom/>
      <diagonal/>
    </border>
    <border>
      <left style="medium">
        <color indexed="64"/>
      </left>
      <right style="thin">
        <color indexed="64"/>
      </right>
      <top style="double">
        <color indexed="64"/>
      </top>
      <bottom/>
      <diagonal/>
    </border>
    <border>
      <left/>
      <right/>
      <top style="thin">
        <color auto="1"/>
      </top>
      <bottom/>
      <diagonal/>
    </border>
    <border>
      <left style="medium">
        <color indexed="64"/>
      </left>
      <right/>
      <top style="thin">
        <color indexed="64"/>
      </top>
      <bottom style="medium">
        <color indexed="64"/>
      </bottom>
      <diagonal/>
    </border>
  </borders>
  <cellStyleXfs count="63">
    <xf numFmtId="0" fontId="0" fillId="0" borderId="0"/>
    <xf numFmtId="43"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171" fontId="9" fillId="0" borderId="0"/>
    <xf numFmtId="9" fontId="16" fillId="0" borderId="0" applyFont="0" applyFill="0" applyBorder="0" applyAlignment="0" applyProtection="0"/>
    <xf numFmtId="171" fontId="9" fillId="0" borderId="0"/>
    <xf numFmtId="167" fontId="1" fillId="0" borderId="0" applyFont="0" applyFill="0" applyBorder="0" applyAlignment="0" applyProtection="0"/>
    <xf numFmtId="0" fontId="26" fillId="0" borderId="0"/>
    <xf numFmtId="0" fontId="9" fillId="0" borderId="0"/>
    <xf numFmtId="167" fontId="9" fillId="0" borderId="0" applyFont="0" applyFill="0" applyBorder="0" applyAlignment="0" applyProtection="0"/>
    <xf numFmtId="164" fontId="1" fillId="0" borderId="0" applyFont="0" applyFill="0" applyBorder="0" applyAlignment="0" applyProtection="0"/>
    <xf numFmtId="171" fontId="9" fillId="0" borderId="0"/>
    <xf numFmtId="179" fontId="9" fillId="0" borderId="0" applyFont="0" applyFill="0" applyBorder="0" applyAlignment="0" applyProtection="0"/>
    <xf numFmtId="171" fontId="9" fillId="0" borderId="0"/>
    <xf numFmtId="0" fontId="9" fillId="0" borderId="0"/>
    <xf numFmtId="0" fontId="9" fillId="0" borderId="0"/>
    <xf numFmtId="0" fontId="9" fillId="0" borderId="0"/>
    <xf numFmtId="0" fontId="57"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171" fontId="9" fillId="0" borderId="0"/>
    <xf numFmtId="179" fontId="9" fillId="0" borderId="0" applyFont="0" applyFill="0" applyBorder="0" applyAlignment="0" applyProtection="0"/>
    <xf numFmtId="43" fontId="64" fillId="0" borderId="0" applyFont="0" applyFill="0" applyBorder="0" applyAlignment="0" applyProtection="0"/>
    <xf numFmtId="171" fontId="9" fillId="0" borderId="0"/>
    <xf numFmtId="179" fontId="9" fillId="0" borderId="0" applyFont="0" applyFill="0" applyBorder="0" applyAlignment="0" applyProtection="0"/>
    <xf numFmtId="167" fontId="9" fillId="0" borderId="0" applyFont="0" applyFill="0" applyBorder="0" applyAlignment="0" applyProtection="0"/>
    <xf numFmtId="187" fontId="9" fillId="0" borderId="0"/>
    <xf numFmtId="187" fontId="9" fillId="0" borderId="0"/>
    <xf numFmtId="164" fontId="9" fillId="0" borderId="0" applyFont="0" applyFill="0" applyBorder="0" applyAlignment="0" applyProtection="0"/>
    <xf numFmtId="0" fontId="33" fillId="0" borderId="0"/>
    <xf numFmtId="179" fontId="9" fillId="0" borderId="0" applyFont="0" applyFill="0" applyBorder="0" applyAlignment="0" applyProtection="0"/>
    <xf numFmtId="171" fontId="9" fillId="0" borderId="0"/>
    <xf numFmtId="0" fontId="72" fillId="0" borderId="0" applyNumberFormat="0" applyFill="0" applyBorder="0" applyAlignment="0" applyProtection="0"/>
    <xf numFmtId="167"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81" fillId="0" borderId="0" applyNumberFormat="0" applyFill="0" applyBorder="0" applyAlignment="0" applyProtection="0">
      <alignment vertical="top"/>
      <protection locked="0"/>
    </xf>
    <xf numFmtId="167" fontId="86" fillId="0" borderId="0" applyFont="0" applyFill="0" applyBorder="0" applyAlignment="0" applyProtection="0"/>
    <xf numFmtId="0" fontId="86" fillId="0" borderId="0"/>
    <xf numFmtId="167" fontId="1" fillId="0" borderId="0" applyFont="0" applyFill="0" applyBorder="0" applyAlignment="0" applyProtection="0"/>
    <xf numFmtId="0" fontId="110" fillId="0" borderId="0"/>
    <xf numFmtId="167" fontId="9" fillId="0" borderId="0" applyFont="0" applyFill="0" applyBorder="0" applyAlignment="0" applyProtection="0"/>
    <xf numFmtId="0" fontId="1" fillId="0" borderId="0"/>
    <xf numFmtId="0" fontId="1" fillId="12" borderId="0" applyNumberFormat="0" applyBorder="0" applyAlignment="0" applyProtection="0"/>
    <xf numFmtId="43"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171" fontId="9" fillId="0" borderId="0"/>
    <xf numFmtId="171" fontId="9" fillId="0" borderId="0"/>
    <xf numFmtId="0" fontId="1" fillId="0" borderId="0"/>
    <xf numFmtId="171" fontId="9" fillId="0" borderId="0"/>
    <xf numFmtId="179" fontId="9" fillId="0" borderId="0" applyFont="0" applyFill="0" applyBorder="0" applyAlignment="0" applyProtection="0"/>
    <xf numFmtId="9" fontId="9" fillId="0" borderId="0" applyFont="0" applyFill="0" applyBorder="0" applyAlignment="0" applyProtection="0"/>
    <xf numFmtId="167" fontId="86" fillId="0" borderId="0" applyFont="0" applyFill="0" applyBorder="0" applyAlignment="0" applyProtection="0"/>
    <xf numFmtId="0" fontId="86" fillId="0" borderId="0"/>
    <xf numFmtId="167" fontId="9" fillId="0" borderId="0" applyFont="0" applyFill="0" applyBorder="0" applyAlignment="0" applyProtection="0"/>
    <xf numFmtId="0" fontId="9" fillId="0" borderId="0"/>
    <xf numFmtId="0" fontId="9" fillId="0" borderId="0"/>
    <xf numFmtId="175" fontId="1" fillId="0" borderId="0" applyFont="0" applyFill="0" applyBorder="0" applyAlignment="0" applyProtection="0"/>
    <xf numFmtId="0" fontId="9" fillId="0" borderId="0"/>
  </cellStyleXfs>
  <cellXfs count="2424">
    <xf numFmtId="0" fontId="0" fillId="0" borderId="0" xfId="0"/>
    <xf numFmtId="43" fontId="2" fillId="0" borderId="0" xfId="1" applyFont="1"/>
    <xf numFmtId="43" fontId="0" fillId="0" borderId="0" xfId="1" applyFont="1"/>
    <xf numFmtId="43" fontId="8" fillId="0" borderId="6" xfId="1" applyFont="1" applyBorder="1" applyAlignment="1">
      <alignment horizontal="left"/>
    </xf>
    <xf numFmtId="43" fontId="0" fillId="0" borderId="8" xfId="1" applyFont="1" applyBorder="1"/>
    <xf numFmtId="43" fontId="0" fillId="0" borderId="9" xfId="1" applyFont="1" applyBorder="1"/>
    <xf numFmtId="43" fontId="2" fillId="0" borderId="9" xfId="1" applyFont="1" applyBorder="1"/>
    <xf numFmtId="171" fontId="2" fillId="0" borderId="0" xfId="1" applyNumberFormat="1" applyFont="1" applyAlignment="1"/>
    <xf numFmtId="171" fontId="8" fillId="0" borderId="6" xfId="1" applyNumberFormat="1" applyFont="1" applyBorder="1" applyAlignment="1"/>
    <xf numFmtId="171" fontId="0" fillId="0" borderId="0" xfId="1" applyNumberFormat="1" applyFont="1" applyAlignment="1"/>
    <xf numFmtId="171" fontId="0" fillId="0" borderId="9" xfId="1" applyNumberFormat="1" applyFont="1" applyBorder="1" applyAlignment="1"/>
    <xf numFmtId="0" fontId="0" fillId="0" borderId="0" xfId="0" applyNumberFormat="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71" fontId="10" fillId="0" borderId="12" xfId="1" applyNumberFormat="1" applyFont="1" applyFill="1" applyBorder="1" applyAlignment="1">
      <alignment horizontal="center" vertical="center" wrapText="1"/>
    </xf>
    <xf numFmtId="171" fontId="10" fillId="0" borderId="13" xfId="1" applyNumberFormat="1" applyFont="1" applyFill="1" applyBorder="1" applyAlignment="1">
      <alignment horizontal="center"/>
    </xf>
    <xf numFmtId="0" fontId="11" fillId="0" borderId="14" xfId="0" applyFont="1" applyBorder="1" applyAlignment="1">
      <alignment vertical="center" wrapText="1"/>
    </xf>
    <xf numFmtId="171" fontId="11" fillId="0" borderId="14" xfId="1" applyNumberFormat="1" applyFont="1" applyFill="1" applyBorder="1" applyAlignment="1">
      <alignment vertical="center" wrapText="1"/>
    </xf>
    <xf numFmtId="171" fontId="11" fillId="0" borderId="14" xfId="1" applyNumberFormat="1" applyFont="1" applyFill="1" applyBorder="1" applyAlignment="1">
      <alignment horizontal="center"/>
    </xf>
    <xf numFmtId="1" fontId="10" fillId="0" borderId="14" xfId="4" applyNumberFormat="1" applyFont="1" applyBorder="1" applyAlignment="1">
      <alignment horizontal="center"/>
    </xf>
    <xf numFmtId="171" fontId="10" fillId="0" borderId="14" xfId="1" applyNumberFormat="1" applyFont="1" applyFill="1" applyBorder="1" applyAlignment="1">
      <alignment horizontal="center"/>
    </xf>
    <xf numFmtId="171" fontId="11" fillId="0" borderId="14" xfId="1" applyNumberFormat="1" applyFont="1" applyFill="1" applyBorder="1" applyAlignment="1">
      <alignment horizontal="right"/>
    </xf>
    <xf numFmtId="171" fontId="10" fillId="0" borderId="6" xfId="1" applyNumberFormat="1" applyFont="1" applyFill="1" applyBorder="1" applyAlignment="1">
      <alignment horizontal="right"/>
    </xf>
    <xf numFmtId="171" fontId="10" fillId="0" borderId="14" xfId="1" applyNumberFormat="1" applyFont="1" applyFill="1" applyBorder="1" applyAlignment="1">
      <alignment horizontal="right"/>
    </xf>
    <xf numFmtId="171" fontId="10" fillId="0" borderId="11" xfId="1" applyNumberFormat="1" applyFont="1" applyFill="1" applyBorder="1" applyAlignment="1">
      <alignment horizontal="center"/>
    </xf>
    <xf numFmtId="171" fontId="11" fillId="0" borderId="11" xfId="1" applyNumberFormat="1" applyFont="1" applyFill="1" applyBorder="1" applyAlignment="1">
      <alignment horizontal="center"/>
    </xf>
    <xf numFmtId="171" fontId="10" fillId="0" borderId="15" xfId="1" applyNumberFormat="1" applyFont="1" applyFill="1" applyBorder="1" applyAlignment="1">
      <alignment vertical="center"/>
    </xf>
    <xf numFmtId="171" fontId="11" fillId="0" borderId="14" xfId="1" applyNumberFormat="1" applyFont="1" applyFill="1" applyBorder="1" applyAlignment="1">
      <alignment vertical="center"/>
    </xf>
    <xf numFmtId="171" fontId="10" fillId="0" borderId="6" xfId="1" applyNumberFormat="1" applyFont="1" applyFill="1" applyBorder="1" applyAlignment="1">
      <alignment vertical="center"/>
    </xf>
    <xf numFmtId="171" fontId="10" fillId="0" borderId="10" xfId="1" applyNumberFormat="1" applyFont="1" applyFill="1" applyBorder="1" applyAlignment="1">
      <alignment vertical="center"/>
    </xf>
    <xf numFmtId="171" fontId="10" fillId="0" borderId="16" xfId="1" applyNumberFormat="1" applyFont="1" applyFill="1" applyBorder="1" applyAlignment="1">
      <alignment vertical="center"/>
    </xf>
    <xf numFmtId="171" fontId="11" fillId="0" borderId="13" xfId="1" applyNumberFormat="1" applyFont="1" applyFill="1" applyBorder="1" applyAlignment="1">
      <alignment horizontal="center" vertical="center" wrapText="1"/>
    </xf>
    <xf numFmtId="171" fontId="11" fillId="0" borderId="6" xfId="1" applyNumberFormat="1" applyFont="1" applyFill="1" applyBorder="1" applyAlignment="1">
      <alignment horizontal="center" vertical="center" wrapText="1"/>
    </xf>
    <xf numFmtId="171" fontId="11" fillId="0" borderId="0" xfId="1" applyNumberFormat="1" applyFont="1" applyFill="1" applyBorder="1" applyAlignment="1">
      <alignment horizontal="center" vertical="center" wrapText="1"/>
    </xf>
    <xf numFmtId="171" fontId="11" fillId="0" borderId="11" xfId="1" applyNumberFormat="1" applyFont="1" applyFill="1" applyBorder="1" applyAlignment="1">
      <alignment horizontal="center" vertical="center" wrapText="1"/>
    </xf>
    <xf numFmtId="171" fontId="11" fillId="0" borderId="0" xfId="1" applyNumberFormat="1" applyFont="1" applyFill="1" applyBorder="1" applyAlignment="1">
      <alignment vertical="center" wrapText="1"/>
    </xf>
    <xf numFmtId="171" fontId="11" fillId="0" borderId="11" xfId="1" applyNumberFormat="1" applyFont="1" applyFill="1" applyBorder="1" applyAlignment="1">
      <alignment vertical="center" wrapText="1"/>
    </xf>
    <xf numFmtId="0" fontId="11" fillId="0" borderId="4" xfId="4" applyNumberFormat="1" applyFont="1" applyBorder="1"/>
    <xf numFmtId="171" fontId="11" fillId="0" borderId="0" xfId="1" applyNumberFormat="1" applyFont="1" applyFill="1" applyBorder="1" applyAlignment="1"/>
    <xf numFmtId="171" fontId="11" fillId="0" borderId="11" xfId="1" applyNumberFormat="1" applyFont="1" applyFill="1" applyBorder="1" applyAlignment="1"/>
    <xf numFmtId="172" fontId="10" fillId="0" borderId="4" xfId="4" applyNumberFormat="1" applyFont="1" applyBorder="1"/>
    <xf numFmtId="171" fontId="10" fillId="0" borderId="0" xfId="1" applyNumberFormat="1" applyFont="1" applyFill="1" applyBorder="1" applyAlignment="1">
      <alignment horizontal="left"/>
    </xf>
    <xf numFmtId="171" fontId="10" fillId="0" borderId="11" xfId="1" applyNumberFormat="1" applyFont="1" applyFill="1" applyBorder="1" applyAlignment="1">
      <alignment horizontal="left"/>
    </xf>
    <xf numFmtId="9" fontId="11" fillId="0" borderId="0" xfId="3" applyFont="1" applyFill="1" applyBorder="1" applyAlignment="1"/>
    <xf numFmtId="172" fontId="11" fillId="0" borderId="4" xfId="4" applyNumberFormat="1" applyFont="1" applyBorder="1"/>
    <xf numFmtId="9" fontId="10" fillId="0" borderId="0" xfId="3" applyFont="1" applyFill="1" applyBorder="1" applyAlignment="1"/>
    <xf numFmtId="172" fontId="11" fillId="0" borderId="4" xfId="4" applyNumberFormat="1" applyFont="1" applyBorder="1" applyAlignment="1">
      <alignment vertical="center"/>
    </xf>
    <xf numFmtId="171" fontId="10" fillId="0" borderId="0" xfId="1" applyNumberFormat="1" applyFont="1" applyFill="1" applyBorder="1" applyAlignment="1"/>
    <xf numFmtId="171" fontId="10" fillId="0" borderId="11" xfId="1" applyNumberFormat="1" applyFont="1" applyFill="1" applyBorder="1" applyAlignment="1"/>
    <xf numFmtId="171" fontId="11" fillId="0" borderId="0" xfId="1" applyNumberFormat="1" applyFont="1" applyFill="1" applyBorder="1" applyAlignment="1">
      <alignment horizontal="left"/>
    </xf>
    <xf numFmtId="171" fontId="11" fillId="0" borderId="11" xfId="1" applyNumberFormat="1" applyFont="1" applyFill="1" applyBorder="1" applyAlignment="1">
      <alignment horizontal="left"/>
    </xf>
    <xf numFmtId="9" fontId="11" fillId="0" borderId="5" xfId="3" applyFont="1" applyFill="1" applyBorder="1" applyAlignment="1"/>
    <xf numFmtId="9" fontId="10" fillId="0" borderId="1" xfId="3" applyFont="1" applyFill="1" applyBorder="1" applyAlignment="1"/>
    <xf numFmtId="171" fontId="11" fillId="0" borderId="1" xfId="1" applyNumberFormat="1" applyFont="1" applyFill="1" applyBorder="1" applyAlignment="1"/>
    <xf numFmtId="171" fontId="11" fillId="0" borderId="17" xfId="1" applyNumberFormat="1" applyFont="1" applyFill="1" applyBorder="1" applyAlignment="1"/>
    <xf numFmtId="171" fontId="10" fillId="0" borderId="13" xfId="1" applyNumberFormat="1" applyFont="1" applyFill="1" applyBorder="1" applyAlignment="1">
      <alignment horizontal="center" vertical="center" wrapText="1"/>
    </xf>
    <xf numFmtId="171" fontId="11" fillId="0" borderId="12" xfId="1" applyNumberFormat="1" applyFont="1" applyFill="1" applyBorder="1" applyAlignment="1">
      <alignment horizontal="right"/>
    </xf>
    <xf numFmtId="171" fontId="10" fillId="0" borderId="6" xfId="1" applyNumberFormat="1" applyFont="1" applyFill="1" applyBorder="1" applyAlignment="1">
      <alignment vertical="center" wrapText="1"/>
    </xf>
    <xf numFmtId="9" fontId="10" fillId="0" borderId="4" xfId="2" applyFont="1" applyFill="1" applyBorder="1" applyAlignment="1">
      <alignment vertical="center" wrapText="1"/>
    </xf>
    <xf numFmtId="171" fontId="11" fillId="0" borderId="4" xfId="1" applyNumberFormat="1" applyFont="1" applyFill="1" applyBorder="1" applyAlignment="1">
      <alignment vertical="center" wrapText="1"/>
    </xf>
    <xf numFmtId="171" fontId="10" fillId="0" borderId="13" xfId="1" applyNumberFormat="1" applyFont="1" applyFill="1" applyBorder="1" applyAlignment="1">
      <alignment vertical="center" wrapText="1"/>
    </xf>
    <xf numFmtId="43" fontId="11" fillId="0" borderId="4" xfId="1" applyFont="1" applyFill="1" applyBorder="1" applyAlignment="1">
      <alignment vertical="center" wrapText="1"/>
    </xf>
    <xf numFmtId="171" fontId="11" fillId="0" borderId="4" xfId="1" applyNumberFormat="1" applyFont="1" applyFill="1" applyBorder="1" applyAlignment="1">
      <alignment horizontal="center"/>
    </xf>
    <xf numFmtId="171" fontId="11" fillId="0" borderId="4" xfId="1" applyNumberFormat="1" applyFont="1" applyFill="1" applyBorder="1" applyAlignment="1">
      <alignment horizontal="right"/>
    </xf>
    <xf numFmtId="171" fontId="10" fillId="0" borderId="18" xfId="1" applyNumberFormat="1" applyFont="1" applyFill="1" applyBorder="1" applyAlignment="1">
      <alignment horizontal="right"/>
    </xf>
    <xf numFmtId="171" fontId="10" fillId="0" borderId="19" xfId="1" applyNumberFormat="1" applyFont="1" applyFill="1" applyBorder="1" applyAlignment="1">
      <alignment vertical="center" wrapText="1"/>
    </xf>
    <xf numFmtId="171" fontId="10" fillId="0" borderId="16" xfId="1" applyNumberFormat="1" applyFont="1" applyFill="1" applyBorder="1" applyAlignment="1">
      <alignment vertical="center" wrapText="1"/>
    </xf>
    <xf numFmtId="171" fontId="10" fillId="0" borderId="4" xfId="1" applyNumberFormat="1" applyFont="1" applyFill="1" applyBorder="1" applyAlignment="1">
      <alignment horizontal="center"/>
    </xf>
    <xf numFmtId="171" fontId="11" fillId="0" borderId="13" xfId="1" applyNumberFormat="1" applyFont="1" applyFill="1" applyBorder="1" applyAlignment="1">
      <alignment vertical="center" wrapText="1"/>
    </xf>
    <xf numFmtId="43" fontId="11" fillId="0" borderId="4" xfId="1" applyFont="1" applyFill="1" applyBorder="1" applyAlignment="1">
      <alignment horizontal="right"/>
    </xf>
    <xf numFmtId="43" fontId="11" fillId="0" borderId="14" xfId="1" applyFont="1" applyFill="1" applyBorder="1" applyAlignment="1">
      <alignment horizontal="right"/>
    </xf>
    <xf numFmtId="171" fontId="11" fillId="0" borderId="5" xfId="1" applyNumberFormat="1" applyFont="1" applyFill="1" applyBorder="1" applyAlignment="1">
      <alignment horizontal="center" vertical="center" wrapText="1"/>
    </xf>
    <xf numFmtId="171" fontId="11" fillId="0" borderId="10" xfId="1" applyNumberFormat="1" applyFont="1" applyFill="1" applyBorder="1" applyAlignment="1">
      <alignment horizontal="center" vertical="center" wrapText="1"/>
    </xf>
    <xf numFmtId="9" fontId="10" fillId="0" borderId="4" xfId="3" applyFont="1" applyFill="1" applyBorder="1" applyAlignment="1"/>
    <xf numFmtId="9" fontId="11" fillId="0" borderId="4" xfId="3" applyFont="1" applyFill="1" applyBorder="1" applyAlignment="1"/>
    <xf numFmtId="171" fontId="11" fillId="0" borderId="1" xfId="1" applyNumberFormat="1" applyFont="1" applyFill="1" applyBorder="1" applyAlignment="1">
      <alignment horizontal="left"/>
    </xf>
    <xf numFmtId="171" fontId="11" fillId="0" borderId="17" xfId="1" applyNumberFormat="1" applyFont="1" applyFill="1" applyBorder="1" applyAlignment="1">
      <alignment horizontal="left"/>
    </xf>
    <xf numFmtId="9" fontId="10" fillId="0" borderId="2" xfId="3" applyFont="1" applyFill="1" applyBorder="1" applyAlignment="1">
      <alignment horizontal="left"/>
    </xf>
    <xf numFmtId="9" fontId="11" fillId="0" borderId="1" xfId="3" applyFont="1" applyFill="1" applyBorder="1" applyAlignment="1"/>
    <xf numFmtId="171" fontId="13" fillId="0" borderId="14" xfId="1" applyNumberFormat="1" applyFont="1" applyFill="1" applyBorder="1" applyAlignment="1"/>
    <xf numFmtId="171" fontId="11" fillId="0" borderId="14" xfId="1" applyNumberFormat="1" applyFont="1" applyFill="1" applyBorder="1"/>
    <xf numFmtId="171" fontId="11" fillId="0" borderId="14" xfId="1" applyNumberFormat="1" applyFont="1" applyFill="1" applyBorder="1" applyAlignment="1"/>
    <xf numFmtId="171" fontId="10" fillId="0" borderId="16" xfId="1" applyNumberFormat="1" applyFont="1" applyFill="1" applyBorder="1"/>
    <xf numFmtId="171" fontId="11" fillId="0" borderId="4" xfId="1" applyNumberFormat="1" applyFont="1" applyFill="1" applyBorder="1"/>
    <xf numFmtId="171" fontId="11" fillId="0" borderId="13" xfId="1" applyNumberFormat="1" applyFont="1" applyFill="1" applyBorder="1"/>
    <xf numFmtId="171" fontId="11" fillId="0" borderId="12" xfId="1" applyNumberFormat="1" applyFont="1" applyFill="1" applyBorder="1"/>
    <xf numFmtId="171" fontId="10" fillId="0" borderId="6" xfId="1" applyNumberFormat="1" applyFont="1" applyFill="1" applyBorder="1"/>
    <xf numFmtId="171" fontId="10" fillId="0" borderId="14" xfId="1" applyNumberFormat="1" applyFont="1" applyFill="1" applyBorder="1"/>
    <xf numFmtId="171" fontId="10" fillId="0" borderId="4" xfId="1" applyNumberFormat="1" applyFont="1" applyFill="1" applyBorder="1"/>
    <xf numFmtId="171" fontId="11" fillId="0" borderId="6" xfId="1" applyNumberFormat="1" applyFont="1" applyFill="1" applyBorder="1"/>
    <xf numFmtId="171" fontId="10" fillId="0" borderId="10" xfId="1" applyNumberFormat="1" applyFont="1" applyFill="1" applyBorder="1"/>
    <xf numFmtId="171" fontId="11" fillId="0" borderId="0" xfId="1" applyNumberFormat="1" applyFont="1" applyFill="1" applyBorder="1" applyAlignment="1">
      <alignment horizontal="justify" vertical="top" wrapText="1"/>
    </xf>
    <xf numFmtId="171" fontId="11" fillId="0" borderId="11" xfId="1" applyNumberFormat="1" applyFont="1" applyFill="1" applyBorder="1" applyAlignment="1">
      <alignment horizontal="center" vertical="center"/>
    </xf>
    <xf numFmtId="171" fontId="10" fillId="0" borderId="14" xfId="1" applyNumberFormat="1" applyFont="1" applyFill="1" applyBorder="1" applyAlignment="1">
      <alignment horizontal="center" vertical="center" wrapText="1"/>
    </xf>
    <xf numFmtId="9" fontId="12" fillId="0" borderId="4" xfId="3" applyFont="1" applyFill="1" applyBorder="1" applyAlignment="1">
      <alignment horizontal="left"/>
    </xf>
    <xf numFmtId="9" fontId="10" fillId="0" borderId="0" xfId="3" applyFont="1" applyFill="1" applyBorder="1" applyAlignment="1">
      <alignment horizontal="left"/>
    </xf>
    <xf numFmtId="9" fontId="10" fillId="0" borderId="4" xfId="3" applyFont="1" applyFill="1" applyBorder="1" applyAlignment="1">
      <alignment horizontal="left"/>
    </xf>
    <xf numFmtId="171" fontId="11" fillId="0" borderId="14" xfId="1" applyNumberFormat="1" applyFont="1" applyFill="1" applyBorder="1" applyAlignment="1">
      <alignment horizontal="justify" vertical="top" wrapText="1"/>
    </xf>
    <xf numFmtId="171" fontId="11" fillId="0" borderId="11" xfId="1" applyNumberFormat="1" applyFont="1" applyFill="1" applyBorder="1" applyAlignment="1">
      <alignment horizontal="justify" vertical="top" wrapText="1"/>
    </xf>
    <xf numFmtId="171" fontId="11" fillId="0" borderId="14" xfId="1" applyNumberFormat="1" applyFont="1" applyFill="1" applyBorder="1" applyAlignment="1">
      <alignment horizontal="right" vertical="top" wrapText="1"/>
    </xf>
    <xf numFmtId="171" fontId="11" fillId="0" borderId="11" xfId="1" applyNumberFormat="1" applyFont="1" applyFill="1" applyBorder="1" applyAlignment="1">
      <alignment horizontal="left" wrapText="1"/>
    </xf>
    <xf numFmtId="171" fontId="11" fillId="0" borderId="4" xfId="1" applyNumberFormat="1" applyFont="1" applyFill="1" applyBorder="1" applyAlignment="1"/>
    <xf numFmtId="171" fontId="10" fillId="0" borderId="16" xfId="1" applyNumberFormat="1" applyFont="1" applyFill="1" applyBorder="1" applyAlignment="1">
      <alignment horizontal="right"/>
    </xf>
    <xf numFmtId="2" fontId="10" fillId="0" borderId="4" xfId="3" applyNumberFormat="1" applyFont="1" applyFill="1" applyBorder="1" applyAlignment="1"/>
    <xf numFmtId="2" fontId="10" fillId="0" borderId="0" xfId="3" applyNumberFormat="1" applyFont="1" applyFill="1" applyBorder="1" applyAlignment="1"/>
    <xf numFmtId="171" fontId="11" fillId="0" borderId="4" xfId="1" applyNumberFormat="1" applyFont="1" applyFill="1" applyBorder="1" applyAlignment="1">
      <alignment horizontal="right" vertical="top" wrapText="1"/>
    </xf>
    <xf numFmtId="43" fontId="11" fillId="0" borderId="0" xfId="1" applyFont="1" applyFill="1" applyBorder="1" applyAlignment="1"/>
    <xf numFmtId="9" fontId="15" fillId="0" borderId="4" xfId="3" applyFont="1" applyFill="1" applyBorder="1" applyAlignment="1">
      <alignment horizontal="left"/>
    </xf>
    <xf numFmtId="171" fontId="11" fillId="0" borderId="14" xfId="1" applyNumberFormat="1" applyFont="1" applyFill="1" applyBorder="1" applyAlignment="1">
      <alignment horizontal="left" vertical="top" wrapText="1"/>
    </xf>
    <xf numFmtId="171" fontId="10" fillId="0" borderId="4" xfId="1" applyNumberFormat="1" applyFont="1" applyFill="1" applyBorder="1" applyAlignment="1">
      <alignment horizontal="right"/>
    </xf>
    <xf numFmtId="171" fontId="11" fillId="0" borderId="13" xfId="1" applyNumberFormat="1" applyFont="1" applyFill="1" applyBorder="1" applyAlignment="1"/>
    <xf numFmtId="171" fontId="11" fillId="0" borderId="20" xfId="1" applyNumberFormat="1" applyFont="1" applyFill="1" applyBorder="1" applyAlignment="1">
      <alignment horizontal="right"/>
    </xf>
    <xf numFmtId="171" fontId="10" fillId="0" borderId="4" xfId="1" applyNumberFormat="1" applyFont="1" applyFill="1" applyBorder="1" applyAlignment="1">
      <alignment horizontal="justify" vertical="top" wrapText="1"/>
    </xf>
    <xf numFmtId="171" fontId="10" fillId="0" borderId="4" xfId="1" applyNumberFormat="1" applyFont="1" applyFill="1" applyBorder="1" applyAlignment="1"/>
    <xf numFmtId="171" fontId="10" fillId="0" borderId="14" xfId="1" applyNumberFormat="1" applyFont="1" applyFill="1" applyBorder="1" applyAlignment="1"/>
    <xf numFmtId="2" fontId="12" fillId="0" borderId="4" xfId="3" applyNumberFormat="1" applyFont="1" applyFill="1" applyBorder="1" applyAlignment="1"/>
    <xf numFmtId="2" fontId="12" fillId="0" borderId="0" xfId="3" applyNumberFormat="1" applyFont="1" applyFill="1" applyBorder="1" applyAlignment="1"/>
    <xf numFmtId="171" fontId="11" fillId="0" borderId="13" xfId="1" applyNumberFormat="1" applyFont="1" applyFill="1" applyBorder="1" applyAlignment="1">
      <alignment horizontal="right"/>
    </xf>
    <xf numFmtId="171" fontId="10" fillId="0" borderId="16" xfId="1" applyNumberFormat="1" applyFont="1" applyFill="1" applyBorder="1" applyAlignment="1"/>
    <xf numFmtId="171" fontId="11" fillId="0" borderId="14" xfId="1" applyNumberFormat="1" applyFont="1" applyFill="1" applyBorder="1" applyAlignment="1">
      <alignment horizontal="left" wrapText="1"/>
    </xf>
    <xf numFmtId="171" fontId="10" fillId="0" borderId="14" xfId="1" applyNumberFormat="1" applyFont="1" applyFill="1" applyBorder="1" applyAlignment="1">
      <alignment horizontal="center" vertical="center"/>
    </xf>
    <xf numFmtId="171" fontId="11" fillId="0" borderId="12" xfId="1" applyNumberFormat="1" applyFont="1" applyFill="1" applyBorder="1" applyAlignment="1"/>
    <xf numFmtId="171" fontId="10" fillId="0" borderId="14" xfId="1" applyNumberFormat="1" applyFont="1" applyFill="1" applyBorder="1" applyAlignment="1">
      <alignment horizontal="left" vertical="top" wrapText="1"/>
    </xf>
    <xf numFmtId="9" fontId="10" fillId="0" borderId="4" xfId="3" applyFont="1" applyFill="1" applyBorder="1" applyAlignment="1">
      <alignment horizontal="justify" vertical="top"/>
    </xf>
    <xf numFmtId="171" fontId="11" fillId="0" borderId="14" xfId="1" applyNumberFormat="1" applyFont="1" applyFill="1" applyBorder="1" applyAlignment="1">
      <alignment vertical="top" wrapText="1"/>
    </xf>
    <xf numFmtId="171" fontId="11" fillId="0" borderId="13" xfId="1" applyNumberFormat="1" applyFont="1" applyFill="1" applyBorder="1" applyAlignment="1">
      <alignment horizontal="center"/>
    </xf>
    <xf numFmtId="9" fontId="10" fillId="0" borderId="4" xfId="3" applyFont="1" applyFill="1" applyBorder="1" applyAlignment="1">
      <alignment horizontal="left" vertical="top"/>
    </xf>
    <xf numFmtId="9" fontId="15" fillId="0" borderId="4" xfId="3" applyFont="1" applyFill="1" applyBorder="1" applyAlignment="1">
      <alignment horizontal="left" vertical="top"/>
    </xf>
    <xf numFmtId="9" fontId="11" fillId="0" borderId="4" xfId="3" applyFont="1" applyFill="1" applyBorder="1" applyAlignment="1">
      <alignment horizontal="left" vertical="top"/>
    </xf>
    <xf numFmtId="171" fontId="11" fillId="0" borderId="13" xfId="1" applyNumberFormat="1" applyFont="1" applyFill="1" applyBorder="1" applyAlignment="1">
      <alignment horizontal="left" vertical="top" wrapText="1"/>
    </xf>
    <xf numFmtId="171" fontId="10" fillId="0" borderId="6" xfId="1" applyNumberFormat="1" applyFont="1" applyFill="1" applyBorder="1" applyAlignment="1"/>
    <xf numFmtId="9" fontId="12" fillId="0" borderId="4" xfId="3" applyFont="1" applyFill="1" applyBorder="1" applyAlignment="1"/>
    <xf numFmtId="171" fontId="10" fillId="0" borderId="11" xfId="1" applyNumberFormat="1" applyFont="1" applyFill="1" applyBorder="1" applyAlignment="1">
      <alignment horizontal="right"/>
    </xf>
    <xf numFmtId="2" fontId="11" fillId="0" borderId="4" xfId="5" applyNumberFormat="1" applyFont="1" applyFill="1" applyBorder="1" applyAlignment="1"/>
    <xf numFmtId="165" fontId="11" fillId="0" borderId="0" xfId="3" applyNumberFormat="1" applyFont="1" applyFill="1" applyBorder="1" applyAlignment="1"/>
    <xf numFmtId="2" fontId="11" fillId="0" borderId="4" xfId="3" applyNumberFormat="1" applyFont="1" applyFill="1" applyBorder="1" applyAlignment="1"/>
    <xf numFmtId="9" fontId="11" fillId="0" borderId="4" xfId="3" quotePrefix="1" applyFont="1" applyFill="1" applyBorder="1" applyAlignment="1"/>
    <xf numFmtId="171" fontId="11" fillId="0" borderId="20" xfId="1" applyNumberFormat="1" applyFont="1" applyFill="1" applyBorder="1"/>
    <xf numFmtId="171" fontId="11" fillId="0" borderId="20" xfId="1" applyNumberFormat="1" applyFont="1" applyFill="1" applyBorder="1" applyAlignment="1"/>
    <xf numFmtId="171" fontId="11" fillId="0" borderId="14" xfId="1" quotePrefix="1" applyNumberFormat="1" applyFont="1" applyFill="1" applyBorder="1" applyAlignment="1">
      <alignment horizontal="right"/>
    </xf>
    <xf numFmtId="9" fontId="15" fillId="0" borderId="4" xfId="3" applyFont="1" applyFill="1" applyBorder="1" applyAlignment="1"/>
    <xf numFmtId="171" fontId="11" fillId="0" borderId="11" xfId="1" applyNumberFormat="1" applyFont="1" applyFill="1" applyBorder="1" applyAlignment="1">
      <alignment horizontal="right"/>
    </xf>
    <xf numFmtId="171" fontId="10" fillId="0" borderId="12" xfId="1" applyNumberFormat="1" applyFont="1" applyFill="1" applyBorder="1" applyAlignment="1">
      <alignment horizontal="center"/>
    </xf>
    <xf numFmtId="171" fontId="10" fillId="0" borderId="6" xfId="1" applyNumberFormat="1" applyFont="1" applyFill="1" applyBorder="1" applyAlignment="1">
      <alignment horizontal="center"/>
    </xf>
    <xf numFmtId="171" fontId="10" fillId="0" borderId="16" xfId="1" applyNumberFormat="1" applyFont="1" applyFill="1" applyBorder="1" applyAlignment="1">
      <alignment horizontal="center"/>
    </xf>
    <xf numFmtId="167" fontId="10" fillId="0" borderId="11" xfId="1" applyNumberFormat="1" applyFont="1" applyFill="1" applyBorder="1" applyAlignment="1">
      <alignment horizontal="center"/>
    </xf>
    <xf numFmtId="43" fontId="11" fillId="0" borderId="14" xfId="1" applyFont="1" applyFill="1" applyBorder="1" applyAlignment="1">
      <alignment horizontal="center"/>
    </xf>
    <xf numFmtId="43" fontId="10" fillId="0" borderId="11" xfId="1" applyFont="1" applyFill="1" applyBorder="1" applyAlignment="1">
      <alignment horizontal="center"/>
    </xf>
    <xf numFmtId="43" fontId="11" fillId="0" borderId="13" xfId="1" applyFont="1" applyFill="1" applyBorder="1" applyAlignment="1">
      <alignment horizontal="center"/>
    </xf>
    <xf numFmtId="171" fontId="10" fillId="0" borderId="11" xfId="1" applyNumberFormat="1" applyFont="1" applyFill="1" applyBorder="1" applyAlignment="1">
      <alignment horizontal="left" wrapText="1"/>
    </xf>
    <xf numFmtId="9" fontId="11" fillId="0" borderId="14" xfId="2" applyFont="1" applyFill="1" applyBorder="1" applyAlignment="1">
      <alignment horizontal="right"/>
    </xf>
    <xf numFmtId="9" fontId="10" fillId="0" borderId="5" xfId="3" applyFont="1" applyFill="1" applyBorder="1" applyAlignment="1"/>
    <xf numFmtId="9" fontId="10" fillId="0" borderId="18" xfId="3" applyFont="1" applyFill="1" applyBorder="1" applyAlignment="1"/>
    <xf numFmtId="9" fontId="11" fillId="0" borderId="7" xfId="3" applyFont="1" applyFill="1" applyBorder="1" applyAlignment="1"/>
    <xf numFmtId="9" fontId="11" fillId="0" borderId="21" xfId="3" applyFont="1" applyFill="1" applyBorder="1" applyAlignment="1"/>
    <xf numFmtId="171" fontId="10" fillId="0" borderId="21" xfId="1" applyNumberFormat="1" applyFont="1" applyFill="1" applyBorder="1" applyAlignment="1"/>
    <xf numFmtId="9" fontId="10" fillId="0" borderId="3" xfId="3" applyFont="1" applyFill="1" applyBorder="1" applyAlignment="1">
      <alignment horizontal="left" wrapText="1"/>
    </xf>
    <xf numFmtId="9" fontId="11" fillId="0" borderId="10" xfId="3" applyFont="1" applyFill="1" applyBorder="1" applyAlignment="1">
      <alignment horizontal="left" wrapText="1"/>
    </xf>
    <xf numFmtId="171" fontId="10" fillId="0" borderId="21" xfId="1" applyNumberFormat="1" applyFont="1" applyFill="1" applyBorder="1" applyAlignment="1">
      <alignment horizontal="center"/>
    </xf>
    <xf numFmtId="9" fontId="11" fillId="0" borderId="3" xfId="3" applyFont="1" applyFill="1" applyBorder="1" applyAlignment="1">
      <alignment horizontal="center"/>
    </xf>
    <xf numFmtId="9" fontId="11" fillId="0" borderId="2" xfId="3" applyFont="1" applyFill="1" applyBorder="1" applyAlignment="1">
      <alignment horizontal="center"/>
    </xf>
    <xf numFmtId="171" fontId="10" fillId="0" borderId="2" xfId="1" applyNumberFormat="1" applyFont="1" applyFill="1" applyBorder="1" applyAlignment="1">
      <alignment horizontal="center"/>
    </xf>
    <xf numFmtId="171" fontId="10" fillId="0" borderId="10" xfId="1" applyNumberFormat="1" applyFont="1" applyFill="1" applyBorder="1" applyAlignment="1">
      <alignment horizontal="center"/>
    </xf>
    <xf numFmtId="171" fontId="10" fillId="0" borderId="0" xfId="1" applyNumberFormat="1" applyFont="1" applyFill="1" applyBorder="1" applyAlignment="1">
      <alignment horizontal="center"/>
    </xf>
    <xf numFmtId="171" fontId="11" fillId="0" borderId="12" xfId="1" applyNumberFormat="1" applyFont="1" applyFill="1" applyBorder="1" applyAlignment="1">
      <alignment horizontal="left" vertical="top" wrapText="1"/>
    </xf>
    <xf numFmtId="171" fontId="11" fillId="0" borderId="12" xfId="1" applyNumberFormat="1" applyFont="1" applyFill="1" applyBorder="1" applyAlignment="1">
      <alignment vertical="top" wrapText="1"/>
    </xf>
    <xf numFmtId="171" fontId="12" fillId="0" borderId="13" xfId="1" applyNumberFormat="1" applyFont="1" applyFill="1" applyBorder="1" applyAlignment="1">
      <alignment horizontal="left" vertical="top"/>
    </xf>
    <xf numFmtId="171" fontId="10" fillId="0" borderId="12" xfId="1" applyNumberFormat="1" applyFont="1" applyFill="1" applyBorder="1" applyAlignment="1">
      <alignment horizontal="left" wrapText="1"/>
    </xf>
    <xf numFmtId="171" fontId="11" fillId="0" borderId="14" xfId="1" applyNumberFormat="1" applyFont="1" applyFill="1" applyBorder="1" applyAlignment="1">
      <alignment vertical="top"/>
    </xf>
    <xf numFmtId="171" fontId="10" fillId="0" borderId="11" xfId="1" applyNumberFormat="1" applyFont="1" applyFill="1" applyBorder="1" applyAlignment="1">
      <alignment vertical="top"/>
    </xf>
    <xf numFmtId="171" fontId="10" fillId="0" borderId="6" xfId="1" applyNumberFormat="1" applyFont="1" applyFill="1" applyBorder="1" applyAlignment="1">
      <alignment vertical="top"/>
    </xf>
    <xf numFmtId="10" fontId="11" fillId="0" borderId="14" xfId="2" applyNumberFormat="1" applyFont="1" applyFill="1" applyBorder="1" applyAlignment="1">
      <alignment horizontal="right"/>
    </xf>
    <xf numFmtId="10" fontId="11" fillId="0" borderId="13" xfId="2" applyNumberFormat="1" applyFont="1" applyFill="1" applyBorder="1" applyAlignment="1">
      <alignment horizontal="right"/>
    </xf>
    <xf numFmtId="10" fontId="11" fillId="0" borderId="17" xfId="2" applyNumberFormat="1" applyFont="1" applyFill="1" applyBorder="1" applyAlignment="1">
      <alignment horizontal="right"/>
    </xf>
    <xf numFmtId="171" fontId="10" fillId="0" borderId="17" xfId="1" applyNumberFormat="1" applyFont="1" applyFill="1" applyBorder="1"/>
    <xf numFmtId="171" fontId="10" fillId="0" borderId="13" xfId="1" applyNumberFormat="1" applyFont="1" applyFill="1" applyBorder="1"/>
    <xf numFmtId="171" fontId="11" fillId="0" borderId="1" xfId="1" applyNumberFormat="1" applyFont="1" applyFill="1" applyBorder="1"/>
    <xf numFmtId="171" fontId="11" fillId="0" borderId="17" xfId="1" applyNumberFormat="1" applyFont="1" applyFill="1" applyBorder="1"/>
    <xf numFmtId="171" fontId="11" fillId="0" borderId="0" xfId="1" applyNumberFormat="1" applyFont="1" applyFill="1" applyBorder="1" applyAlignment="1">
      <alignment horizontal="justify" vertical="top"/>
    </xf>
    <xf numFmtId="171" fontId="11" fillId="0" borderId="11" xfId="1" applyNumberFormat="1" applyFont="1" applyFill="1" applyBorder="1" applyAlignment="1">
      <alignment horizontal="justify" vertical="top"/>
    </xf>
    <xf numFmtId="171" fontId="11" fillId="0" borderId="11" xfId="1" applyNumberFormat="1" applyFont="1" applyFill="1" applyBorder="1"/>
    <xf numFmtId="171" fontId="10" fillId="0" borderId="14" xfId="1" applyNumberFormat="1" applyFont="1" applyFill="1" applyBorder="1" applyAlignment="1">
      <alignment horizontal="left" wrapText="1"/>
    </xf>
    <xf numFmtId="171" fontId="11" fillId="0" borderId="14" xfId="1" applyNumberFormat="1" applyFont="1" applyFill="1" applyBorder="1" applyAlignment="1">
      <alignment horizontal="right" wrapText="1"/>
    </xf>
    <xf numFmtId="171" fontId="10" fillId="0" borderId="6" xfId="1" applyNumberFormat="1" applyFont="1" applyFill="1" applyBorder="1" applyAlignment="1">
      <alignment horizontal="right" wrapText="1"/>
    </xf>
    <xf numFmtId="171" fontId="10" fillId="0" borderId="13" xfId="1" applyNumberFormat="1" applyFont="1" applyFill="1" applyBorder="1" applyAlignment="1">
      <alignment horizontal="right" wrapText="1"/>
    </xf>
    <xf numFmtId="43" fontId="10" fillId="0" borderId="1" xfId="1" applyFont="1" applyFill="1" applyBorder="1" applyAlignment="1">
      <alignment horizontal="right" wrapText="1"/>
    </xf>
    <xf numFmtId="43" fontId="10" fillId="0" borderId="17" xfId="1" applyFont="1" applyFill="1" applyBorder="1" applyAlignment="1">
      <alignment horizontal="right" wrapText="1"/>
    </xf>
    <xf numFmtId="171" fontId="11" fillId="0" borderId="0" xfId="1" applyNumberFormat="1" applyFont="1" applyFill="1" applyBorder="1" applyAlignment="1">
      <alignment horizontal="left" wrapText="1"/>
    </xf>
    <xf numFmtId="171" fontId="10" fillId="0" borderId="1" xfId="1" applyNumberFormat="1" applyFont="1" applyFill="1" applyBorder="1" applyAlignment="1"/>
    <xf numFmtId="173" fontId="10" fillId="0" borderId="10" xfId="1" applyNumberFormat="1" applyFont="1" applyFill="1" applyBorder="1" applyAlignment="1">
      <alignment horizontal="center" vertical="center" wrapText="1"/>
    </xf>
    <xf numFmtId="171" fontId="10" fillId="0" borderId="17" xfId="1" applyNumberFormat="1" applyFont="1" applyFill="1" applyBorder="1" applyAlignment="1">
      <alignment horizontal="center"/>
    </xf>
    <xf numFmtId="171" fontId="11" fillId="0" borderId="10" xfId="1" applyNumberFormat="1" applyFont="1" applyFill="1" applyBorder="1" applyAlignment="1"/>
    <xf numFmtId="171" fontId="10" fillId="0" borderId="10" xfId="1" applyNumberFormat="1" applyFont="1" applyFill="1" applyBorder="1" applyAlignment="1">
      <alignment horizontal="center" vertical="center" wrapText="1"/>
    </xf>
    <xf numFmtId="9" fontId="10" fillId="0" borderId="4" xfId="2" applyFont="1" applyFill="1" applyBorder="1" applyAlignment="1"/>
    <xf numFmtId="9" fontId="11" fillId="0" borderId="4" xfId="2" applyFont="1" applyFill="1" applyBorder="1" applyAlignment="1"/>
    <xf numFmtId="9" fontId="11" fillId="0" borderId="5" xfId="2" applyFont="1" applyFill="1" applyBorder="1" applyAlignment="1"/>
    <xf numFmtId="9" fontId="12" fillId="0" borderId="3" xfId="2" applyFont="1" applyFill="1" applyBorder="1" applyAlignment="1"/>
    <xf numFmtId="171" fontId="10" fillId="0" borderId="14" xfId="1" applyNumberFormat="1" applyFont="1" applyFill="1" applyBorder="1" applyAlignment="1">
      <alignment vertical="center"/>
    </xf>
    <xf numFmtId="171" fontId="11" fillId="0" borderId="0" xfId="1" applyNumberFormat="1" applyFont="1" applyFill="1" applyBorder="1" applyAlignment="1">
      <alignment horizontal="right"/>
    </xf>
    <xf numFmtId="171" fontId="11" fillId="0" borderId="0" xfId="1" applyNumberFormat="1" applyFont="1" applyFill="1" applyBorder="1" applyAlignment="1">
      <alignment horizontal="right" vertical="center"/>
    </xf>
    <xf numFmtId="171" fontId="11" fillId="0" borderId="14" xfId="1" applyNumberFormat="1" applyFont="1" applyFill="1" applyBorder="1" applyAlignment="1">
      <alignment horizontal="right" vertical="center"/>
    </xf>
    <xf numFmtId="9" fontId="11" fillId="0" borderId="3" xfId="3" applyFont="1" applyFill="1" applyBorder="1" applyAlignment="1"/>
    <xf numFmtId="171" fontId="10" fillId="0" borderId="12" xfId="1" applyNumberFormat="1" applyFont="1" applyFill="1" applyBorder="1"/>
    <xf numFmtId="171" fontId="11" fillId="0" borderId="1" xfId="1" applyNumberFormat="1" applyFont="1" applyFill="1" applyBorder="1" applyAlignment="1">
      <alignment horizontal="justify" vertical="top" wrapText="1"/>
    </xf>
    <xf numFmtId="171" fontId="11" fillId="0" borderId="17" xfId="1" applyNumberFormat="1" applyFont="1" applyFill="1" applyBorder="1" applyAlignment="1">
      <alignment horizontal="justify" vertical="top" wrapText="1"/>
    </xf>
    <xf numFmtId="165" fontId="11" fillId="0" borderId="4" xfId="1" applyNumberFormat="1" applyFont="1" applyFill="1" applyBorder="1" applyAlignment="1">
      <alignment horizontal="right"/>
    </xf>
    <xf numFmtId="165" fontId="11" fillId="0" borderId="5" xfId="1" applyNumberFormat="1" applyFont="1" applyFill="1" applyBorder="1" applyAlignment="1">
      <alignment horizontal="right"/>
    </xf>
    <xf numFmtId="171" fontId="11" fillId="0" borderId="0" xfId="1" applyNumberFormat="1" applyFont="1" applyFill="1" applyBorder="1" applyAlignment="1">
      <alignment vertical="top"/>
    </xf>
    <xf numFmtId="171" fontId="11" fillId="0" borderId="11" xfId="1" applyNumberFormat="1" applyFont="1" applyFill="1" applyBorder="1" applyAlignment="1">
      <alignment vertical="top"/>
    </xf>
    <xf numFmtId="171" fontId="11" fillId="0" borderId="17" xfId="1" applyNumberFormat="1" applyFont="1" applyFill="1" applyBorder="1" applyAlignment="1">
      <alignment horizontal="right"/>
    </xf>
    <xf numFmtId="43" fontId="11" fillId="0" borderId="0" xfId="1" applyFont="1" applyFill="1" applyBorder="1" applyAlignment="1">
      <alignment horizontal="right"/>
    </xf>
    <xf numFmtId="171" fontId="10" fillId="0" borderId="0" xfId="1" applyNumberFormat="1" applyFont="1" applyFill="1" applyBorder="1" applyAlignment="1">
      <alignment horizontal="justify" vertical="top" wrapText="1"/>
    </xf>
    <xf numFmtId="171" fontId="10" fillId="0" borderId="0" xfId="1" applyNumberFormat="1" applyFont="1" applyFill="1" applyBorder="1" applyAlignment="1">
      <alignment horizontal="left" vertical="top" wrapText="1"/>
    </xf>
    <xf numFmtId="9" fontId="11" fillId="0" borderId="0" xfId="3" applyFont="1" applyFill="1" applyAlignment="1"/>
    <xf numFmtId="171" fontId="11" fillId="0" borderId="0" xfId="1" applyNumberFormat="1" applyFont="1" applyFill="1" applyAlignment="1"/>
    <xf numFmtId="0" fontId="0" fillId="2" borderId="0" xfId="0" applyNumberFormat="1" applyFill="1"/>
    <xf numFmtId="0" fontId="0" fillId="0" borderId="0" xfId="0" applyAlignment="1">
      <alignment vertical="top" wrapText="1"/>
    </xf>
    <xf numFmtId="0" fontId="19" fillId="0" borderId="0" xfId="0" applyFont="1" applyAlignment="1">
      <alignment wrapText="1"/>
    </xf>
    <xf numFmtId="0" fontId="0" fillId="0" borderId="0" xfId="0" applyAlignment="1">
      <alignment horizontal="center" vertical="center"/>
    </xf>
    <xf numFmtId="0" fontId="2" fillId="0" borderId="0" xfId="0" applyFont="1" applyAlignment="1">
      <alignment wrapText="1"/>
    </xf>
    <xf numFmtId="43" fontId="2" fillId="0" borderId="0" xfId="1" applyFont="1" applyAlignment="1">
      <alignment horizontal="right"/>
    </xf>
    <xf numFmtId="0" fontId="20" fillId="0" borderId="0" xfId="0" applyFont="1" applyAlignment="1">
      <alignment horizontal="center" vertical="center" wrapText="1"/>
    </xf>
    <xf numFmtId="0" fontId="2" fillId="0" borderId="6" xfId="0" applyFont="1" applyBorder="1" applyAlignment="1">
      <alignment wrapText="1"/>
    </xf>
    <xf numFmtId="43" fontId="2" fillId="0" borderId="6" xfId="1" applyFont="1" applyBorder="1" applyAlignment="1">
      <alignment wrapText="1"/>
    </xf>
    <xf numFmtId="17" fontId="0" fillId="0" borderId="6" xfId="0" applyNumberFormat="1" applyBorder="1"/>
    <xf numFmtId="43" fontId="0" fillId="0" borderId="6" xfId="1" applyFont="1" applyBorder="1"/>
    <xf numFmtId="0" fontId="2" fillId="0" borderId="6" xfId="0" applyFont="1" applyBorder="1"/>
    <xf numFmtId="43" fontId="2" fillId="0" borderId="6" xfId="1" applyFont="1" applyBorder="1"/>
    <xf numFmtId="0" fontId="0" fillId="0" borderId="6" xfId="0" applyBorder="1"/>
    <xf numFmtId="0" fontId="0" fillId="0" borderId="0" xfId="0"/>
    <xf numFmtId="49" fontId="6" fillId="0" borderId="6" xfId="0" applyNumberFormat="1" applyFont="1" applyBorder="1" applyAlignment="1">
      <alignment horizontal="center" vertical="top"/>
    </xf>
    <xf numFmtId="49" fontId="5" fillId="0" borderId="0" xfId="0" applyNumberFormat="1" applyFont="1" applyAlignment="1">
      <alignment vertical="top"/>
    </xf>
    <xf numFmtId="168" fontId="5" fillId="0" borderId="0" xfId="0" applyNumberFormat="1" applyFont="1" applyAlignment="1">
      <alignment horizontal="right" vertical="top"/>
    </xf>
    <xf numFmtId="169" fontId="5" fillId="0" borderId="0" xfId="0" applyNumberFormat="1" applyFont="1" applyAlignment="1">
      <alignment horizontal="right" vertical="top"/>
    </xf>
    <xf numFmtId="49" fontId="6" fillId="0" borderId="0" xfId="0" applyNumberFormat="1" applyFont="1" applyAlignment="1">
      <alignment vertical="top"/>
    </xf>
    <xf numFmtId="168" fontId="6" fillId="0" borderId="0" xfId="0" applyNumberFormat="1" applyFont="1" applyAlignment="1">
      <alignment horizontal="right" vertical="top"/>
    </xf>
    <xf numFmtId="169" fontId="6" fillId="0" borderId="0" xfId="0" applyNumberFormat="1" applyFont="1" applyAlignment="1">
      <alignment horizontal="right" vertical="top"/>
    </xf>
    <xf numFmtId="168" fontId="5" fillId="0" borderId="7" xfId="0" applyNumberFormat="1" applyFont="1" applyBorder="1" applyAlignment="1">
      <alignment horizontal="right" vertical="top"/>
    </xf>
    <xf numFmtId="43" fontId="0" fillId="0" borderId="0" xfId="1" applyFont="1" applyAlignment="1">
      <alignment wrapText="1"/>
    </xf>
    <xf numFmtId="0" fontId="0" fillId="0" borderId="6" xfId="0" applyBorder="1" applyAlignment="1">
      <alignment vertical="center"/>
    </xf>
    <xf numFmtId="43" fontId="0" fillId="0" borderId="6" xfId="1" applyFont="1" applyBorder="1" applyAlignment="1">
      <alignment vertical="center"/>
    </xf>
    <xf numFmtId="43" fontId="0" fillId="0" borderId="6" xfId="0" applyNumberFormat="1" applyBorder="1" applyAlignment="1">
      <alignment vertical="center"/>
    </xf>
    <xf numFmtId="0" fontId="0" fillId="0" borderId="6" xfId="0" applyBorder="1" applyAlignment="1">
      <alignment vertical="center" wrapText="1"/>
    </xf>
    <xf numFmtId="0" fontId="0" fillId="0" borderId="0" xfId="0" applyAlignment="1">
      <alignment vertical="center"/>
    </xf>
    <xf numFmtId="0" fontId="0" fillId="0" borderId="6" xfId="0" applyBorder="1" applyAlignment="1">
      <alignment wrapText="1"/>
    </xf>
    <xf numFmtId="43" fontId="22" fillId="0" borderId="0" xfId="1" applyFont="1"/>
    <xf numFmtId="43" fontId="0" fillId="0" borderId="0" xfId="1" applyFont="1" applyAlignment="1">
      <alignment vertical="center"/>
    </xf>
    <xf numFmtId="17" fontId="0" fillId="0" borderId="0" xfId="0" applyNumberFormat="1"/>
    <xf numFmtId="43" fontId="0" fillId="0" borderId="0" xfId="0" applyNumberFormat="1"/>
    <xf numFmtId="43" fontId="2" fillId="0" borderId="0" xfId="0" applyNumberFormat="1" applyFont="1"/>
    <xf numFmtId="43" fontId="22" fillId="0" borderId="6" xfId="1" applyFont="1" applyBorder="1"/>
    <xf numFmtId="43" fontId="0" fillId="0" borderId="6" xfId="0" applyNumberFormat="1" applyBorder="1"/>
    <xf numFmtId="43" fontId="2" fillId="0" borderId="6" xfId="0" applyNumberFormat="1" applyFont="1" applyBorder="1"/>
    <xf numFmtId="0" fontId="0" fillId="0" borderId="21" xfId="0" applyBorder="1" applyAlignment="1">
      <alignment vertical="center"/>
    </xf>
    <xf numFmtId="17" fontId="0" fillId="0" borderId="21" xfId="0" applyNumberFormat="1" applyBorder="1"/>
    <xf numFmtId="10" fontId="0" fillId="0" borderId="6" xfId="1" applyNumberFormat="1" applyFont="1" applyBorder="1"/>
    <xf numFmtId="0" fontId="2" fillId="0" borderId="0" xfId="0" applyFont="1" applyFill="1" applyBorder="1"/>
    <xf numFmtId="0" fontId="21" fillId="0" borderId="0" xfId="0" applyFont="1" applyAlignment="1">
      <alignment vertical="center"/>
    </xf>
    <xf numFmtId="0" fontId="0" fillId="0" borderId="0" xfId="0" applyAlignment="1">
      <alignment vertical="center" wrapText="1"/>
    </xf>
    <xf numFmtId="0" fontId="19" fillId="0" borderId="0" xfId="0" applyFont="1" applyAlignment="1">
      <alignment vertical="center"/>
    </xf>
    <xf numFmtId="0" fontId="2" fillId="0" borderId="6" xfId="0" applyFont="1" applyBorder="1" applyAlignment="1">
      <alignment vertical="center" wrapText="1"/>
    </xf>
    <xf numFmtId="43" fontId="2" fillId="0" borderId="6" xfId="1" applyFont="1" applyBorder="1" applyAlignment="1">
      <alignment vertical="center" wrapText="1"/>
    </xf>
    <xf numFmtId="0" fontId="2" fillId="0" borderId="0" xfId="0" applyFont="1" applyFill="1" applyBorder="1" applyAlignment="1">
      <alignment vertical="center" wrapText="1"/>
    </xf>
    <xf numFmtId="43" fontId="2" fillId="0" borderId="6" xfId="1" applyFont="1" applyBorder="1" applyAlignment="1">
      <alignment vertical="center"/>
    </xf>
    <xf numFmtId="43" fontId="0" fillId="0" borderId="6" xfId="1" applyFont="1" applyBorder="1" applyAlignment="1">
      <alignment vertical="center" wrapText="1"/>
    </xf>
    <xf numFmtId="0" fontId="23" fillId="0" borderId="0" xfId="0" applyFont="1"/>
    <xf numFmtId="0" fontId="23" fillId="0" borderId="6" xfId="0" applyFont="1" applyBorder="1"/>
    <xf numFmtId="0" fontId="23" fillId="0" borderId="14" xfId="0" applyFont="1" applyBorder="1"/>
    <xf numFmtId="14" fontId="23" fillId="0" borderId="14" xfId="0" applyNumberFormat="1" applyFont="1" applyBorder="1"/>
    <xf numFmtId="9" fontId="23" fillId="0" borderId="14" xfId="0" applyNumberFormat="1" applyFont="1" applyBorder="1"/>
    <xf numFmtId="175" fontId="23" fillId="0" borderId="14" xfId="7" applyNumberFormat="1" applyFont="1" applyFill="1" applyBorder="1"/>
    <xf numFmtId="43" fontId="23" fillId="0" borderId="14" xfId="7" applyNumberFormat="1" applyFont="1" applyFill="1" applyBorder="1"/>
    <xf numFmtId="175" fontId="23" fillId="0" borderId="6" xfId="0" applyNumberFormat="1" applyFont="1" applyBorder="1"/>
    <xf numFmtId="175" fontId="23" fillId="0" borderId="0" xfId="0" applyNumberFormat="1" applyFont="1"/>
    <xf numFmtId="167" fontId="23" fillId="0" borderId="0" xfId="7" applyFont="1" applyFill="1" applyBorder="1"/>
    <xf numFmtId="9" fontId="23" fillId="0" borderId="14" xfId="2" applyFont="1" applyFill="1" applyBorder="1"/>
    <xf numFmtId="171" fontId="23" fillId="0" borderId="14" xfId="0" applyNumberFormat="1" applyFont="1" applyBorder="1"/>
    <xf numFmtId="171" fontId="23" fillId="0" borderId="14" xfId="1" applyNumberFormat="1" applyFont="1" applyFill="1" applyBorder="1"/>
    <xf numFmtId="171" fontId="23" fillId="0" borderId="6" xfId="1" applyNumberFormat="1" applyFont="1" applyFill="1" applyBorder="1"/>
    <xf numFmtId="171" fontId="23" fillId="0" borderId="14" xfId="7" applyNumberFormat="1" applyFont="1" applyFill="1" applyBorder="1"/>
    <xf numFmtId="0" fontId="23" fillId="2" borderId="0" xfId="0" applyFont="1" applyFill="1"/>
    <xf numFmtId="14" fontId="23" fillId="4" borderId="14" xfId="0" applyNumberFormat="1" applyFont="1" applyFill="1" applyBorder="1"/>
    <xf numFmtId="0" fontId="23" fillId="4" borderId="14" xfId="0" applyFont="1" applyFill="1" applyBorder="1"/>
    <xf numFmtId="9" fontId="23" fillId="4" borderId="14" xfId="0" applyNumberFormat="1" applyFont="1" applyFill="1" applyBorder="1"/>
    <xf numFmtId="175" fontId="23" fillId="4" borderId="14" xfId="7" applyNumberFormat="1" applyFont="1" applyFill="1" applyBorder="1"/>
    <xf numFmtId="171" fontId="23" fillId="4" borderId="14" xfId="1" applyNumberFormat="1" applyFont="1" applyFill="1" applyBorder="1"/>
    <xf numFmtId="0" fontId="23" fillId="4" borderId="0" xfId="0" applyFont="1" applyFill="1"/>
    <xf numFmtId="175" fontId="24" fillId="0" borderId="6" xfId="0" applyNumberFormat="1" applyFont="1" applyBorder="1"/>
    <xf numFmtId="0" fontId="25" fillId="0" borderId="0" xfId="0" applyFont="1"/>
    <xf numFmtId="175" fontId="25" fillId="0" borderId="0" xfId="0" applyNumberFormat="1" applyFont="1"/>
    <xf numFmtId="0" fontId="25" fillId="4" borderId="0" xfId="0" applyFont="1" applyFill="1"/>
    <xf numFmtId="175" fontId="25" fillId="4" borderId="0" xfId="0" applyNumberFormat="1" applyFont="1" applyFill="1"/>
    <xf numFmtId="0" fontId="26" fillId="0" borderId="0" xfId="8"/>
    <xf numFmtId="0" fontId="27" fillId="0" borderId="0" xfId="8" applyFont="1"/>
    <xf numFmtId="0" fontId="29" fillId="0" borderId="0" xfId="8" applyFont="1"/>
    <xf numFmtId="0" fontId="27" fillId="0" borderId="0" xfId="9" applyFont="1"/>
    <xf numFmtId="0" fontId="29" fillId="0" borderId="0" xfId="9" applyFont="1"/>
    <xf numFmtId="0" fontId="9" fillId="0" borderId="0" xfId="9"/>
    <xf numFmtId="167" fontId="9" fillId="0" borderId="0" xfId="10" applyFont="1" applyFill="1"/>
    <xf numFmtId="0" fontId="31" fillId="0" borderId="12" xfId="8" applyFont="1" applyBorder="1"/>
    <xf numFmtId="0" fontId="31" fillId="0" borderId="3" xfId="8" applyFont="1" applyBorder="1"/>
    <xf numFmtId="0" fontId="31" fillId="0" borderId="10" xfId="8" applyFont="1" applyBorder="1"/>
    <xf numFmtId="0" fontId="31" fillId="0" borderId="10" xfId="8" applyFont="1" applyBorder="1" applyAlignment="1">
      <alignment horizontal="right"/>
    </xf>
    <xf numFmtId="0" fontId="31" fillId="0" borderId="12" xfId="8" applyFont="1" applyBorder="1" applyAlignment="1">
      <alignment horizontal="right"/>
    </xf>
    <xf numFmtId="0" fontId="31" fillId="0" borderId="6" xfId="8" applyFont="1" applyBorder="1"/>
    <xf numFmtId="0" fontId="31" fillId="0" borderId="22" xfId="8" applyFont="1" applyBorder="1"/>
    <xf numFmtId="0" fontId="31" fillId="0" borderId="23" xfId="8" applyFont="1" applyBorder="1"/>
    <xf numFmtId="0" fontId="31" fillId="0" borderId="24" xfId="8" applyFont="1" applyBorder="1"/>
    <xf numFmtId="0" fontId="31" fillId="0" borderId="24" xfId="8" applyFont="1" applyBorder="1" applyAlignment="1">
      <alignment horizontal="right"/>
    </xf>
    <xf numFmtId="0" fontId="31" fillId="0" borderId="22" xfId="8" applyFont="1" applyBorder="1" applyAlignment="1">
      <alignment horizontal="right"/>
    </xf>
    <xf numFmtId="0" fontId="31" fillId="0" borderId="22" xfId="8" quotePrefix="1" applyFont="1" applyBorder="1" applyAlignment="1">
      <alignment horizontal="right"/>
    </xf>
    <xf numFmtId="0" fontId="26" fillId="0" borderId="6" xfId="8" applyBorder="1"/>
    <xf numFmtId="0" fontId="31" fillId="0" borderId="6" xfId="9" applyFont="1" applyBorder="1" applyAlignment="1">
      <alignment horizontal="right"/>
    </xf>
    <xf numFmtId="0" fontId="32" fillId="0" borderId="6" xfId="8" applyFont="1" applyBorder="1" applyAlignment="1">
      <alignment horizontal="center"/>
    </xf>
    <xf numFmtId="0" fontId="32" fillId="0" borderId="7" xfId="8" applyFont="1" applyBorder="1" applyAlignment="1">
      <alignment horizontal="center"/>
    </xf>
    <xf numFmtId="0" fontId="32" fillId="0" borderId="21" xfId="8" applyFont="1" applyBorder="1"/>
    <xf numFmtId="0" fontId="26" fillId="0" borderId="6" xfId="8" applyBorder="1" applyAlignment="1">
      <alignment horizontal="right"/>
    </xf>
    <xf numFmtId="0" fontId="26" fillId="0" borderId="13" xfId="8" applyBorder="1" applyAlignment="1">
      <alignment horizontal="right"/>
    </xf>
    <xf numFmtId="0" fontId="32" fillId="0" borderId="13" xfId="8" applyFont="1" applyBorder="1" applyAlignment="1">
      <alignment horizontal="center"/>
    </xf>
    <xf numFmtId="0" fontId="9" fillId="0" borderId="6" xfId="8" applyFont="1" applyBorder="1" applyAlignment="1">
      <alignment horizontal="right"/>
    </xf>
    <xf numFmtId="0" fontId="33" fillId="0" borderId="21" xfId="8" applyFont="1" applyBorder="1"/>
    <xf numFmtId="0" fontId="32" fillId="0" borderId="0" xfId="8" applyFont="1" applyAlignment="1">
      <alignment horizontal="center"/>
    </xf>
    <xf numFmtId="0" fontId="32" fillId="0" borderId="0" xfId="8" applyFont="1"/>
    <xf numFmtId="0" fontId="26" fillId="0" borderId="0" xfId="8" applyAlignment="1">
      <alignment horizontal="right"/>
    </xf>
    <xf numFmtId="0" fontId="32" fillId="0" borderId="1" xfId="8" applyFont="1" applyBorder="1" applyAlignment="1">
      <alignment horizontal="center"/>
    </xf>
    <xf numFmtId="0" fontId="32" fillId="0" borderId="17" xfId="8" applyFont="1" applyBorder="1"/>
    <xf numFmtId="0" fontId="31" fillId="0" borderId="6" xfId="8" applyFont="1" applyBorder="1" applyAlignment="1">
      <alignment horizontal="right"/>
    </xf>
    <xf numFmtId="0" fontId="32" fillId="0" borderId="25" xfId="8" applyFont="1" applyBorder="1" applyAlignment="1">
      <alignment horizontal="center"/>
    </xf>
    <xf numFmtId="0" fontId="26" fillId="0" borderId="25" xfId="8" applyBorder="1" applyAlignment="1">
      <alignment horizontal="right"/>
    </xf>
    <xf numFmtId="0" fontId="31" fillId="0" borderId="26" xfId="8" applyFont="1" applyBorder="1"/>
    <xf numFmtId="0" fontId="31" fillId="0" borderId="27" xfId="8" applyFont="1" applyBorder="1"/>
    <xf numFmtId="0" fontId="31" fillId="0" borderId="28" xfId="8" applyFont="1" applyBorder="1"/>
    <xf numFmtId="0" fontId="31" fillId="0" borderId="29" xfId="8" applyFont="1" applyBorder="1"/>
    <xf numFmtId="0" fontId="31" fillId="0" borderId="30" xfId="8" applyFont="1" applyBorder="1"/>
    <xf numFmtId="0" fontId="26" fillId="0" borderId="1" xfId="8" applyBorder="1"/>
    <xf numFmtId="0" fontId="31" fillId="0" borderId="1" xfId="8" applyFont="1" applyBorder="1"/>
    <xf numFmtId="0" fontId="31" fillId="0" borderId="4" xfId="8" applyFont="1" applyBorder="1"/>
    <xf numFmtId="0" fontId="31" fillId="0" borderId="0" xfId="8" applyFont="1" applyAlignment="1">
      <alignment horizontal="center"/>
    </xf>
    <xf numFmtId="0" fontId="31" fillId="0" borderId="7" xfId="8" applyFont="1" applyBorder="1" applyAlignment="1">
      <alignment horizontal="center"/>
    </xf>
    <xf numFmtId="0" fontId="31" fillId="0" borderId="7" xfId="8" applyFont="1" applyBorder="1"/>
    <xf numFmtId="0" fontId="26" fillId="0" borderId="7" xfId="8" applyBorder="1"/>
    <xf numFmtId="0" fontId="26" fillId="2" borderId="12" xfId="8" applyFill="1" applyBorder="1"/>
    <xf numFmtId="0" fontId="31" fillId="2" borderId="12" xfId="8" applyFont="1" applyFill="1" applyBorder="1"/>
    <xf numFmtId="0" fontId="26" fillId="0" borderId="12" xfId="8" applyBorder="1"/>
    <xf numFmtId="0" fontId="34" fillId="2" borderId="26" xfId="8" applyFont="1" applyFill="1" applyBorder="1"/>
    <xf numFmtId="0" fontId="34" fillId="2" borderId="12" xfId="8" applyFont="1" applyFill="1" applyBorder="1"/>
    <xf numFmtId="0" fontId="34" fillId="2" borderId="27" xfId="8" applyFont="1" applyFill="1" applyBorder="1"/>
    <xf numFmtId="0" fontId="34" fillId="2" borderId="28" xfId="8" applyFont="1" applyFill="1" applyBorder="1"/>
    <xf numFmtId="0" fontId="26" fillId="2" borderId="26" xfId="8" applyFill="1" applyBorder="1"/>
    <xf numFmtId="0" fontId="26" fillId="2" borderId="27" xfId="8" applyFill="1" applyBorder="1"/>
    <xf numFmtId="0" fontId="26" fillId="2" borderId="28" xfId="8" applyFill="1" applyBorder="1"/>
    <xf numFmtId="0" fontId="26" fillId="0" borderId="26" xfId="8" applyBorder="1"/>
    <xf numFmtId="0" fontId="26" fillId="0" borderId="27" xfId="8" applyBorder="1"/>
    <xf numFmtId="0" fontId="26" fillId="0" borderId="28" xfId="8" applyBorder="1"/>
    <xf numFmtId="0" fontId="35" fillId="0" borderId="7" xfId="8" applyFont="1" applyBorder="1"/>
    <xf numFmtId="0" fontId="26" fillId="4" borderId="0" xfId="8" applyFill="1"/>
    <xf numFmtId="0" fontId="37" fillId="0" borderId="10" xfId="0" applyFont="1" applyBorder="1" applyAlignment="1">
      <alignment horizontal="center"/>
    </xf>
    <xf numFmtId="0" fontId="37" fillId="0" borderId="2" xfId="0" applyFont="1" applyBorder="1" applyAlignment="1">
      <alignment horizontal="center"/>
    </xf>
    <xf numFmtId="0" fontId="37" fillId="0" borderId="12" xfId="0" applyFont="1" applyBorder="1" applyAlignment="1">
      <alignment horizontal="center"/>
    </xf>
    <xf numFmtId="0" fontId="37" fillId="0" borderId="11" xfId="0" applyFont="1" applyBorder="1" applyAlignment="1">
      <alignment horizontal="center"/>
    </xf>
    <xf numFmtId="0" fontId="37" fillId="0" borderId="0" xfId="0" applyFont="1" applyAlignment="1">
      <alignment horizontal="center"/>
    </xf>
    <xf numFmtId="0" fontId="37" fillId="0" borderId="14" xfId="0" applyFont="1" applyBorder="1" applyAlignment="1">
      <alignment horizontal="center"/>
    </xf>
    <xf numFmtId="0" fontId="37" fillId="0" borderId="24" xfId="0" applyFont="1" applyBorder="1" applyAlignment="1">
      <alignment horizontal="center"/>
    </xf>
    <xf numFmtId="0" fontId="37" fillId="0" borderId="31" xfId="0" applyFont="1" applyBorder="1" applyAlignment="1">
      <alignment horizontal="center"/>
    </xf>
    <xf numFmtId="0" fontId="37" fillId="0" borderId="22" xfId="0" applyFont="1" applyBorder="1" applyAlignment="1">
      <alignment horizontal="center"/>
    </xf>
    <xf numFmtId="0" fontId="32" fillId="0" borderId="21" xfId="0" applyFont="1" applyBorder="1" applyAlignment="1">
      <alignment horizontal="center"/>
    </xf>
    <xf numFmtId="0" fontId="32" fillId="0" borderId="7" xfId="0" applyFont="1" applyBorder="1" applyAlignment="1">
      <alignment horizontal="center"/>
    </xf>
    <xf numFmtId="0" fontId="32" fillId="0" borderId="21" xfId="0" applyFont="1" applyBorder="1"/>
    <xf numFmtId="0" fontId="32" fillId="2" borderId="21" xfId="0" applyFont="1" applyFill="1" applyBorder="1" applyAlignment="1">
      <alignment horizontal="center"/>
    </xf>
    <xf numFmtId="0" fontId="32" fillId="5" borderId="21" xfId="0" applyFont="1" applyFill="1" applyBorder="1" applyAlignment="1">
      <alignment horizontal="center"/>
    </xf>
    <xf numFmtId="0" fontId="32" fillId="5" borderId="7" xfId="0" applyFont="1" applyFill="1" applyBorder="1" applyAlignment="1">
      <alignment horizontal="center"/>
    </xf>
    <xf numFmtId="0" fontId="32" fillId="0" borderId="13" xfId="0" applyFont="1" applyBorder="1" applyAlignment="1">
      <alignment horizontal="center"/>
    </xf>
    <xf numFmtId="0" fontId="32" fillId="5" borderId="6" xfId="0" applyFont="1" applyFill="1" applyBorder="1" applyAlignment="1">
      <alignment horizontal="center"/>
    </xf>
    <xf numFmtId="0" fontId="32" fillId="0" borderId="6" xfId="0" applyFont="1" applyBorder="1" applyAlignment="1">
      <alignment horizontal="center"/>
    </xf>
    <xf numFmtId="1" fontId="32" fillId="0" borderId="6" xfId="0" applyNumberFormat="1" applyFont="1" applyBorder="1"/>
    <xf numFmtId="1" fontId="32" fillId="5" borderId="6" xfId="0" applyNumberFormat="1" applyFont="1" applyFill="1" applyBorder="1"/>
    <xf numFmtId="1" fontId="38" fillId="0" borderId="6" xfId="0" applyNumberFormat="1" applyFont="1" applyBorder="1"/>
    <xf numFmtId="0" fontId="32" fillId="0" borderId="0" xfId="0" applyFont="1" applyAlignment="1">
      <alignment horizontal="center"/>
    </xf>
    <xf numFmtId="0" fontId="32" fillId="0" borderId="0" xfId="0" applyFont="1"/>
    <xf numFmtId="0" fontId="32" fillId="0" borderId="17" xfId="0" applyFont="1" applyBorder="1"/>
    <xf numFmtId="0" fontId="32" fillId="0" borderId="1" xfId="0" applyFont="1" applyBorder="1" applyAlignment="1">
      <alignment horizontal="center"/>
    </xf>
    <xf numFmtId="0" fontId="32" fillId="2" borderId="17" xfId="0" applyFont="1" applyFill="1" applyBorder="1" applyAlignment="1">
      <alignment horizontal="center"/>
    </xf>
    <xf numFmtId="0" fontId="32" fillId="5" borderId="17" xfId="0" applyFont="1" applyFill="1" applyBorder="1" applyAlignment="1">
      <alignment horizontal="center"/>
    </xf>
    <xf numFmtId="0" fontId="32" fillId="5" borderId="1" xfId="0" applyFont="1" applyFill="1" applyBorder="1" applyAlignment="1">
      <alignment horizontal="center"/>
    </xf>
    <xf numFmtId="0" fontId="33" fillId="0" borderId="17" xfId="0" applyFont="1" applyBorder="1"/>
    <xf numFmtId="0" fontId="32" fillId="0" borderId="17" xfId="0" applyFont="1" applyBorder="1" applyAlignment="1">
      <alignment horizontal="center"/>
    </xf>
    <xf numFmtId="0" fontId="32" fillId="0" borderId="15" xfId="0" applyFont="1" applyBorder="1"/>
    <xf numFmtId="1" fontId="39" fillId="0" borderId="16" xfId="0" applyNumberFormat="1" applyFont="1" applyBorder="1"/>
    <xf numFmtId="49" fontId="5" fillId="0" borderId="2" xfId="0" applyNumberFormat="1" applyFont="1" applyBorder="1" applyAlignment="1">
      <alignment horizontal="left" vertical="top" indent="2"/>
    </xf>
    <xf numFmtId="49" fontId="5" fillId="0" borderId="4" xfId="0" applyNumberFormat="1" applyFont="1" applyBorder="1" applyAlignment="1">
      <alignment horizontal="left" vertical="top" indent="2"/>
    </xf>
    <xf numFmtId="49" fontId="5" fillId="0" borderId="5" xfId="0" applyNumberFormat="1" applyFont="1" applyBorder="1" applyAlignment="1">
      <alignment horizontal="left" vertical="top" indent="2"/>
    </xf>
    <xf numFmtId="49" fontId="5" fillId="0" borderId="7" xfId="0" applyNumberFormat="1" applyFont="1" applyBorder="1" applyAlignment="1">
      <alignment horizontal="left" vertical="top" indent="2"/>
    </xf>
    <xf numFmtId="0" fontId="2" fillId="0" borderId="0" xfId="0" applyFont="1"/>
    <xf numFmtId="43" fontId="0" fillId="0" borderId="6" xfId="1" applyFont="1" applyBorder="1" applyAlignment="1">
      <alignment wrapText="1"/>
    </xf>
    <xf numFmtId="0" fontId="2" fillId="0" borderId="33" xfId="0" applyFont="1" applyBorder="1" applyAlignment="1">
      <alignment horizontal="center"/>
    </xf>
    <xf numFmtId="0" fontId="2" fillId="0" borderId="34" xfId="0" applyFont="1" applyBorder="1" applyAlignment="1">
      <alignment horizontal="center"/>
    </xf>
    <xf numFmtId="0" fontId="0" fillId="0" borderId="36" xfId="0" applyBorder="1" applyAlignment="1">
      <alignment shrinkToFit="1"/>
    </xf>
    <xf numFmtId="14" fontId="0" fillId="0" borderId="6" xfId="0" applyNumberFormat="1" applyBorder="1" applyAlignment="1">
      <alignment shrinkToFit="1"/>
    </xf>
    <xf numFmtId="0" fontId="0" fillId="0" borderId="6" xfId="0" applyBorder="1" applyAlignment="1">
      <alignment shrinkToFit="1"/>
    </xf>
    <xf numFmtId="0" fontId="2" fillId="0" borderId="40" xfId="0" applyFont="1" applyBorder="1" applyAlignment="1">
      <alignment horizontal="right"/>
    </xf>
    <xf numFmtId="0" fontId="2" fillId="0" borderId="41" xfId="0" applyFont="1" applyBorder="1" applyAlignment="1">
      <alignment horizontal="right"/>
    </xf>
    <xf numFmtId="43" fontId="2" fillId="0" borderId="34" xfId="1" applyFont="1" applyBorder="1" applyAlignment="1">
      <alignment horizontal="center"/>
    </xf>
    <xf numFmtId="43" fontId="2" fillId="0" borderId="35" xfId="1" applyFont="1" applyBorder="1"/>
    <xf numFmtId="43" fontId="0" fillId="0" borderId="6" xfId="1" applyFont="1" applyBorder="1" applyAlignment="1">
      <alignment shrinkToFit="1"/>
    </xf>
    <xf numFmtId="43" fontId="0" fillId="0" borderId="37" xfId="1" applyFont="1" applyBorder="1" applyAlignment="1">
      <alignment shrinkToFit="1"/>
    </xf>
    <xf numFmtId="43" fontId="0" fillId="0" borderId="12" xfId="1" applyFont="1" applyBorder="1" applyAlignment="1">
      <alignment horizontal="left" vertical="center" wrapText="1"/>
    </xf>
    <xf numFmtId="43" fontId="0" fillId="0" borderId="13" xfId="1" applyFont="1" applyBorder="1" applyAlignment="1">
      <alignment horizontal="left" vertical="center" wrapText="1"/>
    </xf>
    <xf numFmtId="43" fontId="2" fillId="0" borderId="41" xfId="1" applyFont="1" applyBorder="1" applyAlignment="1">
      <alignment horizontal="right"/>
    </xf>
    <xf numFmtId="0" fontId="40" fillId="0" borderId="0" xfId="0" applyFont="1" applyAlignment="1">
      <alignment horizontal="center"/>
    </xf>
    <xf numFmtId="0" fontId="2" fillId="0" borderId="0" xfId="0" applyFont="1" applyAlignment="1">
      <alignment horizontal="center"/>
    </xf>
    <xf numFmtId="43" fontId="2" fillId="0" borderId="0" xfId="1" applyFont="1" applyBorder="1"/>
    <xf numFmtId="43" fontId="0" fillId="0" borderId="0" xfId="1" applyFont="1" applyBorder="1" applyAlignment="1">
      <alignment shrinkToFit="1"/>
    </xf>
    <xf numFmtId="43" fontId="2" fillId="0" borderId="0" xfId="1" applyFont="1" applyBorder="1" applyAlignment="1">
      <alignment horizontal="right"/>
    </xf>
    <xf numFmtId="14" fontId="0" fillId="0" borderId="0" xfId="0" applyNumberFormat="1"/>
    <xf numFmtId="0" fontId="23" fillId="0" borderId="0" xfId="0" applyFont="1" applyBorder="1"/>
    <xf numFmtId="43" fontId="2" fillId="0" borderId="37" xfId="1" applyFont="1" applyBorder="1" applyAlignment="1">
      <alignment shrinkToFit="1"/>
    </xf>
    <xf numFmtId="43" fontId="2" fillId="0" borderId="18" xfId="1" applyFont="1" applyBorder="1" applyAlignment="1">
      <alignment shrinkToFit="1"/>
    </xf>
    <xf numFmtId="43" fontId="0" fillId="0" borderId="6" xfId="1" applyFont="1" applyBorder="1" applyAlignment="1">
      <alignment vertical="center" shrinkToFit="1"/>
    </xf>
    <xf numFmtId="43" fontId="2" fillId="0" borderId="6" xfId="1" applyFont="1" applyBorder="1" applyAlignment="1">
      <alignment shrinkToFit="1"/>
    </xf>
    <xf numFmtId="43" fontId="1" fillId="0" borderId="6" xfId="1" applyFont="1" applyBorder="1" applyAlignment="1">
      <alignment shrinkToFit="1"/>
    </xf>
    <xf numFmtId="43" fontId="1" fillId="0" borderId="18" xfId="1" applyFont="1" applyBorder="1" applyAlignment="1">
      <alignment shrinkToFit="1"/>
    </xf>
    <xf numFmtId="43" fontId="1" fillId="0" borderId="37" xfId="1" applyFont="1" applyBorder="1" applyAlignment="1">
      <alignment shrinkToFit="1"/>
    </xf>
    <xf numFmtId="0" fontId="2" fillId="0" borderId="4" xfId="0" applyFont="1" applyBorder="1" applyAlignment="1">
      <alignment horizontal="center" vertical="top" wrapText="1"/>
    </xf>
    <xf numFmtId="0" fontId="2" fillId="0" borderId="0" xfId="0" applyFont="1" applyAlignment="1">
      <alignment horizontal="center" vertical="top" wrapText="1"/>
    </xf>
    <xf numFmtId="0" fontId="2" fillId="0" borderId="11" xfId="0" applyFont="1" applyBorder="1" applyAlignment="1">
      <alignment horizontal="center" vertical="top" wrapText="1"/>
    </xf>
    <xf numFmtId="0" fontId="0" fillId="0" borderId="4" xfId="0" applyBorder="1"/>
    <xf numFmtId="164" fontId="1" fillId="0" borderId="0" xfId="11" applyFont="1" applyFill="1" applyBorder="1" applyAlignment="1">
      <alignment horizontal="center"/>
    </xf>
    <xf numFmtId="164" fontId="0" fillId="0" borderId="0" xfId="11" applyFont="1" applyFill="1" applyBorder="1"/>
    <xf numFmtId="164" fontId="0" fillId="0" borderId="11" xfId="11" applyFont="1" applyFill="1" applyBorder="1"/>
    <xf numFmtId="164" fontId="0" fillId="0" borderId="0" xfId="0" applyNumberFormat="1"/>
    <xf numFmtId="164" fontId="1" fillId="0" borderId="0" xfId="11" applyFont="1" applyFill="1" applyBorder="1"/>
    <xf numFmtId="164" fontId="1" fillId="0" borderId="0" xfId="11" applyFont="1" applyBorder="1"/>
    <xf numFmtId="164" fontId="1" fillId="0" borderId="0" xfId="11" applyFont="1" applyBorder="1" applyAlignment="1">
      <alignment horizontal="center"/>
    </xf>
    <xf numFmtId="164" fontId="0" fillId="0" borderId="0" xfId="11" applyFont="1" applyBorder="1"/>
    <xf numFmtId="164" fontId="0" fillId="0" borderId="11" xfId="11" applyFont="1" applyBorder="1"/>
    <xf numFmtId="0" fontId="2" fillId="0" borderId="5" xfId="0" applyFont="1" applyBorder="1"/>
    <xf numFmtId="164" fontId="0" fillId="0" borderId="5" xfId="11" applyFont="1" applyBorder="1"/>
    <xf numFmtId="0" fontId="2" fillId="0" borderId="19" xfId="0" applyFont="1" applyBorder="1"/>
    <xf numFmtId="0" fontId="2" fillId="0" borderId="32" xfId="0" applyFont="1" applyBorder="1"/>
    <xf numFmtId="164" fontId="2" fillId="0" borderId="32" xfId="11" applyFont="1" applyBorder="1"/>
    <xf numFmtId="164" fontId="2" fillId="0" borderId="23" xfId="11" applyFont="1" applyBorder="1"/>
    <xf numFmtId="164" fontId="2" fillId="0" borderId="15" xfId="11" applyFont="1" applyBorder="1"/>
    <xf numFmtId="0" fontId="0" fillId="0" borderId="42" xfId="0" applyBorder="1"/>
    <xf numFmtId="178" fontId="0" fillId="0" borderId="0" xfId="0" applyNumberFormat="1"/>
    <xf numFmtId="164" fontId="0" fillId="0" borderId="42" xfId="0" applyNumberFormat="1" applyBorder="1"/>
    <xf numFmtId="0" fontId="0" fillId="0" borderId="11" xfId="0" applyBorder="1"/>
    <xf numFmtId="164" fontId="0" fillId="0" borderId="4" xfId="0" applyNumberFormat="1" applyBorder="1"/>
    <xf numFmtId="0" fontId="0" fillId="0" borderId="1" xfId="0" applyBorder="1"/>
    <xf numFmtId="0" fontId="2" fillId="0" borderId="1" xfId="0" applyFont="1" applyBorder="1"/>
    <xf numFmtId="164" fontId="0" fillId="0" borderId="11" xfId="0" applyNumberFormat="1" applyBorder="1"/>
    <xf numFmtId="164" fontId="2" fillId="0" borderId="32" xfId="0" applyNumberFormat="1" applyFont="1" applyBorder="1"/>
    <xf numFmtId="178" fontId="2" fillId="0" borderId="0" xfId="0" applyNumberFormat="1" applyFont="1"/>
    <xf numFmtId="0" fontId="2" fillId="0" borderId="4" xfId="0" applyFont="1" applyBorder="1"/>
    <xf numFmtId="164" fontId="2" fillId="0" borderId="0" xfId="0" applyNumberFormat="1" applyFont="1"/>
    <xf numFmtId="0" fontId="0" fillId="0" borderId="5" xfId="0" applyBorder="1"/>
    <xf numFmtId="178" fontId="2" fillId="0" borderId="1" xfId="0" applyNumberFormat="1" applyFont="1" applyBorder="1"/>
    <xf numFmtId="164" fontId="0" fillId="0" borderId="1" xfId="0" applyNumberFormat="1" applyBorder="1"/>
    <xf numFmtId="0" fontId="0" fillId="0" borderId="17" xfId="0" applyBorder="1"/>
    <xf numFmtId="178" fontId="2" fillId="0" borderId="32" xfId="0" applyNumberFormat="1" applyFont="1" applyBorder="1"/>
    <xf numFmtId="172" fontId="43" fillId="0" borderId="0" xfId="12" applyNumberFormat="1" applyFont="1" applyAlignment="1">
      <alignment horizontal="center"/>
    </xf>
    <xf numFmtId="43" fontId="43" fillId="0" borderId="0" xfId="1" applyFont="1" applyFill="1" applyBorder="1" applyAlignment="1">
      <alignment horizontal="center"/>
    </xf>
    <xf numFmtId="43" fontId="0" fillId="0" borderId="0" xfId="1" applyFont="1" applyFill="1" applyBorder="1"/>
    <xf numFmtId="172" fontId="44" fillId="0" borderId="0" xfId="12" applyNumberFormat="1" applyFont="1"/>
    <xf numFmtId="172" fontId="45" fillId="0" borderId="0" xfId="12" applyNumberFormat="1" applyFont="1"/>
    <xf numFmtId="175" fontId="45" fillId="0" borderId="0" xfId="13" applyNumberFormat="1" applyFont="1"/>
    <xf numFmtId="43" fontId="45" fillId="0" borderId="0" xfId="1" applyFont="1"/>
    <xf numFmtId="172" fontId="46" fillId="0" borderId="18" xfId="12" applyNumberFormat="1" applyFont="1" applyBorder="1"/>
    <xf numFmtId="172" fontId="47" fillId="0" borderId="7" xfId="14" applyNumberFormat="1" applyFont="1" applyBorder="1"/>
    <xf numFmtId="172" fontId="47" fillId="0" borderId="21" xfId="14" applyNumberFormat="1" applyFont="1" applyBorder="1"/>
    <xf numFmtId="180" fontId="46" fillId="0" borderId="6" xfId="13" applyNumberFormat="1" applyFont="1" applyBorder="1"/>
    <xf numFmtId="172" fontId="47" fillId="0" borderId="6" xfId="14" applyNumberFormat="1" applyFont="1" applyBorder="1"/>
    <xf numFmtId="181" fontId="46" fillId="0" borderId="6" xfId="1" applyNumberFormat="1" applyFont="1" applyBorder="1"/>
    <xf numFmtId="43" fontId="46" fillId="0" borderId="6" xfId="1" applyFont="1" applyBorder="1"/>
    <xf numFmtId="172" fontId="43" fillId="0" borderId="18" xfId="12" applyNumberFormat="1" applyFont="1" applyBorder="1"/>
    <xf numFmtId="172" fontId="45" fillId="0" borderId="7" xfId="14" applyNumberFormat="1" applyFont="1" applyBorder="1"/>
    <xf numFmtId="172" fontId="45" fillId="0" borderId="21" xfId="14" applyNumberFormat="1" applyFont="1" applyBorder="1"/>
    <xf numFmtId="175" fontId="43" fillId="0" borderId="6" xfId="13" applyNumberFormat="1" applyFont="1" applyBorder="1" applyAlignment="1">
      <alignment horizontal="right"/>
    </xf>
    <xf numFmtId="172" fontId="45" fillId="0" borderId="6" xfId="14" applyNumberFormat="1" applyFont="1" applyBorder="1"/>
    <xf numFmtId="43" fontId="43" fillId="0" borderId="6" xfId="1" applyFont="1" applyBorder="1" applyAlignment="1">
      <alignment horizontal="right"/>
    </xf>
    <xf numFmtId="172" fontId="45" fillId="0" borderId="3" xfId="12" applyNumberFormat="1" applyFont="1" applyBorder="1"/>
    <xf numFmtId="172" fontId="45" fillId="0" borderId="2" xfId="14" applyNumberFormat="1" applyFont="1" applyBorder="1"/>
    <xf numFmtId="172" fontId="45" fillId="0" borderId="10" xfId="14" applyNumberFormat="1" applyFont="1" applyBorder="1"/>
    <xf numFmtId="175" fontId="45" fillId="0" borderId="12" xfId="13" applyNumberFormat="1" applyFont="1" applyBorder="1"/>
    <xf numFmtId="172" fontId="45" fillId="0" borderId="12" xfId="14" applyNumberFormat="1" applyFont="1" applyBorder="1"/>
    <xf numFmtId="43" fontId="45" fillId="0" borderId="12" xfId="1" applyFont="1" applyBorder="1"/>
    <xf numFmtId="172" fontId="45" fillId="0" borderId="4" xfId="12" applyNumberFormat="1" applyFont="1" applyBorder="1"/>
    <xf numFmtId="172" fontId="45" fillId="0" borderId="11" xfId="14" applyNumberFormat="1" applyFont="1" applyBorder="1"/>
    <xf numFmtId="175" fontId="45" fillId="0" borderId="14" xfId="13" applyNumberFormat="1" applyFont="1" applyBorder="1"/>
    <xf numFmtId="172" fontId="45" fillId="0" borderId="14" xfId="14" applyNumberFormat="1" applyFont="1" applyBorder="1"/>
    <xf numFmtId="43" fontId="0" fillId="0" borderId="14" xfId="1" applyFont="1" applyBorder="1"/>
    <xf numFmtId="43" fontId="45" fillId="0" borderId="14" xfId="1" applyFont="1" applyBorder="1"/>
    <xf numFmtId="172" fontId="45" fillId="0" borderId="11" xfId="12" applyNumberFormat="1" applyFont="1" applyBorder="1"/>
    <xf numFmtId="172" fontId="45" fillId="0" borderId="14" xfId="12" applyNumberFormat="1" applyFont="1" applyBorder="1"/>
    <xf numFmtId="172" fontId="43" fillId="0" borderId="4" xfId="12" applyNumberFormat="1" applyFont="1" applyBorder="1"/>
    <xf numFmtId="172" fontId="43" fillId="0" borderId="19" xfId="12" applyNumberFormat="1" applyFont="1" applyBorder="1"/>
    <xf numFmtId="172" fontId="43" fillId="0" borderId="32" xfId="14" applyNumberFormat="1" applyFont="1" applyBorder="1"/>
    <xf numFmtId="172" fontId="43" fillId="0" borderId="15" xfId="14" applyNumberFormat="1" applyFont="1" applyBorder="1"/>
    <xf numFmtId="172" fontId="43" fillId="0" borderId="16" xfId="14" applyNumberFormat="1" applyFont="1" applyBorder="1"/>
    <xf numFmtId="43" fontId="43" fillId="0" borderId="16" xfId="1" applyFont="1" applyBorder="1"/>
    <xf numFmtId="172" fontId="43" fillId="0" borderId="0" xfId="12" applyNumberFormat="1" applyFont="1"/>
    <xf numFmtId="43" fontId="43" fillId="0" borderId="0" xfId="1" applyFont="1"/>
    <xf numFmtId="181" fontId="43" fillId="0" borderId="0" xfId="1" applyNumberFormat="1" applyFont="1"/>
    <xf numFmtId="0" fontId="9" fillId="0" borderId="0" xfId="15"/>
    <xf numFmtId="0" fontId="2" fillId="6" borderId="6" xfId="15" applyFont="1" applyFill="1" applyBorder="1" applyAlignment="1">
      <alignment horizontal="center"/>
    </xf>
    <xf numFmtId="175" fontId="9" fillId="0" borderId="6" xfId="15" applyNumberFormat="1" applyBorder="1" applyAlignment="1">
      <alignment vertical="center"/>
    </xf>
    <xf numFmtId="0" fontId="9" fillId="0" borderId="6" xfId="15" applyBorder="1" applyAlignment="1">
      <alignment horizontal="center" vertical="center"/>
    </xf>
    <xf numFmtId="0" fontId="9" fillId="0" borderId="6" xfId="15" applyBorder="1" applyAlignment="1">
      <alignment vertical="center"/>
    </xf>
    <xf numFmtId="175" fontId="9" fillId="0" borderId="0" xfId="15" applyNumberFormat="1"/>
    <xf numFmtId="175" fontId="2" fillId="0" borderId="0" xfId="15" applyNumberFormat="1" applyFont="1"/>
    <xf numFmtId="0" fontId="2" fillId="6" borderId="6" xfId="15" applyFont="1" applyFill="1" applyBorder="1" applyAlignment="1">
      <alignment vertical="center"/>
    </xf>
    <xf numFmtId="175" fontId="2" fillId="6" borderId="6" xfId="15" applyNumberFormat="1" applyFont="1" applyFill="1" applyBorder="1" applyAlignment="1">
      <alignment vertical="center"/>
    </xf>
    <xf numFmtId="0" fontId="2" fillId="0" borderId="0" xfId="15" applyFont="1"/>
    <xf numFmtId="0" fontId="48" fillId="0" borderId="0" xfId="0" applyFont="1"/>
    <xf numFmtId="0" fontId="48" fillId="0" borderId="0" xfId="0" applyFont="1" applyAlignment="1">
      <alignment horizontal="left"/>
    </xf>
    <xf numFmtId="0" fontId="49" fillId="0" borderId="1" xfId="0" applyFont="1" applyBorder="1" applyAlignment="1">
      <alignment vertical="top"/>
    </xf>
    <xf numFmtId="43" fontId="49" fillId="0" borderId="1" xfId="1" applyFont="1" applyBorder="1" applyAlignment="1">
      <alignment vertical="top"/>
    </xf>
    <xf numFmtId="49" fontId="2" fillId="0" borderId="6" xfId="0" applyNumberFormat="1" applyFont="1" applyBorder="1" applyAlignment="1">
      <alignment horizontal="center" vertical="top"/>
    </xf>
    <xf numFmtId="49" fontId="2" fillId="0" borderId="6" xfId="0" applyNumberFormat="1" applyFont="1" applyBorder="1" applyAlignment="1">
      <alignment horizontal="left" vertical="top" indent="2"/>
    </xf>
    <xf numFmtId="43" fontId="2" fillId="0" borderId="6" xfId="1" applyFont="1" applyBorder="1" applyAlignment="1">
      <alignment horizontal="center" vertical="top"/>
    </xf>
    <xf numFmtId="1" fontId="10" fillId="0" borderId="6" xfId="4" applyNumberFormat="1" applyFont="1" applyBorder="1" applyAlignment="1">
      <alignment horizontal="center" vertical="center" wrapText="1"/>
    </xf>
    <xf numFmtId="0" fontId="11" fillId="0" borderId="12" xfId="0" applyFont="1" applyBorder="1" applyAlignment="1">
      <alignment vertical="center" wrapText="1"/>
    </xf>
    <xf numFmtId="181" fontId="10" fillId="0" borderId="12" xfId="1" applyNumberFormat="1" applyFont="1" applyFill="1" applyBorder="1" applyAlignment="1">
      <alignment horizontal="center"/>
    </xf>
    <xf numFmtId="43" fontId="10" fillId="0" borderId="12" xfId="1" applyFont="1" applyFill="1" applyBorder="1" applyAlignment="1">
      <alignment horizontal="center"/>
    </xf>
    <xf numFmtId="181" fontId="11" fillId="0" borderId="12" xfId="1" applyNumberFormat="1" applyFont="1" applyFill="1" applyBorder="1" applyAlignment="1">
      <alignment horizontal="right"/>
    </xf>
    <xf numFmtId="43" fontId="11" fillId="0" borderId="12" xfId="1" applyFont="1" applyFill="1" applyBorder="1" applyAlignment="1">
      <alignment horizontal="right"/>
    </xf>
    <xf numFmtId="0" fontId="10" fillId="0" borderId="6" xfId="0" applyFont="1" applyBorder="1" applyAlignment="1">
      <alignment vertical="center" wrapText="1"/>
    </xf>
    <xf numFmtId="181" fontId="10" fillId="0" borderId="6" xfId="0" applyNumberFormat="1" applyFont="1" applyBorder="1" applyAlignment="1">
      <alignment vertical="center" wrapText="1"/>
    </xf>
    <xf numFmtId="43" fontId="10" fillId="0" borderId="6" xfId="0" applyNumberFormat="1" applyFont="1" applyBorder="1" applyAlignment="1">
      <alignment vertical="center" wrapText="1"/>
    </xf>
    <xf numFmtId="171" fontId="0" fillId="0" borderId="0" xfId="0" applyNumberFormat="1"/>
    <xf numFmtId="0" fontId="10" fillId="0" borderId="14" xfId="0" applyFont="1" applyBorder="1" applyAlignment="1">
      <alignment vertical="center" wrapText="1"/>
    </xf>
    <xf numFmtId="181" fontId="10" fillId="0" borderId="14" xfId="0" applyNumberFormat="1" applyFont="1" applyBorder="1" applyAlignment="1">
      <alignment vertical="center" wrapText="1"/>
    </xf>
    <xf numFmtId="43" fontId="10" fillId="0" borderId="14" xfId="0" applyNumberFormat="1" applyFont="1" applyBorder="1" applyAlignment="1">
      <alignment vertical="center" wrapText="1"/>
    </xf>
    <xf numFmtId="171" fontId="10" fillId="0" borderId="14" xfId="1" applyNumberFormat="1" applyFont="1" applyFill="1" applyBorder="1" applyAlignment="1">
      <alignment vertical="center" wrapText="1"/>
    </xf>
    <xf numFmtId="182" fontId="0" fillId="0" borderId="0" xfId="1" applyNumberFormat="1" applyFont="1"/>
    <xf numFmtId="9" fontId="10" fillId="0" borderId="14" xfId="2" applyFont="1" applyFill="1" applyBorder="1" applyAlignment="1">
      <alignment vertical="center" wrapText="1"/>
    </xf>
    <xf numFmtId="181" fontId="10" fillId="0" borderId="14" xfId="1" applyNumberFormat="1" applyFont="1" applyFill="1" applyBorder="1" applyAlignment="1">
      <alignment horizontal="center"/>
    </xf>
    <xf numFmtId="43" fontId="10" fillId="0" borderId="14" xfId="1" applyFont="1" applyFill="1" applyBorder="1" applyAlignment="1">
      <alignment horizontal="center"/>
    </xf>
    <xf numFmtId="181" fontId="11" fillId="0" borderId="14" xfId="1" applyNumberFormat="1" applyFont="1" applyFill="1" applyBorder="1" applyAlignment="1">
      <alignment horizontal="right"/>
    </xf>
    <xf numFmtId="0" fontId="0" fillId="2" borderId="0" xfId="0" applyFill="1"/>
    <xf numFmtId="0" fontId="11" fillId="2" borderId="14" xfId="0" applyFont="1" applyFill="1" applyBorder="1" applyAlignment="1">
      <alignment vertical="center"/>
    </xf>
    <xf numFmtId="181" fontId="10" fillId="2" borderId="14" xfId="1" applyNumberFormat="1" applyFont="1" applyFill="1" applyBorder="1" applyAlignment="1">
      <alignment horizontal="center"/>
    </xf>
    <xf numFmtId="43" fontId="10" fillId="2" borderId="14" xfId="1" applyFont="1" applyFill="1" applyBorder="1" applyAlignment="1">
      <alignment horizontal="center"/>
    </xf>
    <xf numFmtId="171" fontId="11" fillId="2" borderId="14" xfId="1" applyNumberFormat="1" applyFont="1" applyFill="1" applyBorder="1" applyAlignment="1">
      <alignment horizontal="right"/>
    </xf>
    <xf numFmtId="0" fontId="11" fillId="0" borderId="14" xfId="0" applyFont="1" applyBorder="1" applyAlignment="1">
      <alignment horizontal="left" vertical="top" wrapText="1"/>
    </xf>
    <xf numFmtId="181" fontId="10" fillId="0" borderId="6" xfId="1" applyNumberFormat="1" applyFont="1" applyFill="1" applyBorder="1" applyAlignment="1">
      <alignment horizontal="center"/>
    </xf>
    <xf numFmtId="43" fontId="10" fillId="0" borderId="6" xfId="1" applyFont="1" applyFill="1" applyBorder="1" applyAlignment="1">
      <alignment horizontal="center"/>
    </xf>
    <xf numFmtId="171" fontId="11" fillId="0" borderId="6" xfId="1" applyNumberFormat="1" applyFont="1" applyFill="1" applyBorder="1" applyAlignment="1">
      <alignment horizontal="right"/>
    </xf>
    <xf numFmtId="181" fontId="11" fillId="0" borderId="6" xfId="0" applyNumberFormat="1" applyFont="1" applyBorder="1" applyAlignment="1">
      <alignment vertical="center" wrapText="1"/>
    </xf>
    <xf numFmtId="43" fontId="11" fillId="0" borderId="6" xfId="0" applyNumberFormat="1" applyFont="1" applyBorder="1" applyAlignment="1">
      <alignment vertical="center" wrapText="1"/>
    </xf>
    <xf numFmtId="0" fontId="10" fillId="0" borderId="6" xfId="0" applyFont="1" applyBorder="1" applyAlignment="1">
      <alignment vertical="center"/>
    </xf>
    <xf numFmtId="43" fontId="11" fillId="0" borderId="6" xfId="1" applyFont="1" applyFill="1" applyBorder="1" applyAlignment="1">
      <alignment vertical="center" wrapText="1"/>
    </xf>
    <xf numFmtId="43" fontId="11" fillId="0" borderId="14" xfId="1" applyFont="1" applyFill="1" applyBorder="1" applyAlignment="1">
      <alignment vertical="center" wrapText="1"/>
    </xf>
    <xf numFmtId="0" fontId="11" fillId="0" borderId="6" xfId="0" applyFont="1" applyBorder="1" applyAlignment="1">
      <alignment vertical="center" wrapText="1"/>
    </xf>
    <xf numFmtId="10" fontId="0" fillId="0" borderId="6" xfId="2" applyNumberFormat="1" applyFont="1" applyBorder="1" applyAlignment="1">
      <alignment wrapText="1"/>
    </xf>
    <xf numFmtId="10" fontId="0" fillId="0" borderId="6" xfId="0" applyNumberFormat="1" applyBorder="1" applyAlignment="1">
      <alignment wrapText="1"/>
    </xf>
    <xf numFmtId="0" fontId="51" fillId="0" borderId="0" xfId="0" applyFont="1"/>
    <xf numFmtId="43" fontId="51" fillId="0" borderId="0" xfId="1" applyFont="1"/>
    <xf numFmtId="172" fontId="52" fillId="0" borderId="4" xfId="16" applyNumberFormat="1" applyFont="1" applyBorder="1"/>
    <xf numFmtId="172" fontId="53" fillId="0" borderId="11" xfId="16" applyNumberFormat="1" applyFont="1" applyBorder="1" applyAlignment="1">
      <alignment horizontal="center"/>
    </xf>
    <xf numFmtId="0" fontId="54" fillId="0" borderId="6" xfId="0" applyFont="1" applyBorder="1"/>
    <xf numFmtId="0" fontId="54" fillId="0" borderId="6" xfId="0" applyFont="1" applyBorder="1" applyAlignment="1">
      <alignment horizontal="right"/>
    </xf>
    <xf numFmtId="0" fontId="55" fillId="0" borderId="14" xfId="0" applyFont="1" applyBorder="1"/>
    <xf numFmtId="0" fontId="54" fillId="0" borderId="14" xfId="0" applyFont="1" applyBorder="1"/>
    <xf numFmtId="171" fontId="54" fillId="0" borderId="14" xfId="1" applyNumberFormat="1" applyFont="1" applyFill="1" applyBorder="1"/>
    <xf numFmtId="171" fontId="54" fillId="0" borderId="6" xfId="1" applyNumberFormat="1" applyFont="1" applyFill="1" applyBorder="1"/>
    <xf numFmtId="0" fontId="56" fillId="0" borderId="0" xfId="0" applyFont="1"/>
    <xf numFmtId="171" fontId="55" fillId="0" borderId="14" xfId="1" applyNumberFormat="1" applyFont="1" applyFill="1" applyBorder="1"/>
    <xf numFmtId="171" fontId="55" fillId="0" borderId="14" xfId="7" applyNumberFormat="1" applyFont="1" applyFill="1" applyBorder="1"/>
    <xf numFmtId="171" fontId="54" fillId="0" borderId="6" xfId="7" applyNumberFormat="1" applyFont="1" applyFill="1" applyBorder="1"/>
    <xf numFmtId="171" fontId="54" fillId="0" borderId="14" xfId="7" applyNumberFormat="1" applyFont="1" applyFill="1" applyBorder="1"/>
    <xf numFmtId="0" fontId="51" fillId="0" borderId="0" xfId="0" applyFont="1" applyAlignment="1">
      <alignment horizontal="left"/>
    </xf>
    <xf numFmtId="43" fontId="51" fillId="0" borderId="0" xfId="0" applyNumberFormat="1" applyFont="1"/>
    <xf numFmtId="43" fontId="51" fillId="0" borderId="0" xfId="1" applyFont="1" applyFill="1"/>
    <xf numFmtId="0" fontId="0" fillId="3" borderId="0" xfId="0" applyFill="1"/>
    <xf numFmtId="0" fontId="51" fillId="3" borderId="0" xfId="0" applyFont="1" applyFill="1"/>
    <xf numFmtId="43" fontId="51" fillId="3" borderId="0" xfId="1" applyFont="1" applyFill="1"/>
    <xf numFmtId="171" fontId="55" fillId="3" borderId="14" xfId="7" applyNumberFormat="1" applyFont="1" applyFill="1" applyBorder="1"/>
    <xf numFmtId="171" fontId="55" fillId="0" borderId="14" xfId="1" applyNumberFormat="1" applyFont="1" applyFill="1" applyBorder="1" applyAlignment="1">
      <alignment horizontal="right"/>
    </xf>
    <xf numFmtId="171" fontId="0" fillId="0" borderId="0" xfId="1" applyNumberFormat="1" applyFont="1" applyBorder="1"/>
    <xf numFmtId="171" fontId="55" fillId="0" borderId="6" xfId="1" applyNumberFormat="1" applyFont="1" applyFill="1" applyBorder="1"/>
    <xf numFmtId="171" fontId="55" fillId="0" borderId="6" xfId="0" applyNumberFormat="1" applyFont="1" applyBorder="1"/>
    <xf numFmtId="0" fontId="55" fillId="0" borderId="4" xfId="0" applyFont="1" applyBorder="1"/>
    <xf numFmtId="0" fontId="55" fillId="0" borderId="0" xfId="0" applyFont="1"/>
    <xf numFmtId="0" fontId="55" fillId="0" borderId="11" xfId="0" applyFont="1" applyBorder="1"/>
    <xf numFmtId="171" fontId="51" fillId="0" borderId="0" xfId="0" applyNumberFormat="1" applyFont="1"/>
    <xf numFmtId="1" fontId="11" fillId="0" borderId="11" xfId="4" applyNumberFormat="1" applyFont="1" applyBorder="1" applyAlignment="1">
      <alignment horizontal="right"/>
    </xf>
    <xf numFmtId="1" fontId="10" fillId="0" borderId="11" xfId="4" applyNumberFormat="1" applyFont="1" applyBorder="1" applyAlignment="1">
      <alignment horizontal="right"/>
    </xf>
    <xf numFmtId="172" fontId="11" fillId="0" borderId="11" xfId="4" applyNumberFormat="1" applyFont="1" applyBorder="1" applyAlignment="1">
      <alignment horizontal="right"/>
    </xf>
    <xf numFmtId="172" fontId="10" fillId="0" borderId="11" xfId="4" applyNumberFormat="1" applyFont="1" applyBorder="1" applyAlignment="1">
      <alignment horizontal="right"/>
    </xf>
    <xf numFmtId="1" fontId="11" fillId="0" borderId="17" xfId="4" applyNumberFormat="1" applyFont="1" applyBorder="1" applyAlignment="1">
      <alignment horizontal="right"/>
    </xf>
    <xf numFmtId="177" fontId="60" fillId="0" borderId="4" xfId="19" applyNumberFormat="1" applyFont="1" applyBorder="1"/>
    <xf numFmtId="172" fontId="60" fillId="0" borderId="0" xfId="19" applyNumberFormat="1" applyFont="1"/>
    <xf numFmtId="172" fontId="59" fillId="0" borderId="0" xfId="19" applyNumberFormat="1" applyFont="1" applyAlignment="1">
      <alignment horizontal="center"/>
    </xf>
    <xf numFmtId="171" fontId="59" fillId="0" borderId="0" xfId="1" applyNumberFormat="1" applyFont="1" applyAlignment="1">
      <alignment horizontal="center"/>
    </xf>
    <xf numFmtId="171" fontId="59" fillId="0" borderId="14" xfId="1" applyNumberFormat="1" applyFont="1" applyBorder="1"/>
    <xf numFmtId="172" fontId="59" fillId="0" borderId="4" xfId="19" applyNumberFormat="1" applyFont="1" applyBorder="1" applyAlignment="1">
      <alignment horizontal="center"/>
    </xf>
    <xf numFmtId="172" fontId="59" fillId="0" borderId="4" xfId="19" applyNumberFormat="1" applyFont="1" applyBorder="1"/>
    <xf numFmtId="49" fontId="59" fillId="0" borderId="0" xfId="19" applyNumberFormat="1" applyFont="1" applyAlignment="1">
      <alignment horizontal="left"/>
    </xf>
    <xf numFmtId="171" fontId="59" fillId="0" borderId="4" xfId="1" applyNumberFormat="1" applyFont="1" applyFill="1" applyBorder="1"/>
    <xf numFmtId="172" fontId="59" fillId="0" borderId="0" xfId="19" applyNumberFormat="1" applyFont="1" applyAlignment="1">
      <alignment horizontal="right"/>
    </xf>
    <xf numFmtId="172" fontId="59" fillId="0" borderId="0" xfId="19" applyNumberFormat="1" applyFont="1"/>
    <xf numFmtId="171" fontId="60" fillId="0" borderId="14" xfId="1" applyNumberFormat="1" applyFont="1" applyFill="1" applyBorder="1"/>
    <xf numFmtId="171" fontId="59" fillId="0" borderId="14" xfId="1" applyNumberFormat="1" applyFont="1" applyFill="1" applyBorder="1"/>
    <xf numFmtId="10" fontId="60" fillId="0" borderId="22" xfId="2" applyNumberFormat="1" applyFont="1" applyFill="1" applyBorder="1"/>
    <xf numFmtId="172" fontId="59" fillId="0" borderId="0" xfId="19" applyNumberFormat="1" applyFont="1" applyAlignment="1">
      <alignment horizontal="left"/>
    </xf>
    <xf numFmtId="172" fontId="60" fillId="0" borderId="0" xfId="19" applyNumberFormat="1" applyFont="1" applyAlignment="1">
      <alignment horizontal="center"/>
    </xf>
    <xf numFmtId="171" fontId="60" fillId="0" borderId="6" xfId="1" applyNumberFormat="1" applyFont="1" applyFill="1" applyBorder="1"/>
    <xf numFmtId="171" fontId="61" fillId="0" borderId="14" xfId="1" applyNumberFormat="1" applyFont="1" applyFill="1" applyBorder="1"/>
    <xf numFmtId="175" fontId="59" fillId="0" borderId="0" xfId="20" applyNumberFormat="1" applyFont="1" applyFill="1" applyBorder="1" applyAlignment="1">
      <alignment horizontal="center"/>
    </xf>
    <xf numFmtId="171" fontId="59" fillId="0" borderId="13" xfId="1" applyNumberFormat="1" applyFont="1" applyFill="1" applyBorder="1"/>
    <xf numFmtId="172" fontId="59" fillId="0" borderId="5" xfId="19" applyNumberFormat="1" applyFont="1" applyBorder="1"/>
    <xf numFmtId="172" fontId="59" fillId="0" borderId="1" xfId="19" applyNumberFormat="1" applyFont="1" applyBorder="1"/>
    <xf numFmtId="172" fontId="59" fillId="0" borderId="1" xfId="19" applyNumberFormat="1" applyFont="1" applyBorder="1" applyAlignment="1">
      <alignment horizontal="center"/>
    </xf>
    <xf numFmtId="10" fontId="60" fillId="0" borderId="13" xfId="2" applyNumberFormat="1" applyFont="1" applyFill="1" applyBorder="1"/>
    <xf numFmtId="171" fontId="0" fillId="0" borderId="0" xfId="1" applyNumberFormat="1" applyFont="1"/>
    <xf numFmtId="172" fontId="60" fillId="0" borderId="4" xfId="21" applyNumberFormat="1" applyFont="1" applyBorder="1" applyAlignment="1">
      <alignment horizontal="center"/>
    </xf>
    <xf numFmtId="172" fontId="60" fillId="0" borderId="0" xfId="21" applyNumberFormat="1" applyFont="1" applyAlignment="1">
      <alignment horizontal="center"/>
    </xf>
    <xf numFmtId="175" fontId="60" fillId="0" borderId="0" xfId="22" applyNumberFormat="1" applyFont="1" applyFill="1" applyBorder="1" applyAlignment="1">
      <alignment horizontal="center"/>
    </xf>
    <xf numFmtId="172" fontId="60" fillId="0" borderId="11" xfId="21" applyNumberFormat="1" applyFont="1" applyBorder="1" applyAlignment="1">
      <alignment horizontal="center"/>
    </xf>
    <xf numFmtId="172" fontId="60" fillId="0" borderId="5" xfId="21" applyNumberFormat="1" applyFont="1" applyBorder="1" applyAlignment="1">
      <alignment horizontal="center"/>
    </xf>
    <xf numFmtId="172" fontId="60" fillId="0" borderId="1" xfId="21" applyNumberFormat="1" applyFont="1" applyBorder="1" applyAlignment="1">
      <alignment horizontal="center"/>
    </xf>
    <xf numFmtId="175" fontId="60" fillId="0" borderId="1" xfId="22" applyNumberFormat="1" applyFont="1" applyFill="1" applyBorder="1" applyAlignment="1">
      <alignment horizontal="center"/>
    </xf>
    <xf numFmtId="172" fontId="60" fillId="0" borderId="17" xfId="21" applyNumberFormat="1" applyFont="1" applyBorder="1" applyAlignment="1">
      <alignment horizontal="center"/>
    </xf>
    <xf numFmtId="9" fontId="0" fillId="0" borderId="0" xfId="0" applyNumberFormat="1"/>
    <xf numFmtId="172" fontId="60" fillId="0" borderId="18" xfId="21" applyNumberFormat="1" applyFont="1" applyBorder="1" applyAlignment="1">
      <alignment vertical="top"/>
    </xf>
    <xf numFmtId="172" fontId="60" fillId="0" borderId="7" xfId="21" applyNumberFormat="1" applyFont="1" applyBorder="1"/>
    <xf numFmtId="175" fontId="60" fillId="0" borderId="7" xfId="22" applyNumberFormat="1" applyFont="1" applyFill="1" applyBorder="1"/>
    <xf numFmtId="172" fontId="60" fillId="0" borderId="6" xfId="21" applyNumberFormat="1" applyFont="1" applyBorder="1" applyAlignment="1">
      <alignment horizontal="right" vertical="top" wrapText="1"/>
    </xf>
    <xf numFmtId="184" fontId="0" fillId="0" borderId="0" xfId="2" applyNumberFormat="1" applyFont="1"/>
    <xf numFmtId="172" fontId="60" fillId="0" borderId="3" xfId="21" applyNumberFormat="1" applyFont="1" applyBorder="1" applyAlignment="1">
      <alignment vertical="top"/>
    </xf>
    <xf numFmtId="172" fontId="60" fillId="0" borderId="2" xfId="21" applyNumberFormat="1" applyFont="1" applyBorder="1"/>
    <xf numFmtId="175" fontId="60" fillId="0" borderId="2" xfId="22" applyNumberFormat="1" applyFont="1" applyFill="1" applyBorder="1"/>
    <xf numFmtId="175" fontId="60" fillId="0" borderId="12" xfId="22" applyNumberFormat="1" applyFont="1" applyFill="1" applyBorder="1"/>
    <xf numFmtId="172" fontId="60" fillId="0" borderId="12" xfId="21" applyNumberFormat="1" applyFont="1" applyBorder="1" applyAlignment="1">
      <alignment horizontal="right" vertical="top" wrapText="1"/>
    </xf>
    <xf numFmtId="10" fontId="0" fillId="0" borderId="0" xfId="2" applyNumberFormat="1" applyFont="1"/>
    <xf numFmtId="185" fontId="62" fillId="0" borderId="4" xfId="21" applyNumberFormat="1" applyFont="1" applyBorder="1" applyAlignment="1">
      <alignment horizontal="left"/>
    </xf>
    <xf numFmtId="172" fontId="63" fillId="0" borderId="0" xfId="21" applyNumberFormat="1" applyFont="1"/>
    <xf numFmtId="175" fontId="62" fillId="0" borderId="0" xfId="22" applyNumberFormat="1" applyFont="1" applyFill="1" applyBorder="1"/>
    <xf numFmtId="175" fontId="62" fillId="0" borderId="14" xfId="22" applyNumberFormat="1" applyFont="1" applyFill="1" applyBorder="1"/>
    <xf numFmtId="172" fontId="63" fillId="0" borderId="14" xfId="21" applyNumberFormat="1" applyFont="1" applyBorder="1"/>
    <xf numFmtId="172" fontId="59" fillId="0" borderId="4" xfId="21" applyNumberFormat="1" applyFont="1" applyBorder="1"/>
    <xf numFmtId="172" fontId="60" fillId="0" borderId="0" xfId="21" applyNumberFormat="1" applyFont="1"/>
    <xf numFmtId="175" fontId="60" fillId="0" borderId="0" xfId="22" applyNumberFormat="1" applyFont="1" applyFill="1" applyBorder="1"/>
    <xf numFmtId="175" fontId="60" fillId="0" borderId="14" xfId="22" applyNumberFormat="1" applyFont="1" applyFill="1" applyBorder="1"/>
    <xf numFmtId="172" fontId="59" fillId="0" borderId="14" xfId="21" applyNumberFormat="1" applyFont="1" applyBorder="1"/>
    <xf numFmtId="10" fontId="0" fillId="0" borderId="0" xfId="0" applyNumberFormat="1"/>
    <xf numFmtId="172" fontId="60" fillId="0" borderId="4" xfId="21" applyNumberFormat="1" applyFont="1" applyBorder="1"/>
    <xf numFmtId="172" fontId="59" fillId="0" borderId="0" xfId="21" applyNumberFormat="1" applyFont="1"/>
    <xf numFmtId="175" fontId="59" fillId="0" borderId="0" xfId="22" applyNumberFormat="1" applyFont="1" applyFill="1" applyBorder="1"/>
    <xf numFmtId="175" fontId="59" fillId="0" borderId="14" xfId="22" applyNumberFormat="1" applyFont="1" applyFill="1" applyBorder="1"/>
    <xf numFmtId="167" fontId="59" fillId="0" borderId="14" xfId="7" applyFont="1" applyFill="1" applyBorder="1"/>
    <xf numFmtId="175" fontId="60" fillId="0" borderId="0" xfId="22" applyNumberFormat="1" applyFont="1" applyFill="1" applyBorder="1" applyAlignment="1">
      <alignment horizontal="right"/>
    </xf>
    <xf numFmtId="175" fontId="60" fillId="0" borderId="14" xfId="22" applyNumberFormat="1" applyFont="1" applyFill="1" applyBorder="1" applyAlignment="1">
      <alignment horizontal="right"/>
    </xf>
    <xf numFmtId="175" fontId="60" fillId="0" borderId="16" xfId="22" applyNumberFormat="1" applyFont="1" applyFill="1" applyBorder="1"/>
    <xf numFmtId="175" fontId="60" fillId="0" borderId="22" xfId="22" applyNumberFormat="1" applyFont="1" applyFill="1" applyBorder="1"/>
    <xf numFmtId="171" fontId="59" fillId="0" borderId="14" xfId="21" applyFont="1" applyBorder="1"/>
    <xf numFmtId="171" fontId="60" fillId="0" borderId="16" xfId="23" applyNumberFormat="1" applyFont="1" applyFill="1" applyBorder="1"/>
    <xf numFmtId="171" fontId="59" fillId="0" borderId="14" xfId="23" applyNumberFormat="1" applyFont="1" applyFill="1" applyBorder="1"/>
    <xf numFmtId="175" fontId="59" fillId="0" borderId="0" xfId="22" applyNumberFormat="1" applyFont="1" applyFill="1" applyBorder="1" applyAlignment="1">
      <alignment horizontal="right"/>
    </xf>
    <xf numFmtId="175" fontId="59" fillId="0" borderId="14" xfId="22" applyNumberFormat="1" applyFont="1" applyFill="1" applyBorder="1" applyAlignment="1">
      <alignment horizontal="right"/>
    </xf>
    <xf numFmtId="172" fontId="59" fillId="0" borderId="20" xfId="21" applyNumberFormat="1" applyFont="1" applyBorder="1"/>
    <xf numFmtId="172" fontId="60" fillId="0" borderId="14" xfId="21" applyNumberFormat="1" applyFont="1" applyBorder="1"/>
    <xf numFmtId="172" fontId="62" fillId="0" borderId="4" xfId="21" applyNumberFormat="1" applyFont="1" applyBorder="1"/>
    <xf numFmtId="172" fontId="62" fillId="0" borderId="5" xfId="21" applyNumberFormat="1" applyFont="1" applyBorder="1"/>
    <xf numFmtId="172" fontId="60" fillId="0" borderId="1" xfId="21" applyNumberFormat="1" applyFont="1" applyBorder="1"/>
    <xf numFmtId="172" fontId="59" fillId="0" borderId="1" xfId="21" applyNumberFormat="1" applyFont="1" applyBorder="1"/>
    <xf numFmtId="175" fontId="59" fillId="0" borderId="1" xfId="22" applyNumberFormat="1" applyFont="1" applyFill="1" applyBorder="1"/>
    <xf numFmtId="175" fontId="59" fillId="0" borderId="13" xfId="22" applyNumberFormat="1" applyFont="1" applyFill="1" applyBorder="1"/>
    <xf numFmtId="175" fontId="60" fillId="0" borderId="13" xfId="22" applyNumberFormat="1" applyFont="1" applyFill="1" applyBorder="1"/>
    <xf numFmtId="172" fontId="59" fillId="0" borderId="13" xfId="21" applyNumberFormat="1" applyFont="1" applyBorder="1"/>
    <xf numFmtId="172" fontId="63" fillId="0" borderId="4" xfId="21" applyNumberFormat="1" applyFont="1" applyBorder="1"/>
    <xf numFmtId="172" fontId="63" fillId="0" borderId="2" xfId="21" applyNumberFormat="1" applyFont="1" applyBorder="1"/>
    <xf numFmtId="175" fontId="63" fillId="0" borderId="0" xfId="22" applyNumberFormat="1" applyFont="1" applyFill="1" applyBorder="1"/>
    <xf numFmtId="175" fontId="63" fillId="0" borderId="14" xfId="22" applyNumberFormat="1" applyFont="1" applyFill="1" applyBorder="1"/>
    <xf numFmtId="165" fontId="63" fillId="0" borderId="14" xfId="22" applyNumberFormat="1" applyFont="1" applyFill="1" applyBorder="1"/>
    <xf numFmtId="165" fontId="63" fillId="0" borderId="14" xfId="21" applyNumberFormat="1" applyFont="1" applyBorder="1"/>
    <xf numFmtId="172" fontId="63" fillId="0" borderId="5" xfId="21" applyNumberFormat="1" applyFont="1" applyBorder="1"/>
    <xf numFmtId="172" fontId="63" fillId="0" borderId="1" xfId="21" applyNumberFormat="1" applyFont="1" applyBorder="1"/>
    <xf numFmtId="175" fontId="63" fillId="0" borderId="1" xfId="22" applyNumberFormat="1" applyFont="1" applyFill="1" applyBorder="1"/>
    <xf numFmtId="175" fontId="63" fillId="0" borderId="13" xfId="22" applyNumberFormat="1" applyFont="1" applyFill="1" applyBorder="1"/>
    <xf numFmtId="165" fontId="63" fillId="0" borderId="13" xfId="21" applyNumberFormat="1" applyFont="1" applyBorder="1"/>
    <xf numFmtId="165" fontId="63" fillId="0" borderId="13" xfId="22" applyNumberFormat="1" applyFont="1" applyFill="1" applyBorder="1"/>
    <xf numFmtId="167" fontId="32" fillId="0" borderId="4" xfId="25" applyNumberFormat="1" applyFont="1" applyFill="1" applyBorder="1"/>
    <xf numFmtId="171" fontId="32" fillId="0" borderId="0" xfId="7" applyNumberFormat="1" applyFont="1" applyFill="1"/>
    <xf numFmtId="175" fontId="32" fillId="0" borderId="11" xfId="25" applyNumberFormat="1" applyFont="1" applyFill="1" applyBorder="1"/>
    <xf numFmtId="175" fontId="32" fillId="0" borderId="14" xfId="25" applyNumberFormat="1" applyFont="1" applyFill="1" applyBorder="1"/>
    <xf numFmtId="43" fontId="0" fillId="0" borderId="6" xfId="1" applyFont="1" applyFill="1" applyBorder="1"/>
    <xf numFmtId="0" fontId="70" fillId="0" borderId="0" xfId="30" applyFont="1" applyAlignment="1">
      <alignment horizontal="center"/>
    </xf>
    <xf numFmtId="0" fontId="70" fillId="0" borderId="0" xfId="30" applyFont="1"/>
    <xf numFmtId="175" fontId="70" fillId="0" borderId="0" xfId="31" applyNumberFormat="1" applyFont="1" applyFill="1"/>
    <xf numFmtId="167" fontId="70" fillId="0" borderId="0" xfId="30" applyNumberFormat="1" applyFont="1"/>
    <xf numFmtId="0" fontId="71" fillId="0" borderId="4" xfId="30" applyFont="1" applyBorder="1" applyAlignment="1">
      <alignment horizontal="center"/>
    </xf>
    <xf numFmtId="0" fontId="71" fillId="0" borderId="0" xfId="30" applyFont="1" applyAlignment="1">
      <alignment horizontal="center"/>
    </xf>
    <xf numFmtId="175" fontId="71" fillId="0" borderId="0" xfId="31" applyNumberFormat="1" applyFont="1" applyFill="1" applyBorder="1" applyAlignment="1">
      <alignment horizontal="center"/>
    </xf>
    <xf numFmtId="0" fontId="70" fillId="0" borderId="11" xfId="30" applyFont="1" applyBorder="1"/>
    <xf numFmtId="172" fontId="71" fillId="0" borderId="4" xfId="32" applyNumberFormat="1" applyFont="1" applyBorder="1" applyAlignment="1">
      <alignment horizontal="center"/>
    </xf>
    <xf numFmtId="172" fontId="71" fillId="0" borderId="0" xfId="32" applyNumberFormat="1" applyFont="1" applyAlignment="1">
      <alignment horizontal="center"/>
    </xf>
    <xf numFmtId="175" fontId="71" fillId="0" borderId="4" xfId="31" applyNumberFormat="1" applyFont="1" applyFill="1" applyBorder="1" applyAlignment="1">
      <alignment horizontal="center"/>
    </xf>
    <xf numFmtId="0" fontId="70" fillId="0" borderId="4" xfId="30" applyFont="1" applyBorder="1" applyAlignment="1">
      <alignment horizontal="center"/>
    </xf>
    <xf numFmtId="175" fontId="70" fillId="0" borderId="0" xfId="31" applyNumberFormat="1" applyFont="1" applyFill="1" applyBorder="1"/>
    <xf numFmtId="175" fontId="71" fillId="0" borderId="0" xfId="31" applyNumberFormat="1" applyFont="1" applyFill="1" applyBorder="1"/>
    <xf numFmtId="0" fontId="71" fillId="0" borderId="3" xfId="31" applyNumberFormat="1" applyFont="1" applyFill="1" applyBorder="1" applyAlignment="1">
      <alignment horizontal="center"/>
    </xf>
    <xf numFmtId="9" fontId="71" fillId="0" borderId="12" xfId="3" applyFont="1" applyFill="1" applyBorder="1"/>
    <xf numFmtId="175" fontId="71" fillId="0" borderId="2" xfId="31" applyNumberFormat="1" applyFont="1" applyFill="1" applyBorder="1" applyAlignment="1">
      <alignment horizontal="center"/>
    </xf>
    <xf numFmtId="175" fontId="71" fillId="0" borderId="12" xfId="31" applyNumberFormat="1" applyFont="1" applyFill="1" applyBorder="1" applyAlignment="1">
      <alignment horizontal="center"/>
    </xf>
    <xf numFmtId="175" fontId="71" fillId="0" borderId="10" xfId="31" applyNumberFormat="1" applyFont="1" applyFill="1" applyBorder="1" applyAlignment="1">
      <alignment horizontal="center"/>
    </xf>
    <xf numFmtId="0" fontId="71" fillId="0" borderId="4" xfId="31" applyNumberFormat="1" applyFont="1" applyFill="1" applyBorder="1" applyAlignment="1">
      <alignment horizontal="center"/>
    </xf>
    <xf numFmtId="175" fontId="71" fillId="0" borderId="14" xfId="31" applyNumberFormat="1" applyFont="1" applyFill="1" applyBorder="1"/>
    <xf numFmtId="175" fontId="71" fillId="0" borderId="14" xfId="31" applyNumberFormat="1" applyFont="1" applyFill="1" applyBorder="1" applyAlignment="1">
      <alignment horizontal="center"/>
    </xf>
    <xf numFmtId="14" fontId="71" fillId="0" borderId="14" xfId="31" applyNumberFormat="1" applyFont="1" applyFill="1" applyBorder="1" applyAlignment="1">
      <alignment horizontal="center"/>
    </xf>
    <xf numFmtId="0" fontId="74" fillId="0" borderId="5" xfId="31" applyNumberFormat="1" applyFont="1" applyFill="1" applyBorder="1" applyAlignment="1">
      <alignment horizontal="center"/>
    </xf>
    <xf numFmtId="175" fontId="74" fillId="0" borderId="13" xfId="31" applyNumberFormat="1" applyFont="1" applyFill="1" applyBorder="1"/>
    <xf numFmtId="175" fontId="74" fillId="0" borderId="1" xfId="31" applyNumberFormat="1" applyFont="1" applyFill="1" applyBorder="1"/>
    <xf numFmtId="175" fontId="75" fillId="0" borderId="13" xfId="31" applyNumberFormat="1" applyFont="1" applyFill="1" applyBorder="1" applyAlignment="1">
      <alignment horizontal="center"/>
    </xf>
    <xf numFmtId="175" fontId="71" fillId="0" borderId="13" xfId="31" applyNumberFormat="1" applyFont="1" applyFill="1" applyBorder="1" applyAlignment="1">
      <alignment horizontal="center"/>
    </xf>
    <xf numFmtId="0" fontId="74" fillId="0" borderId="12" xfId="31" applyNumberFormat="1" applyFont="1" applyFill="1" applyBorder="1" applyAlignment="1">
      <alignment horizontal="center"/>
    </xf>
    <xf numFmtId="0" fontId="70" fillId="0" borderId="2" xfId="30" applyFont="1" applyBorder="1"/>
    <xf numFmtId="175" fontId="74" fillId="0" borderId="12" xfId="31" applyNumberFormat="1" applyFont="1" applyFill="1" applyBorder="1"/>
    <xf numFmtId="175" fontId="74" fillId="0" borderId="14" xfId="31" applyNumberFormat="1" applyFont="1" applyFill="1" applyBorder="1"/>
    <xf numFmtId="0" fontId="70" fillId="0" borderId="14" xfId="30" applyFont="1" applyBorder="1"/>
    <xf numFmtId="0" fontId="74" fillId="0" borderId="14" xfId="31" applyNumberFormat="1" applyFont="1" applyFill="1" applyBorder="1" applyAlignment="1">
      <alignment horizontal="center"/>
    </xf>
    <xf numFmtId="9" fontId="76" fillId="0" borderId="11" xfId="3" applyFont="1" applyFill="1" applyBorder="1"/>
    <xf numFmtId="175" fontId="74" fillId="0" borderId="0" xfId="31" applyNumberFormat="1" applyFont="1" applyFill="1" applyBorder="1"/>
    <xf numFmtId="0" fontId="71" fillId="0" borderId="14" xfId="31" quotePrefix="1" applyNumberFormat="1" applyFont="1" applyFill="1" applyBorder="1" applyAlignment="1">
      <alignment horizontal="center"/>
    </xf>
    <xf numFmtId="9" fontId="70" fillId="0" borderId="11" xfId="3" applyFont="1" applyFill="1" applyBorder="1"/>
    <xf numFmtId="9" fontId="70" fillId="0" borderId="0" xfId="31" applyNumberFormat="1" applyFont="1" applyFill="1" applyBorder="1" applyAlignment="1">
      <alignment horizontal="center"/>
    </xf>
    <xf numFmtId="175" fontId="70" fillId="0" borderId="14" xfId="31" applyNumberFormat="1" applyFont="1" applyFill="1" applyBorder="1"/>
    <xf numFmtId="171" fontId="70" fillId="0" borderId="14" xfId="31" applyNumberFormat="1" applyFont="1" applyFill="1" applyBorder="1"/>
    <xf numFmtId="0" fontId="74" fillId="0" borderId="13" xfId="31" applyNumberFormat="1" applyFont="1" applyFill="1" applyBorder="1" applyAlignment="1">
      <alignment horizontal="center"/>
    </xf>
    <xf numFmtId="0" fontId="70" fillId="0" borderId="1" xfId="30" applyFont="1" applyBorder="1"/>
    <xf numFmtId="9" fontId="71" fillId="0" borderId="17" xfId="3" applyFont="1" applyFill="1" applyBorder="1"/>
    <xf numFmtId="9" fontId="70" fillId="0" borderId="1" xfId="31" applyNumberFormat="1" applyFont="1" applyFill="1" applyBorder="1" applyAlignment="1">
      <alignment horizontal="center"/>
    </xf>
    <xf numFmtId="175" fontId="71" fillId="0" borderId="6" xfId="31" applyNumberFormat="1" applyFont="1" applyFill="1" applyBorder="1"/>
    <xf numFmtId="167" fontId="70" fillId="0" borderId="11" xfId="31" applyNumberFormat="1" applyFont="1" applyFill="1" applyBorder="1" applyAlignment="1">
      <alignment horizontal="center"/>
    </xf>
    <xf numFmtId="175" fontId="70" fillId="0" borderId="11" xfId="31" applyNumberFormat="1" applyFont="1" applyFill="1" applyBorder="1" applyAlignment="1">
      <alignment horizontal="center"/>
    </xf>
    <xf numFmtId="0" fontId="75" fillId="0" borderId="14" xfId="31" applyNumberFormat="1" applyFont="1" applyFill="1" applyBorder="1" applyAlignment="1">
      <alignment horizontal="center"/>
    </xf>
    <xf numFmtId="175" fontId="74" fillId="0" borderId="0" xfId="31" applyNumberFormat="1" applyFont="1" applyFill="1" applyBorder="1" applyAlignment="1">
      <alignment horizontal="center"/>
    </xf>
    <xf numFmtId="167" fontId="70" fillId="0" borderId="11" xfId="31" applyNumberFormat="1" applyFont="1" applyFill="1" applyBorder="1"/>
    <xf numFmtId="167" fontId="70" fillId="0" borderId="14" xfId="31" applyNumberFormat="1" applyFont="1" applyFill="1" applyBorder="1"/>
    <xf numFmtId="9" fontId="70" fillId="0" borderId="13" xfId="3" applyFont="1" applyFill="1" applyBorder="1"/>
    <xf numFmtId="0" fontId="74" fillId="0" borderId="6" xfId="31" applyNumberFormat="1" applyFont="1" applyFill="1" applyBorder="1" applyAlignment="1">
      <alignment horizontal="center"/>
    </xf>
    <xf numFmtId="9" fontId="70" fillId="0" borderId="6" xfId="31" applyNumberFormat="1" applyFont="1" applyFill="1" applyBorder="1" applyAlignment="1">
      <alignment horizontal="center"/>
    </xf>
    <xf numFmtId="0" fontId="74" fillId="0" borderId="4" xfId="31" applyNumberFormat="1" applyFont="1" applyFill="1" applyBorder="1" applyAlignment="1">
      <alignment horizontal="center"/>
    </xf>
    <xf numFmtId="175" fontId="74" fillId="0" borderId="11" xfId="31" applyNumberFormat="1" applyFont="1" applyFill="1" applyBorder="1"/>
    <xf numFmtId="9" fontId="70" fillId="0" borderId="14" xfId="3" applyFont="1" applyFill="1" applyBorder="1"/>
    <xf numFmtId="175" fontId="70" fillId="0" borderId="14" xfId="31" applyNumberFormat="1" applyFont="1" applyFill="1" applyBorder="1" applyAlignment="1">
      <alignment horizontal="center"/>
    </xf>
    <xf numFmtId="0" fontId="71" fillId="0" borderId="6" xfId="30" applyFont="1" applyBorder="1"/>
    <xf numFmtId="175" fontId="74" fillId="0" borderId="6" xfId="31" applyNumberFormat="1" applyFont="1" applyFill="1" applyBorder="1"/>
    <xf numFmtId="175" fontId="70" fillId="0" borderId="1" xfId="31" applyNumberFormat="1" applyFont="1" applyFill="1" applyBorder="1" applyAlignment="1">
      <alignment horizontal="center"/>
    </xf>
    <xf numFmtId="175" fontId="70" fillId="0" borderId="0" xfId="30" applyNumberFormat="1" applyFont="1"/>
    <xf numFmtId="0" fontId="71" fillId="0" borderId="14" xfId="30" applyFont="1" applyBorder="1" applyAlignment="1">
      <alignment horizontal="center"/>
    </xf>
    <xf numFmtId="175" fontId="74" fillId="0" borderId="14" xfId="31" applyNumberFormat="1" applyFont="1" applyFill="1" applyBorder="1" applyAlignment="1">
      <alignment horizontal="center"/>
    </xf>
    <xf numFmtId="175" fontId="70" fillId="0" borderId="11" xfId="31" applyNumberFormat="1" applyFont="1" applyFill="1" applyBorder="1"/>
    <xf numFmtId="9" fontId="70" fillId="0" borderId="14" xfId="31" applyNumberFormat="1" applyFont="1" applyFill="1" applyBorder="1" applyAlignment="1">
      <alignment horizontal="center"/>
    </xf>
    <xf numFmtId="175" fontId="70" fillId="0" borderId="13" xfId="31" quotePrefix="1" applyNumberFormat="1" applyFont="1" applyFill="1" applyBorder="1" applyAlignment="1">
      <alignment horizontal="center"/>
    </xf>
    <xf numFmtId="9" fontId="76" fillId="0" borderId="0" xfId="3" applyFont="1" applyFill="1" applyBorder="1"/>
    <xf numFmtId="9" fontId="70" fillId="0" borderId="0" xfId="3" applyFont="1" applyFill="1" applyBorder="1"/>
    <xf numFmtId="0" fontId="71" fillId="0" borderId="6" xfId="31" quotePrefix="1" applyNumberFormat="1" applyFont="1" applyFill="1" applyBorder="1" applyAlignment="1">
      <alignment horizontal="center"/>
    </xf>
    <xf numFmtId="9" fontId="71" fillId="0" borderId="21" xfId="3" applyFont="1" applyFill="1" applyBorder="1"/>
    <xf numFmtId="175" fontId="74" fillId="0" borderId="21" xfId="31" applyNumberFormat="1" applyFont="1" applyFill="1" applyBorder="1" applyAlignment="1">
      <alignment horizontal="center"/>
    </xf>
    <xf numFmtId="0" fontId="71" fillId="0" borderId="14" xfId="31" applyNumberFormat="1" applyFont="1" applyFill="1" applyBorder="1" applyAlignment="1">
      <alignment horizontal="center"/>
    </xf>
    <xf numFmtId="175" fontId="70" fillId="0" borderId="0" xfId="31" applyNumberFormat="1" applyFont="1" applyFill="1" applyBorder="1" applyAlignment="1">
      <alignment horizontal="center"/>
    </xf>
    <xf numFmtId="167" fontId="70" fillId="0" borderId="14" xfId="35" applyNumberFormat="1" applyFont="1" applyBorder="1"/>
    <xf numFmtId="175" fontId="70" fillId="0" borderId="14" xfId="35" applyNumberFormat="1" applyFont="1" applyBorder="1"/>
    <xf numFmtId="175" fontId="70" fillId="0" borderId="13" xfId="31" applyNumberFormat="1" applyFont="1" applyFill="1" applyBorder="1" applyAlignment="1">
      <alignment horizontal="center"/>
    </xf>
    <xf numFmtId="0" fontId="71" fillId="0" borderId="13" xfId="31" quotePrefix="1" applyNumberFormat="1" applyFont="1" applyFill="1" applyBorder="1" applyAlignment="1">
      <alignment horizontal="center"/>
    </xf>
    <xf numFmtId="175" fontId="70" fillId="0" borderId="18" xfId="31" quotePrefix="1" applyNumberFormat="1" applyFont="1" applyFill="1" applyBorder="1" applyAlignment="1">
      <alignment horizontal="center"/>
    </xf>
    <xf numFmtId="43" fontId="70" fillId="0" borderId="0" xfId="30" applyNumberFormat="1" applyFont="1"/>
    <xf numFmtId="175" fontId="71" fillId="0" borderId="0" xfId="30" applyNumberFormat="1" applyFont="1"/>
    <xf numFmtId="171" fontId="70" fillId="0" borderId="0" xfId="30" applyNumberFormat="1" applyFont="1"/>
    <xf numFmtId="0" fontId="71" fillId="0" borderId="0" xfId="30" applyFont="1"/>
    <xf numFmtId="175" fontId="70" fillId="0" borderId="0" xfId="30" applyNumberFormat="1" applyFont="1" applyAlignment="1">
      <alignment horizontal="center"/>
    </xf>
    <xf numFmtId="37" fontId="70" fillId="0" borderId="0" xfId="30" applyNumberFormat="1" applyFont="1"/>
    <xf numFmtId="9" fontId="70" fillId="0" borderId="0" xfId="30" applyNumberFormat="1" applyFont="1"/>
    <xf numFmtId="37" fontId="71" fillId="0" borderId="32" xfId="30" applyNumberFormat="1" applyFont="1" applyBorder="1"/>
    <xf numFmtId="175" fontId="70" fillId="0" borderId="0" xfId="31" applyNumberFormat="1" applyFont="1" applyFill="1" applyAlignment="1">
      <alignment horizontal="left"/>
    </xf>
    <xf numFmtId="0" fontId="77" fillId="0" borderId="0" xfId="36" applyFont="1"/>
    <xf numFmtId="0" fontId="78" fillId="0" borderId="0" xfId="36" applyFont="1"/>
    <xf numFmtId="0" fontId="78" fillId="0" borderId="43" xfId="36" applyFont="1" applyBorder="1" applyAlignment="1">
      <alignment horizontal="center" vertical="center"/>
    </xf>
    <xf numFmtId="175" fontId="78" fillId="0" borderId="43" xfId="36" applyNumberFormat="1" applyFont="1" applyBorder="1" applyAlignment="1">
      <alignment horizontal="center" vertical="center" wrapText="1"/>
    </xf>
    <xf numFmtId="0" fontId="77" fillId="0" borderId="44" xfId="36" applyFont="1" applyBorder="1"/>
    <xf numFmtId="175" fontId="78" fillId="0" borderId="44" xfId="36" applyNumberFormat="1" applyFont="1" applyBorder="1" applyAlignment="1">
      <alignment horizontal="center" vertical="center" wrapText="1"/>
    </xf>
    <xf numFmtId="0" fontId="78" fillId="0" borderId="45" xfId="36" applyFont="1" applyBorder="1" applyAlignment="1">
      <alignment horizontal="left" vertical="center"/>
    </xf>
    <xf numFmtId="0" fontId="77" fillId="0" borderId="45" xfId="36" applyFont="1" applyBorder="1"/>
    <xf numFmtId="0" fontId="77" fillId="0" borderId="0" xfId="36" applyFont="1" applyAlignment="1">
      <alignment vertical="center"/>
    </xf>
    <xf numFmtId="0" fontId="77" fillId="0" borderId="45" xfId="36" applyFont="1" applyBorder="1" applyAlignment="1">
      <alignment horizontal="left" vertical="center"/>
    </xf>
    <xf numFmtId="175" fontId="77" fillId="0" borderId="46" xfId="36" applyNumberFormat="1" applyFont="1" applyBorder="1" applyAlignment="1">
      <alignment vertical="center"/>
    </xf>
    <xf numFmtId="175" fontId="77" fillId="0" borderId="0" xfId="26" applyNumberFormat="1" applyFont="1" applyFill="1" applyBorder="1" applyAlignment="1">
      <alignment vertical="center"/>
    </xf>
    <xf numFmtId="175" fontId="78" fillId="0" borderId="46" xfId="36" applyNumberFormat="1" applyFont="1" applyBorder="1" applyAlignment="1">
      <alignment vertical="center"/>
    </xf>
    <xf numFmtId="167" fontId="77" fillId="0" borderId="0" xfId="26" applyFont="1" applyFill="1" applyBorder="1" applyAlignment="1">
      <alignment vertical="center"/>
    </xf>
    <xf numFmtId="0" fontId="79" fillId="0" borderId="45" xfId="36" applyFont="1" applyBorder="1" applyAlignment="1">
      <alignment horizontal="left" vertical="center"/>
    </xf>
    <xf numFmtId="0" fontId="77" fillId="0" borderId="46" xfId="36" applyFont="1" applyBorder="1" applyAlignment="1">
      <alignment horizontal="left" vertical="center"/>
    </xf>
    <xf numFmtId="175" fontId="77" fillId="0" borderId="46" xfId="26" applyNumberFormat="1" applyFont="1" applyFill="1" applyBorder="1" applyAlignment="1">
      <alignment vertical="center"/>
    </xf>
    <xf numFmtId="0" fontId="77" fillId="0" borderId="47" xfId="36" applyFont="1" applyBorder="1" applyAlignment="1">
      <alignment vertical="center"/>
    </xf>
    <xf numFmtId="0" fontId="77" fillId="0" borderId="46" xfId="36" applyFont="1" applyBorder="1" applyAlignment="1">
      <alignment vertical="center"/>
    </xf>
    <xf numFmtId="175" fontId="77" fillId="0" borderId="47" xfId="36" applyNumberFormat="1" applyFont="1" applyBorder="1" applyAlignment="1">
      <alignment vertical="center"/>
    </xf>
    <xf numFmtId="37" fontId="77" fillId="0" borderId="0" xfId="36" applyNumberFormat="1" applyFont="1" applyAlignment="1">
      <alignment vertical="center"/>
    </xf>
    <xf numFmtId="175" fontId="77" fillId="4" borderId="46" xfId="36" applyNumberFormat="1" applyFont="1" applyFill="1" applyBorder="1" applyAlignment="1">
      <alignment vertical="center"/>
    </xf>
    <xf numFmtId="0" fontId="78" fillId="0" borderId="45" xfId="36" applyFont="1" applyBorder="1" applyAlignment="1">
      <alignment vertical="center"/>
    </xf>
    <xf numFmtId="10" fontId="77" fillId="0" borderId="46" xfId="2" applyNumberFormat="1" applyFont="1" applyFill="1" applyBorder="1" applyAlignment="1">
      <alignment vertical="center"/>
    </xf>
    <xf numFmtId="10" fontId="77" fillId="0" borderId="46" xfId="36" applyNumberFormat="1" applyFont="1" applyBorder="1" applyAlignment="1">
      <alignment vertical="center"/>
    </xf>
    <xf numFmtId="10" fontId="77" fillId="0" borderId="0" xfId="37" applyNumberFormat="1" applyFont="1" applyFill="1" applyBorder="1" applyAlignment="1">
      <alignment vertical="center"/>
    </xf>
    <xf numFmtId="9" fontId="77" fillId="0" borderId="0" xfId="37" applyFont="1" applyFill="1" applyBorder="1" applyAlignment="1">
      <alignment vertical="center"/>
    </xf>
    <xf numFmtId="10" fontId="77" fillId="0" borderId="46" xfId="37" applyNumberFormat="1" applyFont="1" applyFill="1" applyBorder="1" applyAlignment="1">
      <alignment vertical="center"/>
    </xf>
    <xf numFmtId="167" fontId="77" fillId="0" borderId="46" xfId="26" applyFont="1" applyFill="1" applyBorder="1" applyAlignment="1">
      <alignment vertical="center"/>
    </xf>
    <xf numFmtId="175" fontId="77" fillId="0" borderId="0" xfId="36" applyNumberFormat="1" applyFont="1" applyAlignment="1">
      <alignment vertical="center"/>
    </xf>
    <xf numFmtId="0" fontId="77" fillId="0" borderId="48" xfId="36" applyFont="1" applyBorder="1" applyAlignment="1">
      <alignment vertical="center"/>
    </xf>
    <xf numFmtId="0" fontId="77" fillId="0" borderId="49" xfId="36" applyFont="1" applyBorder="1" applyAlignment="1">
      <alignment vertical="center"/>
    </xf>
    <xf numFmtId="4" fontId="77" fillId="0" borderId="49" xfId="37" applyNumberFormat="1" applyFont="1" applyFill="1" applyBorder="1" applyAlignment="1">
      <alignment vertical="center"/>
    </xf>
    <xf numFmtId="0" fontId="77" fillId="0" borderId="45" xfId="36" applyFont="1" applyBorder="1" applyAlignment="1">
      <alignment vertical="center"/>
    </xf>
    <xf numFmtId="10" fontId="77" fillId="0" borderId="45" xfId="37" applyNumberFormat="1" applyFont="1" applyFill="1" applyBorder="1" applyAlignment="1">
      <alignment vertical="center"/>
    </xf>
    <xf numFmtId="0" fontId="77" fillId="0" borderId="50" xfId="36" applyFont="1" applyBorder="1" applyAlignment="1">
      <alignment vertical="center"/>
    </xf>
    <xf numFmtId="0" fontId="78" fillId="0" borderId="46" xfId="36" applyFont="1" applyBorder="1" applyAlignment="1">
      <alignment vertical="center"/>
    </xf>
    <xf numFmtId="9" fontId="77" fillId="0" borderId="46" xfId="37" applyFont="1" applyFill="1" applyBorder="1" applyAlignment="1">
      <alignment vertical="center"/>
    </xf>
    <xf numFmtId="0" fontId="77" fillId="0" borderId="39" xfId="36" applyFont="1" applyBorder="1" applyAlignment="1">
      <alignment vertical="center"/>
    </xf>
    <xf numFmtId="0" fontId="77" fillId="0" borderId="36" xfId="36" applyFont="1" applyBorder="1" applyAlignment="1">
      <alignment vertical="center"/>
    </xf>
    <xf numFmtId="0" fontId="77" fillId="0" borderId="40" xfId="36" applyFont="1" applyBorder="1" applyAlignment="1">
      <alignment vertical="center"/>
    </xf>
    <xf numFmtId="9" fontId="77" fillId="4" borderId="46" xfId="2" applyFont="1" applyFill="1" applyBorder="1" applyAlignment="1">
      <alignment vertical="center"/>
    </xf>
    <xf numFmtId="10" fontId="77" fillId="4" borderId="46" xfId="37" applyNumberFormat="1" applyFont="1" applyFill="1" applyBorder="1" applyAlignment="1">
      <alignment vertical="center"/>
    </xf>
    <xf numFmtId="0" fontId="77" fillId="4" borderId="46" xfId="36" applyFont="1" applyFill="1" applyBorder="1" applyAlignment="1">
      <alignment vertical="center"/>
    </xf>
    <xf numFmtId="167" fontId="77" fillId="4" borderId="46" xfId="26" applyFont="1" applyFill="1" applyBorder="1" applyAlignment="1">
      <alignment vertical="center"/>
    </xf>
    <xf numFmtId="175" fontId="77" fillId="4" borderId="46" xfId="26" applyNumberFormat="1" applyFont="1" applyFill="1" applyBorder="1" applyAlignment="1">
      <alignment vertical="center"/>
    </xf>
    <xf numFmtId="10" fontId="77" fillId="4" borderId="49" xfId="37" applyNumberFormat="1" applyFont="1" applyFill="1" applyBorder="1" applyAlignment="1">
      <alignment vertical="center"/>
    </xf>
    <xf numFmtId="175" fontId="77" fillId="4" borderId="13" xfId="26" applyNumberFormat="1" applyFont="1" applyFill="1" applyBorder="1" applyAlignment="1">
      <alignment vertical="center"/>
    </xf>
    <xf numFmtId="175" fontId="77" fillId="4" borderId="5" xfId="26" applyNumberFormat="1" applyFont="1" applyFill="1" applyBorder="1" applyAlignment="1">
      <alignment vertical="center"/>
    </xf>
    <xf numFmtId="175" fontId="77" fillId="4" borderId="6" xfId="26" applyNumberFormat="1" applyFont="1" applyFill="1" applyBorder="1" applyAlignment="1">
      <alignment vertical="center"/>
    </xf>
    <xf numFmtId="175" fontId="77" fillId="4" borderId="18" xfId="26" applyNumberFormat="1" applyFont="1" applyFill="1" applyBorder="1" applyAlignment="1">
      <alignment vertical="center"/>
    </xf>
    <xf numFmtId="0" fontId="77" fillId="4" borderId="41" xfId="36" applyFont="1" applyFill="1" applyBorder="1" applyAlignment="1">
      <alignment vertical="center"/>
    </xf>
    <xf numFmtId="0" fontId="77" fillId="4" borderId="51" xfId="36" applyFont="1" applyFill="1" applyBorder="1" applyAlignment="1">
      <alignment vertical="center"/>
    </xf>
    <xf numFmtId="9" fontId="39" fillId="0" borderId="3" xfId="3" applyFont="1" applyFill="1" applyBorder="1"/>
    <xf numFmtId="172" fontId="39" fillId="0" borderId="2" xfId="24" applyNumberFormat="1" applyFont="1" applyFill="1" applyBorder="1"/>
    <xf numFmtId="172" fontId="39" fillId="0" borderId="2" xfId="24" applyNumberFormat="1" applyFont="1" applyFill="1" applyBorder="1" applyAlignment="1">
      <alignment horizontal="center"/>
    </xf>
    <xf numFmtId="9" fontId="39" fillId="0" borderId="2" xfId="3" applyFont="1" applyFill="1" applyBorder="1"/>
    <xf numFmtId="37" fontId="39" fillId="0" borderId="10" xfId="7" applyNumberFormat="1" applyFont="1" applyFill="1" applyBorder="1" applyAlignment="1">
      <alignment horizontal="right"/>
    </xf>
    <xf numFmtId="37" fontId="39" fillId="0" borderId="0" xfId="7" applyNumberFormat="1" applyFont="1" applyFill="1" applyBorder="1" applyAlignment="1">
      <alignment horizontal="right"/>
    </xf>
    <xf numFmtId="0" fontId="0" fillId="0" borderId="0" xfId="0" applyFill="1"/>
    <xf numFmtId="9" fontId="39" fillId="0" borderId="4" xfId="3" applyFont="1" applyFill="1" applyBorder="1"/>
    <xf numFmtId="172" fontId="39" fillId="0" borderId="0" xfId="24" applyNumberFormat="1" applyFont="1" applyFill="1"/>
    <xf numFmtId="172" fontId="32" fillId="0" borderId="0" xfId="24" applyNumberFormat="1" applyFont="1" applyFill="1"/>
    <xf numFmtId="9" fontId="39" fillId="0" borderId="0" xfId="3" applyFont="1" applyFill="1"/>
    <xf numFmtId="37" fontId="39" fillId="0" borderId="11" xfId="7" applyNumberFormat="1" applyFont="1" applyFill="1" applyBorder="1" applyAlignment="1">
      <alignment horizontal="right"/>
    </xf>
    <xf numFmtId="172" fontId="39" fillId="0" borderId="0" xfId="24" applyNumberFormat="1" applyFont="1" applyFill="1" applyAlignment="1">
      <alignment horizontal="center"/>
    </xf>
    <xf numFmtId="172" fontId="32" fillId="0" borderId="4" xfId="24" applyNumberFormat="1" applyFont="1" applyFill="1" applyBorder="1"/>
    <xf numFmtId="175" fontId="32" fillId="0" borderId="0" xfId="25" applyNumberFormat="1" applyFont="1" applyFill="1"/>
    <xf numFmtId="175" fontId="32" fillId="0" borderId="4" xfId="25" applyNumberFormat="1" applyFont="1" applyFill="1" applyBorder="1"/>
    <xf numFmtId="37" fontId="39" fillId="0" borderId="0" xfId="7" applyNumberFormat="1" applyFont="1" applyFill="1" applyAlignment="1">
      <alignment horizontal="right"/>
    </xf>
    <xf numFmtId="172" fontId="39" fillId="0" borderId="0" xfId="24" applyNumberFormat="1" applyFont="1" applyFill="1" applyAlignment="1">
      <alignment horizontal="center" vertical="top" wrapText="1"/>
    </xf>
    <xf numFmtId="172" fontId="39" fillId="0" borderId="3" xfId="24" applyNumberFormat="1" applyFont="1" applyFill="1" applyBorder="1" applyAlignment="1">
      <alignment horizontal="center" vertical="top" wrapText="1"/>
    </xf>
    <xf numFmtId="172" fontId="39" fillId="0" borderId="2" xfId="24" applyNumberFormat="1" applyFont="1" applyFill="1" applyBorder="1" applyAlignment="1">
      <alignment horizontal="center" vertical="top" wrapText="1"/>
    </xf>
    <xf numFmtId="172" fontId="39" fillId="0" borderId="10" xfId="24" applyNumberFormat="1" applyFont="1" applyFill="1" applyBorder="1" applyAlignment="1">
      <alignment horizontal="center" vertical="top" wrapText="1"/>
    </xf>
    <xf numFmtId="0" fontId="0" fillId="0" borderId="14" xfId="0" applyFill="1" applyBorder="1"/>
    <xf numFmtId="175" fontId="32" fillId="0" borderId="0" xfId="25" applyNumberFormat="1" applyFont="1" applyFill="1" applyBorder="1"/>
    <xf numFmtId="3" fontId="32" fillId="0" borderId="0" xfId="25" applyNumberFormat="1" applyFont="1" applyFill="1"/>
    <xf numFmtId="167" fontId="39" fillId="0" borderId="4" xfId="25" applyNumberFormat="1" applyFont="1" applyFill="1" applyBorder="1"/>
    <xf numFmtId="167" fontId="0" fillId="0" borderId="0" xfId="7" applyFont="1" applyFill="1"/>
    <xf numFmtId="49" fontId="32" fillId="0" borderId="0" xfId="24" applyNumberFormat="1" applyFont="1" applyFill="1"/>
    <xf numFmtId="171" fontId="32" fillId="0" borderId="11" xfId="7" applyNumberFormat="1" applyFont="1" applyFill="1" applyBorder="1" applyAlignment="1">
      <alignment horizontal="right"/>
    </xf>
    <xf numFmtId="171" fontId="32" fillId="0" borderId="14" xfId="7" applyNumberFormat="1" applyFont="1" applyFill="1" applyBorder="1" applyAlignment="1">
      <alignment horizontal="right"/>
    </xf>
    <xf numFmtId="171" fontId="0" fillId="0" borderId="0" xfId="0" applyNumberFormat="1" applyFill="1"/>
    <xf numFmtId="171" fontId="32" fillId="0" borderId="11" xfId="7" applyNumberFormat="1" applyFont="1" applyFill="1" applyBorder="1"/>
    <xf numFmtId="171" fontId="32" fillId="0" borderId="13" xfId="7" applyNumberFormat="1" applyFont="1" applyFill="1" applyBorder="1"/>
    <xf numFmtId="175" fontId="32" fillId="0" borderId="13" xfId="25" applyNumberFormat="1" applyFont="1" applyFill="1" applyBorder="1" applyAlignment="1">
      <alignment horizontal="right"/>
    </xf>
    <xf numFmtId="175" fontId="32" fillId="0" borderId="0" xfId="25" applyNumberFormat="1" applyFont="1" applyFill="1" applyBorder="1" applyAlignment="1">
      <alignment horizontal="right"/>
    </xf>
    <xf numFmtId="175" fontId="0" fillId="0" borderId="0" xfId="0" applyNumberFormat="1" applyFill="1"/>
    <xf numFmtId="37" fontId="39" fillId="0" borderId="14" xfId="7" applyNumberFormat="1" applyFont="1" applyFill="1" applyBorder="1" applyAlignment="1">
      <alignment horizontal="right"/>
    </xf>
    <xf numFmtId="175" fontId="32" fillId="0" borderId="11" xfId="25" applyNumberFormat="1" applyFont="1" applyFill="1" applyBorder="1" applyAlignment="1">
      <alignment horizontal="right"/>
    </xf>
    <xf numFmtId="175" fontId="32" fillId="0" borderId="14" xfId="25" applyNumberFormat="1" applyFont="1" applyFill="1" applyBorder="1" applyAlignment="1">
      <alignment horizontal="right"/>
    </xf>
    <xf numFmtId="172" fontId="39" fillId="0" borderId="0" xfId="24" applyNumberFormat="1" applyFont="1" applyFill="1" applyAlignment="1">
      <alignment horizontal="right"/>
    </xf>
    <xf numFmtId="0" fontId="65" fillId="0" borderId="6" xfId="0" applyFont="1" applyFill="1" applyBorder="1"/>
    <xf numFmtId="0" fontId="0" fillId="0" borderId="6" xfId="0" applyFill="1" applyBorder="1"/>
    <xf numFmtId="172" fontId="66" fillId="0" borderId="0" xfId="24" applyNumberFormat="1" applyFont="1" applyFill="1"/>
    <xf numFmtId="172" fontId="32" fillId="0" borderId="0" xfId="24" applyNumberFormat="1" applyFont="1" applyFill="1" applyAlignment="1">
      <alignment horizontal="right"/>
    </xf>
    <xf numFmtId="9" fontId="32" fillId="0" borderId="4" xfId="3" applyFont="1" applyFill="1" applyBorder="1"/>
    <xf numFmtId="175" fontId="32" fillId="0" borderId="13" xfId="25" applyNumberFormat="1" applyFont="1" applyFill="1" applyBorder="1"/>
    <xf numFmtId="175" fontId="39" fillId="0" borderId="11" xfId="25" applyNumberFormat="1" applyFont="1" applyFill="1" applyBorder="1" applyAlignment="1">
      <alignment horizontal="right"/>
    </xf>
    <xf numFmtId="37" fontId="39" fillId="0" borderId="12" xfId="7" applyNumberFormat="1" applyFont="1" applyFill="1" applyBorder="1" applyAlignment="1">
      <alignment horizontal="right"/>
    </xf>
    <xf numFmtId="175" fontId="39" fillId="0" borderId="14" xfId="25" applyNumberFormat="1" applyFont="1" applyFill="1" applyBorder="1" applyAlignment="1">
      <alignment horizontal="right"/>
    </xf>
    <xf numFmtId="175" fontId="39" fillId="0" borderId="4" xfId="25" applyNumberFormat="1" applyFont="1" applyFill="1" applyBorder="1" applyAlignment="1">
      <alignment horizontal="right"/>
    </xf>
    <xf numFmtId="0" fontId="2" fillId="0" borderId="5" xfId="0" applyFont="1" applyFill="1" applyBorder="1"/>
    <xf numFmtId="43" fontId="0" fillId="0" borderId="17" xfId="1" applyFont="1" applyFill="1" applyBorder="1"/>
    <xf numFmtId="37" fontId="39" fillId="0" borderId="16" xfId="7" applyNumberFormat="1" applyFont="1" applyFill="1" applyBorder="1"/>
    <xf numFmtId="37" fontId="39" fillId="0" borderId="0" xfId="7" applyNumberFormat="1" applyFont="1" applyFill="1" applyBorder="1"/>
    <xf numFmtId="175" fontId="39" fillId="0" borderId="0" xfId="25" applyNumberFormat="1" applyFont="1" applyFill="1" applyBorder="1" applyAlignment="1">
      <alignment horizontal="right"/>
    </xf>
    <xf numFmtId="43" fontId="0" fillId="0" borderId="0" xfId="0" applyNumberFormat="1" applyFill="1"/>
    <xf numFmtId="171" fontId="39" fillId="0" borderId="14" xfId="7" applyNumberFormat="1" applyFont="1" applyFill="1" applyBorder="1" applyAlignment="1">
      <alignment horizontal="right"/>
    </xf>
    <xf numFmtId="171" fontId="39" fillId="0" borderId="0" xfId="7" applyNumberFormat="1" applyFont="1" applyFill="1" applyBorder="1" applyAlignment="1">
      <alignment horizontal="right"/>
    </xf>
    <xf numFmtId="186" fontId="0" fillId="0" borderId="0" xfId="0" applyNumberFormat="1" applyFill="1"/>
    <xf numFmtId="171" fontId="39" fillId="0" borderId="16" xfId="25" applyNumberFormat="1" applyFont="1" applyFill="1" applyBorder="1" applyAlignment="1">
      <alignment horizontal="right"/>
    </xf>
    <xf numFmtId="171" fontId="39" fillId="0" borderId="0" xfId="25" applyNumberFormat="1" applyFont="1" applyFill="1" applyBorder="1" applyAlignment="1">
      <alignment horizontal="right"/>
    </xf>
    <xf numFmtId="0" fontId="25" fillId="0" borderId="9" xfId="0" applyFont="1" applyFill="1" applyBorder="1" applyAlignment="1">
      <alignment vertical="center" wrapText="1"/>
    </xf>
    <xf numFmtId="0" fontId="25" fillId="0" borderId="9" xfId="0" applyFont="1" applyFill="1" applyBorder="1" applyAlignment="1">
      <alignment horizontal="center" vertical="center" wrapText="1"/>
    </xf>
    <xf numFmtId="0" fontId="25" fillId="0" borderId="0" xfId="0" applyFont="1" applyFill="1" applyAlignment="1">
      <alignment vertical="center" wrapText="1"/>
    </xf>
    <xf numFmtId="37" fontId="25" fillId="0" borderId="0" xfId="0" applyNumberFormat="1" applyFont="1" applyFill="1" applyAlignment="1">
      <alignment horizontal="right" vertical="center" wrapText="1"/>
    </xf>
    <xf numFmtId="0" fontId="25" fillId="0" borderId="0" xfId="0" applyFont="1" applyFill="1" applyAlignment="1">
      <alignment horizontal="right" vertical="center" wrapText="1"/>
    </xf>
    <xf numFmtId="167" fontId="39" fillId="0" borderId="14" xfId="25" applyNumberFormat="1" applyFont="1" applyFill="1" applyBorder="1"/>
    <xf numFmtId="175" fontId="39" fillId="0" borderId="14" xfId="25" applyNumberFormat="1" applyFont="1" applyFill="1" applyBorder="1"/>
    <xf numFmtId="175" fontId="39" fillId="0" borderId="0" xfId="25" applyNumberFormat="1" applyFont="1" applyFill="1" applyBorder="1"/>
    <xf numFmtId="0" fontId="24" fillId="0" borderId="0" xfId="0" applyFont="1" applyFill="1" applyAlignment="1">
      <alignment vertical="center" wrapText="1"/>
    </xf>
    <xf numFmtId="0" fontId="24" fillId="0" borderId="0" xfId="0" applyFont="1" applyFill="1" applyAlignment="1">
      <alignment horizontal="right" vertical="center" wrapText="1"/>
    </xf>
    <xf numFmtId="0" fontId="25" fillId="0" borderId="0" xfId="0" applyFont="1" applyFill="1"/>
    <xf numFmtId="37" fontId="24" fillId="0" borderId="0" xfId="0" applyNumberFormat="1" applyFont="1" applyFill="1" applyAlignment="1">
      <alignment horizontal="right" vertical="center" wrapText="1"/>
    </xf>
    <xf numFmtId="167" fontId="32" fillId="0" borderId="0" xfId="25" applyNumberFormat="1" applyFont="1" applyFill="1"/>
    <xf numFmtId="37" fontId="32" fillId="0" borderId="14" xfId="7" applyNumberFormat="1" applyFont="1" applyFill="1" applyBorder="1" applyAlignment="1">
      <alignment horizontal="right"/>
    </xf>
    <xf numFmtId="37" fontId="32" fillId="0" borderId="0" xfId="7" applyNumberFormat="1" applyFont="1" applyFill="1" applyBorder="1" applyAlignment="1">
      <alignment horizontal="right"/>
    </xf>
    <xf numFmtId="171" fontId="25" fillId="0" borderId="0" xfId="1" applyNumberFormat="1" applyFont="1" applyFill="1" applyAlignment="1">
      <alignment horizontal="right" vertical="center" wrapText="1"/>
    </xf>
    <xf numFmtId="0" fontId="67" fillId="0" borderId="0" xfId="24" applyNumberFormat="1" applyFont="1" applyFill="1" applyAlignment="1">
      <alignment vertical="top"/>
    </xf>
    <xf numFmtId="172" fontId="39" fillId="0" borderId="0" xfId="24" applyNumberFormat="1" applyFont="1" applyFill="1" applyAlignment="1">
      <alignment horizontal="left"/>
    </xf>
    <xf numFmtId="171" fontId="24" fillId="0" borderId="0" xfId="1" applyNumberFormat="1" applyFont="1" applyFill="1" applyAlignment="1">
      <alignment horizontal="right" vertical="center" wrapText="1"/>
    </xf>
    <xf numFmtId="37" fontId="0" fillId="0" borderId="0" xfId="0" applyNumberFormat="1" applyFill="1"/>
    <xf numFmtId="37" fontId="32" fillId="0" borderId="13" xfId="7" applyNumberFormat="1" applyFont="1" applyFill="1" applyBorder="1" applyAlignment="1">
      <alignment horizontal="right"/>
    </xf>
    <xf numFmtId="175" fontId="68" fillId="0" borderId="11" xfId="25" applyNumberFormat="1" applyFont="1" applyFill="1" applyBorder="1" applyAlignment="1">
      <alignment horizontal="right"/>
    </xf>
    <xf numFmtId="37" fontId="32" fillId="0" borderId="14" xfId="7" applyNumberFormat="1" applyFont="1" applyFill="1" applyBorder="1"/>
    <xf numFmtId="37" fontId="32" fillId="0" borderId="0" xfId="7" applyNumberFormat="1" applyFont="1" applyFill="1" applyBorder="1"/>
    <xf numFmtId="167" fontId="39" fillId="0" borderId="0" xfId="25" applyNumberFormat="1" applyFont="1" applyFill="1" applyAlignment="1">
      <alignment horizontal="right"/>
    </xf>
    <xf numFmtId="167" fontId="32" fillId="0" borderId="14" xfId="7" applyFont="1" applyFill="1" applyBorder="1" applyAlignment="1">
      <alignment horizontal="right"/>
    </xf>
    <xf numFmtId="167" fontId="32" fillId="0" borderId="0" xfId="7" applyFont="1" applyFill="1" applyBorder="1" applyAlignment="1">
      <alignment horizontal="right"/>
    </xf>
    <xf numFmtId="167" fontId="39" fillId="0" borderId="0" xfId="25" applyNumberFormat="1" applyFont="1" applyFill="1"/>
    <xf numFmtId="37" fontId="39" fillId="0" borderId="6" xfId="7" applyNumberFormat="1" applyFont="1" applyFill="1" applyBorder="1" applyAlignment="1">
      <alignment horizontal="right"/>
    </xf>
    <xf numFmtId="172" fontId="32" fillId="0" borderId="5" xfId="24" applyNumberFormat="1" applyFont="1" applyFill="1" applyBorder="1"/>
    <xf numFmtId="172" fontId="32" fillId="0" borderId="1" xfId="24" applyNumberFormat="1" applyFont="1" applyFill="1" applyBorder="1"/>
    <xf numFmtId="175" fontId="32" fillId="0" borderId="17" xfId="25" applyNumberFormat="1" applyFont="1" applyFill="1" applyBorder="1"/>
    <xf numFmtId="37" fontId="32" fillId="0" borderId="10" xfId="7" applyNumberFormat="1" applyFont="1" applyFill="1" applyBorder="1" applyAlignment="1">
      <alignment horizontal="right"/>
    </xf>
    <xf numFmtId="37" fontId="32" fillId="0" borderId="11" xfId="7" applyNumberFormat="1" applyFont="1" applyFill="1" applyBorder="1" applyAlignment="1">
      <alignment horizontal="right"/>
    </xf>
    <xf numFmtId="37" fontId="32" fillId="0" borderId="0" xfId="7" applyNumberFormat="1" applyFont="1" applyFill="1"/>
    <xf numFmtId="0" fontId="2" fillId="0" borderId="6" xfId="0" applyFont="1" applyFill="1" applyBorder="1"/>
    <xf numFmtId="43" fontId="0" fillId="0" borderId="6" xfId="0" applyNumberFormat="1" applyFill="1" applyBorder="1"/>
    <xf numFmtId="43" fontId="2" fillId="0" borderId="6" xfId="1" applyFont="1" applyFill="1" applyBorder="1"/>
    <xf numFmtId="43" fontId="2" fillId="0" borderId="6" xfId="0" applyNumberFormat="1" applyFont="1" applyFill="1" applyBorder="1"/>
    <xf numFmtId="37" fontId="32" fillId="0" borderId="0" xfId="7" applyNumberFormat="1" applyFont="1" applyFill="1" applyAlignment="1">
      <alignment horizontal="right"/>
    </xf>
    <xf numFmtId="172" fontId="69" fillId="0" borderId="0" xfId="24" applyNumberFormat="1" applyFont="1" applyFill="1"/>
    <xf numFmtId="9" fontId="39" fillId="0" borderId="0" xfId="2" applyFont="1" applyFill="1"/>
    <xf numFmtId="9" fontId="32" fillId="0" borderId="0" xfId="2" applyFont="1" applyFill="1"/>
    <xf numFmtId="175" fontId="39" fillId="0" borderId="0" xfId="26" applyNumberFormat="1" applyFont="1" applyFill="1"/>
    <xf numFmtId="187" fontId="32" fillId="0" borderId="0" xfId="27" applyFont="1" applyFill="1"/>
    <xf numFmtId="187" fontId="33" fillId="0" borderId="0" xfId="28" applyFont="1" applyFill="1"/>
    <xf numFmtId="188" fontId="37" fillId="0" borderId="3" xfId="29" applyNumberFormat="1" applyFont="1" applyFill="1" applyBorder="1"/>
    <xf numFmtId="188" fontId="37" fillId="0" borderId="2" xfId="29" applyNumberFormat="1" applyFont="1" applyFill="1" applyBorder="1"/>
    <xf numFmtId="188" fontId="33" fillId="0" borderId="10" xfId="29" applyNumberFormat="1" applyFont="1" applyFill="1" applyBorder="1"/>
    <xf numFmtId="188" fontId="33" fillId="0" borderId="4" xfId="29" applyNumberFormat="1" applyFont="1" applyFill="1" applyBorder="1"/>
    <xf numFmtId="188" fontId="33" fillId="0" borderId="0" xfId="29" applyNumberFormat="1" applyFont="1" applyFill="1"/>
    <xf numFmtId="188" fontId="33" fillId="0" borderId="11" xfId="29" applyNumberFormat="1" applyFont="1" applyFill="1" applyBorder="1"/>
    <xf numFmtId="175" fontId="33" fillId="0" borderId="0" xfId="29" applyNumberFormat="1" applyFont="1" applyFill="1" applyAlignment="1">
      <alignment horizontal="right"/>
    </xf>
    <xf numFmtId="188" fontId="33" fillId="0" borderId="5" xfId="29" applyNumberFormat="1" applyFont="1" applyFill="1" applyBorder="1"/>
    <xf numFmtId="188" fontId="33" fillId="0" borderId="1" xfId="29" applyNumberFormat="1" applyFont="1" applyFill="1" applyBorder="1"/>
    <xf numFmtId="171" fontId="39" fillId="0" borderId="0" xfId="24" applyFont="1" applyFill="1"/>
    <xf numFmtId="188" fontId="37" fillId="0" borderId="11" xfId="29" applyNumberFormat="1" applyFont="1" applyFill="1" applyBorder="1"/>
    <xf numFmtId="187" fontId="33" fillId="0" borderId="5" xfId="28" applyFont="1" applyFill="1" applyBorder="1"/>
    <xf numFmtId="187" fontId="33" fillId="0" borderId="1" xfId="28" applyFont="1" applyFill="1" applyBorder="1"/>
    <xf numFmtId="187" fontId="33" fillId="0" borderId="17" xfId="28" applyFont="1" applyFill="1" applyBorder="1"/>
    <xf numFmtId="172" fontId="39" fillId="0" borderId="12" xfId="24" applyNumberFormat="1" applyFont="1" applyFill="1" applyBorder="1"/>
    <xf numFmtId="172" fontId="32" fillId="0" borderId="12" xfId="24" applyNumberFormat="1" applyFont="1" applyFill="1" applyBorder="1"/>
    <xf numFmtId="172" fontId="39" fillId="0" borderId="6" xfId="24" applyNumberFormat="1" applyFont="1" applyFill="1" applyBorder="1"/>
    <xf numFmtId="171" fontId="32" fillId="0" borderId="0" xfId="24" applyFont="1" applyFill="1"/>
    <xf numFmtId="172" fontId="32" fillId="0" borderId="3" xfId="24" applyNumberFormat="1" applyFont="1" applyFill="1" applyBorder="1"/>
    <xf numFmtId="172" fontId="32" fillId="0" borderId="10" xfId="24" applyNumberFormat="1" applyFont="1" applyFill="1" applyBorder="1"/>
    <xf numFmtId="172" fontId="32" fillId="0" borderId="21" xfId="24" applyNumberFormat="1" applyFont="1" applyFill="1" applyBorder="1"/>
    <xf numFmtId="172" fontId="32" fillId="0" borderId="6" xfId="24" applyNumberFormat="1" applyFont="1" applyFill="1" applyBorder="1"/>
    <xf numFmtId="171" fontId="32" fillId="0" borderId="5" xfId="7" applyNumberFormat="1" applyFont="1" applyFill="1" applyBorder="1"/>
    <xf numFmtId="172" fontId="32" fillId="0" borderId="17" xfId="24" applyNumberFormat="1" applyFont="1" applyFill="1" applyBorder="1"/>
    <xf numFmtId="171" fontId="32" fillId="0" borderId="21" xfId="7" applyNumberFormat="1" applyFont="1" applyFill="1" applyBorder="1"/>
    <xf numFmtId="171" fontId="32" fillId="0" borderId="6" xfId="7" applyNumberFormat="1" applyFont="1" applyFill="1" applyBorder="1"/>
    <xf numFmtId="0" fontId="55" fillId="7" borderId="52" xfId="0" applyFont="1" applyFill="1" applyBorder="1"/>
    <xf numFmtId="14" fontId="54" fillId="7" borderId="53" xfId="0" applyNumberFormat="1" applyFont="1" applyFill="1" applyBorder="1" applyAlignment="1" applyProtection="1">
      <alignment horizontal="center" vertical="center"/>
      <protection hidden="1"/>
    </xf>
    <xf numFmtId="14" fontId="54" fillId="7" borderId="50" xfId="0" applyNumberFormat="1" applyFont="1" applyFill="1" applyBorder="1" applyAlignment="1" applyProtection="1">
      <alignment horizontal="center"/>
      <protection hidden="1"/>
    </xf>
    <xf numFmtId="14" fontId="54" fillId="7" borderId="41" xfId="0" applyNumberFormat="1" applyFont="1" applyFill="1" applyBorder="1" applyAlignment="1" applyProtection="1">
      <alignment vertical="center"/>
      <protection hidden="1"/>
    </xf>
    <xf numFmtId="0" fontId="54" fillId="7" borderId="41" xfId="0" applyFont="1" applyFill="1" applyBorder="1" applyAlignment="1" applyProtection="1">
      <alignment horizontal="center" vertical="center" wrapText="1"/>
      <protection hidden="1"/>
    </xf>
    <xf numFmtId="0" fontId="54" fillId="7" borderId="51" xfId="0" applyFont="1" applyFill="1" applyBorder="1" applyAlignment="1" applyProtection="1">
      <alignment horizontal="center" vertical="center" wrapText="1"/>
      <protection hidden="1"/>
    </xf>
    <xf numFmtId="0" fontId="54" fillId="7" borderId="58" xfId="0" applyFont="1" applyFill="1" applyBorder="1" applyAlignment="1" applyProtection="1">
      <alignment horizontal="center" vertical="center" wrapText="1"/>
      <protection hidden="1"/>
    </xf>
    <xf numFmtId="14" fontId="54" fillId="7" borderId="41" xfId="0" applyNumberFormat="1" applyFont="1" applyFill="1" applyBorder="1" applyAlignment="1" applyProtection="1">
      <alignment horizontal="center" vertical="center"/>
      <protection hidden="1"/>
    </xf>
    <xf numFmtId="0" fontId="54" fillId="7" borderId="40" xfId="0" applyFont="1" applyFill="1" applyBorder="1" applyAlignment="1" applyProtection="1">
      <alignment horizontal="center" vertical="center" wrapText="1"/>
      <protection hidden="1"/>
    </xf>
    <xf numFmtId="0" fontId="54" fillId="7" borderId="59" xfId="0" applyFont="1" applyFill="1" applyBorder="1" applyAlignment="1" applyProtection="1">
      <alignment horizontal="center" vertical="center" wrapText="1"/>
      <protection hidden="1"/>
    </xf>
    <xf numFmtId="0" fontId="71" fillId="7" borderId="50" xfId="38" applyFont="1" applyFill="1" applyBorder="1" applyAlignment="1" applyProtection="1">
      <alignment horizontal="left" vertical="center" wrapText="1"/>
      <protection hidden="1"/>
    </xf>
    <xf numFmtId="175" fontId="0" fillId="0" borderId="17" xfId="7" applyNumberFormat="1" applyFont="1" applyFill="1" applyBorder="1" applyProtection="1">
      <protection hidden="1"/>
    </xf>
    <xf numFmtId="175" fontId="0" fillId="0" borderId="13" xfId="7" applyNumberFormat="1" applyFont="1" applyFill="1" applyBorder="1" applyProtection="1">
      <protection hidden="1"/>
    </xf>
    <xf numFmtId="175" fontId="0" fillId="0" borderId="60" xfId="7" applyNumberFormat="1" applyFont="1" applyFill="1" applyBorder="1" applyProtection="1">
      <protection hidden="1"/>
    </xf>
    <xf numFmtId="0" fontId="71" fillId="7" borderId="46" xfId="38" applyFont="1" applyFill="1" applyBorder="1" applyAlignment="1" applyProtection="1">
      <alignment horizontal="left" vertical="center" wrapText="1"/>
      <protection hidden="1"/>
    </xf>
    <xf numFmtId="175" fontId="0" fillId="0" borderId="6" xfId="7" applyNumberFormat="1" applyFont="1" applyFill="1" applyBorder="1" applyProtection="1">
      <protection hidden="1"/>
    </xf>
    <xf numFmtId="175" fontId="0" fillId="0" borderId="37" xfId="7" applyNumberFormat="1" applyFont="1" applyFill="1" applyBorder="1" applyProtection="1">
      <protection hidden="1"/>
    </xf>
    <xf numFmtId="0" fontId="71" fillId="7" borderId="49" xfId="38" applyFont="1" applyFill="1" applyBorder="1" applyAlignment="1" applyProtection="1">
      <alignment horizontal="left" vertical="center" wrapText="1"/>
      <protection hidden="1"/>
    </xf>
    <xf numFmtId="175" fontId="0" fillId="0" borderId="12" xfId="7" applyNumberFormat="1" applyFont="1" applyFill="1" applyBorder="1" applyProtection="1">
      <protection hidden="1"/>
    </xf>
    <xf numFmtId="175" fontId="0" fillId="0" borderId="61" xfId="7" applyNumberFormat="1" applyFont="1" applyFill="1" applyBorder="1" applyProtection="1">
      <protection hidden="1"/>
    </xf>
    <xf numFmtId="0" fontId="50" fillId="7" borderId="8" xfId="0" applyFont="1" applyFill="1" applyBorder="1" applyAlignment="1" applyProtection="1">
      <alignment horizontal="center"/>
      <protection hidden="1"/>
    </xf>
    <xf numFmtId="175" fontId="54" fillId="7" borderId="27" xfId="7" applyNumberFormat="1" applyFont="1" applyFill="1" applyBorder="1" applyProtection="1">
      <protection hidden="1"/>
    </xf>
    <xf numFmtId="175" fontId="54" fillId="7" borderId="28" xfId="7" applyNumberFormat="1" applyFont="1" applyFill="1" applyBorder="1" applyProtection="1">
      <protection hidden="1"/>
    </xf>
    <xf numFmtId="0" fontId="0" fillId="0" borderId="47" xfId="0" applyBorder="1"/>
    <xf numFmtId="0" fontId="0" fillId="0" borderId="62" xfId="0" applyBorder="1"/>
    <xf numFmtId="0" fontId="19" fillId="7" borderId="44" xfId="0" applyFont="1" applyFill="1" applyBorder="1"/>
    <xf numFmtId="0" fontId="0" fillId="0" borderId="54" xfId="0" applyBorder="1"/>
    <xf numFmtId="0" fontId="0" fillId="0" borderId="55" xfId="0" applyBorder="1"/>
    <xf numFmtId="0" fontId="2" fillId="7" borderId="45" xfId="0" applyFont="1" applyFill="1" applyBorder="1"/>
    <xf numFmtId="175" fontId="0" fillId="0" borderId="10" xfId="7" applyNumberFormat="1" applyFont="1" applyBorder="1"/>
    <xf numFmtId="175" fontId="0" fillId="0" borderId="6" xfId="7" applyNumberFormat="1" applyFont="1" applyFill="1" applyBorder="1"/>
    <xf numFmtId="175" fontId="0" fillId="0" borderId="6" xfId="7" applyNumberFormat="1" applyFont="1" applyBorder="1"/>
    <xf numFmtId="175" fontId="0" fillId="0" borderId="37" xfId="7" applyNumberFormat="1" applyFont="1" applyBorder="1"/>
    <xf numFmtId="0" fontId="2" fillId="7" borderId="48" xfId="0" applyFont="1" applyFill="1" applyBorder="1"/>
    <xf numFmtId="175" fontId="0" fillId="0" borderId="12" xfId="7" applyNumberFormat="1" applyFont="1" applyBorder="1"/>
    <xf numFmtId="0" fontId="50" fillId="7" borderId="44" xfId="0" applyFont="1" applyFill="1" applyBorder="1" applyAlignment="1" applyProtection="1">
      <alignment horizontal="center"/>
      <protection hidden="1"/>
    </xf>
    <xf numFmtId="175" fontId="54" fillId="7" borderId="29" xfId="7" applyNumberFormat="1" applyFont="1" applyFill="1" applyBorder="1" applyProtection="1">
      <protection hidden="1"/>
    </xf>
    <xf numFmtId="0" fontId="0" fillId="0" borderId="63" xfId="0" applyBorder="1"/>
    <xf numFmtId="0" fontId="19" fillId="0" borderId="0" xfId="0" applyFont="1"/>
    <xf numFmtId="0" fontId="71" fillId="0" borderId="6" xfId="38" applyFont="1" applyFill="1" applyBorder="1" applyAlignment="1" applyProtection="1">
      <alignment horizontal="left" vertical="center" wrapText="1"/>
      <protection hidden="1"/>
    </xf>
    <xf numFmtId="175" fontId="0" fillId="0" borderId="13" xfId="7" applyNumberFormat="1" applyFont="1" applyBorder="1" applyProtection="1">
      <protection hidden="1"/>
    </xf>
    <xf numFmtId="175" fontId="0" fillId="0" borderId="60" xfId="7" applyNumberFormat="1" applyFont="1" applyBorder="1" applyProtection="1">
      <protection hidden="1"/>
    </xf>
    <xf numFmtId="175" fontId="0" fillId="0" borderId="6" xfId="7" applyNumberFormat="1" applyFont="1" applyBorder="1" applyProtection="1">
      <protection hidden="1"/>
    </xf>
    <xf numFmtId="175" fontId="0" fillId="0" borderId="37" xfId="7" applyNumberFormat="1" applyFont="1" applyBorder="1" applyProtection="1">
      <protection hidden="1"/>
    </xf>
    <xf numFmtId="175" fontId="0" fillId="0" borderId="12" xfId="7" applyNumberFormat="1" applyFont="1" applyBorder="1" applyProtection="1">
      <protection hidden="1"/>
    </xf>
    <xf numFmtId="175" fontId="0" fillId="0" borderId="61" xfId="7" applyNumberFormat="1" applyFont="1" applyBorder="1" applyProtection="1">
      <protection hidden="1"/>
    </xf>
    <xf numFmtId="0" fontId="0" fillId="0" borderId="0" xfId="0" applyFill="1" applyBorder="1"/>
    <xf numFmtId="9" fontId="11" fillId="0" borderId="6" xfId="3" applyFont="1" applyFill="1" applyBorder="1" applyAlignment="1"/>
    <xf numFmtId="9" fontId="10" fillId="0" borderId="6" xfId="3" applyFont="1" applyFill="1" applyBorder="1" applyAlignment="1">
      <alignment vertical="center" wrapText="1"/>
    </xf>
    <xf numFmtId="171" fontId="10" fillId="0" borderId="6" xfId="1" applyNumberFormat="1" applyFont="1" applyFill="1" applyBorder="1" applyAlignment="1">
      <alignment horizontal="right" vertical="center"/>
    </xf>
    <xf numFmtId="0" fontId="82" fillId="0" borderId="0" xfId="9" applyFont="1" applyAlignment="1">
      <alignment horizontal="center"/>
    </xf>
    <xf numFmtId="0" fontId="82" fillId="0" borderId="0" xfId="9" applyFont="1"/>
    <xf numFmtId="0" fontId="83" fillId="0" borderId="0" xfId="9" applyFont="1"/>
    <xf numFmtId="0" fontId="82" fillId="2" borderId="0" xfId="9" applyFont="1" applyFill="1"/>
    <xf numFmtId="0" fontId="83" fillId="2" borderId="0" xfId="9" applyFont="1" applyFill="1"/>
    <xf numFmtId="0" fontId="82" fillId="0" borderId="6" xfId="9" applyFont="1" applyBorder="1" applyAlignment="1">
      <alignment horizontal="center"/>
    </xf>
    <xf numFmtId="0" fontId="82" fillId="0" borderId="6" xfId="9" applyFont="1" applyBorder="1"/>
    <xf numFmtId="0" fontId="82" fillId="0" borderId="21" xfId="9" applyFont="1" applyBorder="1" applyAlignment="1">
      <alignment horizontal="center"/>
    </xf>
    <xf numFmtId="15" fontId="84" fillId="8" borderId="6" xfId="9" applyNumberFormat="1" applyFont="1" applyFill="1" applyBorder="1" applyAlignment="1">
      <alignment horizontal="center"/>
    </xf>
    <xf numFmtId="0" fontId="82" fillId="0" borderId="14" xfId="9" applyFont="1" applyBorder="1" applyAlignment="1">
      <alignment horizontal="center" vertical="center"/>
    </xf>
    <xf numFmtId="0" fontId="83" fillId="0" borderId="14" xfId="9" applyFont="1" applyBorder="1"/>
    <xf numFmtId="167" fontId="83" fillId="0" borderId="14" xfId="26" applyFont="1" applyBorder="1" applyAlignment="1"/>
    <xf numFmtId="167" fontId="83" fillId="0" borderId="11" xfId="26" applyFont="1" applyBorder="1" applyAlignment="1"/>
    <xf numFmtId="0" fontId="82" fillId="0" borderId="14" xfId="9" applyFont="1" applyBorder="1" applyAlignment="1">
      <alignment vertical="center" wrapText="1"/>
    </xf>
    <xf numFmtId="0" fontId="82" fillId="0" borderId="14" xfId="9" applyFont="1" applyBorder="1" applyAlignment="1">
      <alignment vertical="top" wrapText="1"/>
    </xf>
    <xf numFmtId="175" fontId="82" fillId="0" borderId="14" xfId="26" applyNumberFormat="1" applyFont="1" applyFill="1" applyBorder="1" applyAlignment="1">
      <alignment vertical="top" wrapText="1"/>
    </xf>
    <xf numFmtId="175" fontId="83" fillId="0" borderId="11" xfId="26" applyNumberFormat="1" applyFont="1" applyFill="1" applyBorder="1" applyAlignment="1">
      <alignment vertical="top" wrapText="1"/>
    </xf>
    <xf numFmtId="167" fontId="83" fillId="0" borderId="14" xfId="26" applyFont="1" applyBorder="1" applyAlignment="1">
      <alignment vertical="top" wrapText="1"/>
    </xf>
    <xf numFmtId="0" fontId="83" fillId="0" borderId="14" xfId="9" applyFont="1" applyBorder="1" applyAlignment="1">
      <alignment vertical="center"/>
    </xf>
    <xf numFmtId="0" fontId="83" fillId="0" borderId="14" xfId="9" applyFont="1" applyBorder="1" applyAlignment="1">
      <alignment vertical="top" wrapText="1"/>
    </xf>
    <xf numFmtId="171" fontId="83" fillId="0" borderId="14" xfId="1" applyNumberFormat="1" applyFont="1" applyFill="1" applyBorder="1" applyAlignment="1">
      <alignment vertical="top" wrapText="1"/>
    </xf>
    <xf numFmtId="171" fontId="83" fillId="0" borderId="11" xfId="1" applyNumberFormat="1" applyFont="1" applyFill="1" applyBorder="1" applyAlignment="1">
      <alignment vertical="top" wrapText="1"/>
    </xf>
    <xf numFmtId="175" fontId="83" fillId="0" borderId="14" xfId="26" applyNumberFormat="1" applyFont="1" applyFill="1" applyBorder="1" applyAlignment="1">
      <alignment vertical="top" wrapText="1"/>
    </xf>
    <xf numFmtId="175" fontId="83" fillId="0" borderId="14" xfId="26" applyNumberFormat="1" applyFont="1" applyBorder="1" applyAlignment="1">
      <alignment vertical="top"/>
    </xf>
    <xf numFmtId="175" fontId="83" fillId="0" borderId="14" xfId="26" applyNumberFormat="1" applyFont="1" applyBorder="1" applyAlignment="1">
      <alignment vertical="top" wrapText="1"/>
    </xf>
    <xf numFmtId="0" fontId="83" fillId="0" borderId="14" xfId="9" applyFont="1" applyBorder="1" applyAlignment="1">
      <alignment vertical="center" wrapText="1"/>
    </xf>
    <xf numFmtId="175" fontId="83" fillId="0" borderId="11" xfId="26" applyNumberFormat="1" applyFont="1" applyBorder="1" applyAlignment="1">
      <alignment vertical="top"/>
    </xf>
    <xf numFmtId="0" fontId="83" fillId="0" borderId="14" xfId="9" applyFont="1" applyBorder="1" applyAlignment="1">
      <alignment vertical="top"/>
    </xf>
    <xf numFmtId="175" fontId="82" fillId="0" borderId="14" xfId="26" applyNumberFormat="1" applyFont="1" applyBorder="1" applyAlignment="1">
      <alignment vertical="top" wrapText="1"/>
    </xf>
    <xf numFmtId="175" fontId="83" fillId="0" borderId="11" xfId="26" applyNumberFormat="1" applyFont="1" applyBorder="1" applyAlignment="1">
      <alignment vertical="top" wrapText="1"/>
    </xf>
    <xf numFmtId="0" fontId="83" fillId="0" borderId="14" xfId="9" quotePrefix="1" applyFont="1" applyBorder="1" applyAlignment="1">
      <alignment vertical="top"/>
    </xf>
    <xf numFmtId="0" fontId="83" fillId="0" borderId="0" xfId="9" applyFont="1" applyAlignment="1">
      <alignment vertical="top"/>
    </xf>
    <xf numFmtId="167" fontId="83" fillId="0" borderId="14" xfId="26" applyFont="1" applyFill="1" applyBorder="1" applyAlignment="1">
      <alignment vertical="top" wrapText="1"/>
    </xf>
    <xf numFmtId="0" fontId="82" fillId="0" borderId="13" xfId="9" applyFont="1" applyBorder="1" applyAlignment="1">
      <alignment horizontal="center" vertical="center"/>
    </xf>
    <xf numFmtId="0" fontId="82" fillId="0" borderId="13" xfId="9" applyFont="1" applyBorder="1" applyAlignment="1">
      <alignment vertical="center" wrapText="1"/>
    </xf>
    <xf numFmtId="0" fontId="82" fillId="0" borderId="13" xfId="9" applyFont="1" applyBorder="1" applyAlignment="1">
      <alignment vertical="top" wrapText="1"/>
    </xf>
    <xf numFmtId="175" fontId="82" fillId="0" borderId="13" xfId="26" applyNumberFormat="1" applyFont="1" applyBorder="1" applyAlignment="1">
      <alignment vertical="top" wrapText="1"/>
    </xf>
    <xf numFmtId="175" fontId="83" fillId="0" borderId="17" xfId="26" applyNumberFormat="1" applyFont="1" applyBorder="1" applyAlignment="1">
      <alignment vertical="top"/>
    </xf>
    <xf numFmtId="175" fontId="83" fillId="0" borderId="13" xfId="26" applyNumberFormat="1" applyFont="1" applyBorder="1" applyAlignment="1">
      <alignment vertical="top"/>
    </xf>
    <xf numFmtId="0" fontId="83" fillId="0" borderId="13" xfId="9" applyFont="1" applyBorder="1" applyAlignment="1">
      <alignment vertical="top"/>
    </xf>
    <xf numFmtId="0" fontId="82" fillId="0" borderId="12" xfId="9" applyFont="1" applyBorder="1" applyAlignment="1">
      <alignment horizontal="center" vertical="center"/>
    </xf>
    <xf numFmtId="0" fontId="82" fillId="0" borderId="12" xfId="9" applyFont="1" applyBorder="1" applyAlignment="1">
      <alignment vertical="center" wrapText="1"/>
    </xf>
    <xf numFmtId="0" fontId="83" fillId="0" borderId="12" xfId="9" applyFont="1" applyBorder="1" applyAlignment="1">
      <alignment vertical="top" wrapText="1"/>
    </xf>
    <xf numFmtId="175" fontId="83" fillId="0" borderId="12" xfId="26" applyNumberFormat="1" applyFont="1" applyBorder="1" applyAlignment="1">
      <alignment vertical="top" wrapText="1"/>
    </xf>
    <xf numFmtId="175" fontId="83" fillId="0" borderId="10" xfId="26" applyNumberFormat="1" applyFont="1" applyBorder="1" applyAlignment="1">
      <alignment vertical="top"/>
    </xf>
    <xf numFmtId="175" fontId="83" fillId="0" borderId="12" xfId="26" applyNumberFormat="1" applyFont="1" applyBorder="1" applyAlignment="1">
      <alignment vertical="top"/>
    </xf>
    <xf numFmtId="0" fontId="83" fillId="0" borderId="12" xfId="9" applyFont="1" applyBorder="1" applyAlignment="1">
      <alignment vertical="top"/>
    </xf>
    <xf numFmtId="0" fontId="82" fillId="0" borderId="0" xfId="9" applyFont="1" applyAlignment="1">
      <alignment vertical="top"/>
    </xf>
    <xf numFmtId="175" fontId="82" fillId="0" borderId="0" xfId="26" applyNumberFormat="1" applyFont="1" applyAlignment="1">
      <alignment vertical="top"/>
    </xf>
    <xf numFmtId="0" fontId="83" fillId="0" borderId="0" xfId="15" applyFont="1" applyAlignment="1">
      <alignment wrapText="1"/>
    </xf>
    <xf numFmtId="0" fontId="82" fillId="0" borderId="0" xfId="9" applyFont="1" applyAlignment="1">
      <alignment vertical="top" wrapText="1"/>
    </xf>
    <xf numFmtId="0" fontId="82" fillId="0" borderId="13" xfId="9" applyFont="1" applyBorder="1" applyAlignment="1">
      <alignment horizontal="center"/>
    </xf>
    <xf numFmtId="0" fontId="83" fillId="0" borderId="13" xfId="9" applyFont="1" applyBorder="1" applyAlignment="1">
      <alignment vertical="top" wrapText="1"/>
    </xf>
    <xf numFmtId="167" fontId="83" fillId="0" borderId="13" xfId="26" applyFont="1" applyBorder="1" applyAlignment="1">
      <alignment vertical="top" wrapText="1"/>
    </xf>
    <xf numFmtId="0" fontId="83" fillId="0" borderId="17" xfId="9" applyFont="1" applyBorder="1"/>
    <xf numFmtId="0" fontId="83" fillId="0" borderId="13" xfId="9" applyFont="1" applyBorder="1"/>
    <xf numFmtId="0" fontId="82" fillId="0" borderId="0" xfId="9" applyFont="1" applyAlignment="1">
      <alignment horizontal="right"/>
    </xf>
    <xf numFmtId="0" fontId="83" fillId="0" borderId="0" xfId="15" applyFont="1"/>
    <xf numFmtId="0" fontId="85" fillId="0" borderId="0" xfId="9" applyFont="1"/>
    <xf numFmtId="0" fontId="83" fillId="0" borderId="0" xfId="9" applyFont="1" applyAlignment="1">
      <alignment horizontal="right"/>
    </xf>
    <xf numFmtId="0" fontId="83" fillId="0" borderId="0" xfId="9" applyFont="1" applyAlignment="1">
      <alignment horizontal="left" indent="4"/>
    </xf>
    <xf numFmtId="167" fontId="83" fillId="0" borderId="14" xfId="26" applyNumberFormat="1" applyFont="1" applyFill="1" applyBorder="1" applyAlignment="1">
      <alignment vertical="top" wrapText="1"/>
    </xf>
    <xf numFmtId="10" fontId="83" fillId="0" borderId="14" xfId="2" applyNumberFormat="1" applyFont="1" applyFill="1" applyBorder="1" applyAlignment="1">
      <alignment vertical="top" wrapText="1"/>
    </xf>
    <xf numFmtId="0" fontId="82" fillId="4" borderId="14" xfId="9" applyFont="1" applyFill="1" applyBorder="1" applyAlignment="1">
      <alignment horizontal="center" vertical="center"/>
    </xf>
    <xf numFmtId="0" fontId="82" fillId="4" borderId="14" xfId="9" applyFont="1" applyFill="1" applyBorder="1" applyAlignment="1">
      <alignment vertical="center" wrapText="1"/>
    </xf>
    <xf numFmtId="0" fontId="82" fillId="4" borderId="14" xfId="9" applyFont="1" applyFill="1" applyBorder="1" applyAlignment="1">
      <alignment vertical="top" wrapText="1"/>
    </xf>
    <xf numFmtId="175" fontId="82" fillId="4" borderId="14" xfId="26" applyNumberFormat="1" applyFont="1" applyFill="1" applyBorder="1" applyAlignment="1">
      <alignment vertical="top" wrapText="1"/>
    </xf>
    <xf numFmtId="175" fontId="83" fillId="4" borderId="11" xfId="26" applyNumberFormat="1" applyFont="1" applyFill="1" applyBorder="1" applyAlignment="1">
      <alignment vertical="top"/>
    </xf>
    <xf numFmtId="175" fontId="83" fillId="4" borderId="14" xfId="26" applyNumberFormat="1" applyFont="1" applyFill="1" applyBorder="1" applyAlignment="1">
      <alignment vertical="top"/>
    </xf>
    <xf numFmtId="0" fontId="83" fillId="4" borderId="14" xfId="9" applyFont="1" applyFill="1" applyBorder="1" applyAlignment="1">
      <alignment vertical="top"/>
    </xf>
    <xf numFmtId="0" fontId="83" fillId="4" borderId="0" xfId="9" applyFont="1" applyFill="1"/>
    <xf numFmtId="175" fontId="82" fillId="4" borderId="0" xfId="26" applyNumberFormat="1" applyFont="1" applyFill="1" applyAlignment="1">
      <alignment vertical="top" wrapText="1"/>
    </xf>
    <xf numFmtId="0" fontId="82" fillId="4" borderId="0" xfId="9" applyFont="1" applyFill="1" applyAlignment="1">
      <alignment vertical="top" wrapText="1"/>
    </xf>
    <xf numFmtId="175" fontId="70" fillId="2" borderId="14" xfId="31" applyNumberFormat="1" applyFont="1" applyFill="1" applyBorder="1"/>
    <xf numFmtId="167" fontId="0" fillId="0" borderId="11" xfId="0" applyNumberFormat="1" applyBorder="1"/>
    <xf numFmtId="172" fontId="45" fillId="0" borderId="0" xfId="14" applyNumberFormat="1" applyFont="1" applyBorder="1"/>
    <xf numFmtId="172" fontId="45" fillId="0" borderId="0" xfId="12" applyNumberFormat="1" applyFont="1" applyBorder="1"/>
    <xf numFmtId="9" fontId="10" fillId="0" borderId="4" xfId="3" applyFont="1" applyFill="1" applyBorder="1" applyAlignment="1">
      <alignment horizontal="left" wrapText="1"/>
    </xf>
    <xf numFmtId="9" fontId="10" fillId="0" borderId="0" xfId="3" applyFont="1" applyFill="1" applyBorder="1" applyAlignment="1">
      <alignment horizontal="left" wrapText="1"/>
    </xf>
    <xf numFmtId="9" fontId="10" fillId="0" borderId="11" xfId="3" applyFont="1" applyFill="1" applyBorder="1" applyAlignment="1">
      <alignment horizontal="left" wrapText="1"/>
    </xf>
    <xf numFmtId="167" fontId="86" fillId="0" borderId="0" xfId="39" applyFont="1"/>
    <xf numFmtId="167" fontId="86" fillId="0" borderId="0" xfId="39" applyFont="1" applyFill="1"/>
    <xf numFmtId="167" fontId="86" fillId="0" borderId="0" xfId="39" applyFont="1" applyBorder="1"/>
    <xf numFmtId="175" fontId="88" fillId="0" borderId="5" xfId="39" applyNumberFormat="1" applyFont="1" applyBorder="1" applyAlignment="1">
      <alignment vertical="center"/>
    </xf>
    <xf numFmtId="167" fontId="86" fillId="0" borderId="0" xfId="39" applyFont="1" applyFill="1" applyBorder="1"/>
    <xf numFmtId="167" fontId="89" fillId="0" borderId="0" xfId="39" applyFont="1" applyBorder="1" applyAlignment="1">
      <alignment horizontal="center" vertical="top"/>
    </xf>
    <xf numFmtId="180" fontId="89" fillId="0" borderId="0" xfId="39" applyNumberFormat="1" applyFont="1" applyBorder="1" applyAlignment="1">
      <alignment horizontal="center" vertical="top"/>
    </xf>
    <xf numFmtId="167" fontId="91" fillId="0" borderId="40" xfId="39" applyFont="1" applyBorder="1" applyAlignment="1">
      <alignment horizontal="right" vertical="center"/>
    </xf>
    <xf numFmtId="167" fontId="91" fillId="0" borderId="41" xfId="39" applyFont="1" applyBorder="1" applyAlignment="1">
      <alignment horizontal="right" vertical="center"/>
    </xf>
    <xf numFmtId="167" fontId="91" fillId="0" borderId="59" xfId="39" applyFont="1" applyFill="1" applyBorder="1" applyAlignment="1">
      <alignment horizontal="right" vertical="center"/>
    </xf>
    <xf numFmtId="167" fontId="91" fillId="0" borderId="51" xfId="39" applyFont="1" applyBorder="1" applyAlignment="1">
      <alignment horizontal="center" vertical="center"/>
    </xf>
    <xf numFmtId="167" fontId="91" fillId="0" borderId="51" xfId="39" applyFont="1" applyBorder="1" applyAlignment="1">
      <alignment horizontal="right" vertical="center"/>
    </xf>
    <xf numFmtId="167" fontId="91" fillId="0" borderId="59" xfId="39" applyFont="1" applyBorder="1" applyAlignment="1">
      <alignment horizontal="right" vertical="center"/>
    </xf>
    <xf numFmtId="180" fontId="91" fillId="0" borderId="70" xfId="39" applyNumberFormat="1" applyFont="1" applyBorder="1" applyAlignment="1">
      <alignment horizontal="right" vertical="center"/>
    </xf>
    <xf numFmtId="180" fontId="91" fillId="0" borderId="40" xfId="39" applyNumberFormat="1" applyFont="1" applyBorder="1" applyAlignment="1">
      <alignment horizontal="right" vertical="center"/>
    </xf>
    <xf numFmtId="167" fontId="92" fillId="0" borderId="39" xfId="39" applyFont="1" applyBorder="1" applyAlignment="1">
      <alignment vertical="center"/>
    </xf>
    <xf numFmtId="167" fontId="91" fillId="0" borderId="5" xfId="39" applyFont="1" applyBorder="1" applyAlignment="1">
      <alignment vertical="center"/>
    </xf>
    <xf numFmtId="180" fontId="88" fillId="0" borderId="39" xfId="39" applyNumberFormat="1" applyFont="1" applyBorder="1" applyAlignment="1">
      <alignment vertical="center"/>
    </xf>
    <xf numFmtId="167" fontId="88" fillId="0" borderId="13" xfId="39" applyFont="1" applyBorder="1" applyAlignment="1">
      <alignment vertical="center"/>
    </xf>
    <xf numFmtId="175" fontId="88" fillId="0" borderId="60" xfId="39" applyNumberFormat="1" applyFont="1" applyBorder="1" applyAlignment="1">
      <alignment vertical="center"/>
    </xf>
    <xf numFmtId="167" fontId="92" fillId="0" borderId="5" xfId="39" applyFont="1" applyBorder="1" applyAlignment="1">
      <alignment vertical="center"/>
    </xf>
    <xf numFmtId="167" fontId="88" fillId="0" borderId="36" xfId="39" applyFont="1" applyBorder="1" applyAlignment="1">
      <alignment vertical="center"/>
    </xf>
    <xf numFmtId="180" fontId="86" fillId="0" borderId="17" xfId="39" applyNumberFormat="1" applyFont="1" applyBorder="1" applyAlignment="1">
      <alignment vertical="center"/>
    </xf>
    <xf numFmtId="180" fontId="88" fillId="0" borderId="50" xfId="39" applyNumberFormat="1" applyFont="1" applyBorder="1" applyAlignment="1">
      <alignment vertical="center"/>
    </xf>
    <xf numFmtId="167" fontId="88" fillId="0" borderId="21" xfId="39" applyFont="1" applyBorder="1" applyAlignment="1">
      <alignment vertical="center"/>
    </xf>
    <xf numFmtId="175" fontId="91" fillId="0" borderId="60" xfId="39" applyNumberFormat="1" applyFont="1" applyBorder="1" applyAlignment="1">
      <alignment vertical="center"/>
    </xf>
    <xf numFmtId="167" fontId="92" fillId="0" borderId="0" xfId="39" applyFont="1" applyAlignment="1">
      <alignment vertical="top"/>
    </xf>
    <xf numFmtId="167" fontId="92" fillId="0" borderId="0" xfId="39" applyFont="1" applyFill="1" applyAlignment="1">
      <alignment vertical="top"/>
    </xf>
    <xf numFmtId="167" fontId="92" fillId="0" borderId="38" xfId="39" applyFont="1" applyBorder="1" applyAlignment="1">
      <alignment vertical="center"/>
    </xf>
    <xf numFmtId="167" fontId="91" fillId="0" borderId="3" xfId="39" applyFont="1" applyBorder="1" applyAlignment="1">
      <alignment horizontal="right" vertical="center"/>
    </xf>
    <xf numFmtId="180" fontId="91" fillId="0" borderId="38" xfId="39" applyNumberFormat="1" applyFont="1" applyFill="1" applyBorder="1" applyAlignment="1">
      <alignment vertical="center"/>
    </xf>
    <xf numFmtId="167" fontId="91" fillId="0" borderId="12" xfId="39" applyFont="1" applyBorder="1" applyAlignment="1">
      <alignment vertical="center"/>
    </xf>
    <xf numFmtId="175" fontId="91" fillId="0" borderId="71" xfId="39" applyNumberFormat="1" applyFont="1" applyBorder="1" applyAlignment="1">
      <alignment vertical="center"/>
    </xf>
    <xf numFmtId="180" fontId="91" fillId="0" borderId="72" xfId="39" applyNumberFormat="1" applyFont="1" applyBorder="1" applyAlignment="1">
      <alignment vertical="center"/>
    </xf>
    <xf numFmtId="167" fontId="93" fillId="0" borderId="3" xfId="39" applyFont="1" applyFill="1" applyBorder="1" applyAlignment="1">
      <alignment vertical="center"/>
    </xf>
    <xf numFmtId="175" fontId="94" fillId="0" borderId="48" xfId="39" applyNumberFormat="1" applyFont="1" applyFill="1" applyBorder="1" applyAlignment="1">
      <alignment vertical="center"/>
    </xf>
    <xf numFmtId="180" fontId="94" fillId="0" borderId="10" xfId="39" applyNumberFormat="1" applyFont="1" applyFill="1" applyBorder="1" applyAlignment="1">
      <alignment vertical="center"/>
    </xf>
    <xf numFmtId="167" fontId="94" fillId="0" borderId="12" xfId="39" applyFont="1" applyFill="1" applyBorder="1" applyAlignment="1">
      <alignment vertical="center"/>
    </xf>
    <xf numFmtId="175" fontId="91" fillId="0" borderId="4" xfId="39" applyNumberFormat="1" applyFont="1" applyBorder="1" applyAlignment="1">
      <alignment vertical="center"/>
    </xf>
    <xf numFmtId="180" fontId="91" fillId="0" borderId="63" xfId="39" applyNumberFormat="1" applyFont="1" applyBorder="1" applyAlignment="1">
      <alignment vertical="center"/>
    </xf>
    <xf numFmtId="167" fontId="91" fillId="0" borderId="10" xfId="39" applyFont="1" applyFill="1" applyBorder="1" applyAlignment="1">
      <alignment vertical="center"/>
    </xf>
    <xf numFmtId="167" fontId="92" fillId="0" borderId="26" xfId="39" applyFont="1" applyBorder="1" applyAlignment="1">
      <alignment vertical="center"/>
    </xf>
    <xf numFmtId="167" fontId="88" fillId="0" borderId="73" xfId="39" applyFont="1" applyBorder="1" applyAlignment="1">
      <alignment vertical="center"/>
    </xf>
    <xf numFmtId="167" fontId="88" fillId="0" borderId="26" xfId="39" applyFont="1" applyFill="1" applyBorder="1" applyAlignment="1">
      <alignment vertical="center"/>
    </xf>
    <xf numFmtId="167" fontId="88" fillId="0" borderId="27" xfId="39" applyFont="1" applyBorder="1" applyAlignment="1">
      <alignment vertical="center"/>
    </xf>
    <xf numFmtId="175" fontId="88" fillId="0" borderId="28" xfId="39" applyNumberFormat="1" applyFont="1" applyBorder="1" applyAlignment="1">
      <alignment vertical="center"/>
    </xf>
    <xf numFmtId="167" fontId="92" fillId="0" borderId="73" xfId="39" applyFont="1" applyFill="1" applyBorder="1" applyAlignment="1">
      <alignment vertical="center"/>
    </xf>
    <xf numFmtId="167" fontId="88" fillId="0" borderId="28" xfId="39" applyFont="1" applyFill="1" applyBorder="1" applyAlignment="1">
      <alignment vertical="center"/>
    </xf>
    <xf numFmtId="180" fontId="92" fillId="0" borderId="29" xfId="39" applyNumberFormat="1" applyFont="1" applyFill="1" applyBorder="1" applyAlignment="1">
      <alignment vertical="center"/>
    </xf>
    <xf numFmtId="167" fontId="92" fillId="0" borderId="27" xfId="39" applyFont="1" applyFill="1" applyBorder="1" applyAlignment="1">
      <alignment vertical="center"/>
    </xf>
    <xf numFmtId="180" fontId="88" fillId="0" borderId="44" xfId="39" applyNumberFormat="1" applyFont="1" applyFill="1" applyBorder="1" applyAlignment="1">
      <alignment vertical="center"/>
    </xf>
    <xf numFmtId="167" fontId="88" fillId="0" borderId="29" xfId="39" applyFont="1" applyFill="1" applyBorder="1" applyAlignment="1">
      <alignment vertical="center"/>
    </xf>
    <xf numFmtId="167" fontId="95" fillId="0" borderId="5" xfId="39" applyFont="1" applyBorder="1" applyAlignment="1">
      <alignment vertical="center"/>
    </xf>
    <xf numFmtId="167" fontId="88" fillId="0" borderId="39" xfId="39" applyFont="1" applyFill="1" applyBorder="1" applyAlignment="1">
      <alignment vertical="center"/>
    </xf>
    <xf numFmtId="167" fontId="92" fillId="0" borderId="5" xfId="39" applyFont="1" applyFill="1" applyBorder="1" applyAlignment="1">
      <alignment vertical="center"/>
    </xf>
    <xf numFmtId="167" fontId="88" fillId="0" borderId="60" xfId="39" applyFont="1" applyFill="1" applyBorder="1" applyAlignment="1">
      <alignment vertical="center"/>
    </xf>
    <xf numFmtId="180" fontId="92" fillId="0" borderId="17" xfId="39" applyNumberFormat="1" applyFont="1" applyFill="1" applyBorder="1" applyAlignment="1">
      <alignment vertical="center"/>
    </xf>
    <xf numFmtId="167" fontId="92" fillId="0" borderId="13" xfId="39" applyFont="1" applyFill="1" applyBorder="1" applyAlignment="1">
      <alignment vertical="center"/>
    </xf>
    <xf numFmtId="180" fontId="88" fillId="0" borderId="45" xfId="39" applyNumberFormat="1" applyFont="1" applyFill="1" applyBorder="1" applyAlignment="1">
      <alignment vertical="center"/>
    </xf>
    <xf numFmtId="167" fontId="88" fillId="0" borderId="17" xfId="39" applyFont="1" applyBorder="1" applyAlignment="1">
      <alignment vertical="center"/>
    </xf>
    <xf numFmtId="167" fontId="92" fillId="0" borderId="36" xfId="39" applyFont="1" applyBorder="1" applyAlignment="1">
      <alignment vertical="center"/>
    </xf>
    <xf numFmtId="167" fontId="96" fillId="0" borderId="18" xfId="39" applyFont="1" applyBorder="1" applyAlignment="1">
      <alignment vertical="center"/>
    </xf>
    <xf numFmtId="167" fontId="88" fillId="0" borderId="36" xfId="39" applyFont="1" applyFill="1" applyBorder="1" applyAlignment="1">
      <alignment vertical="center"/>
    </xf>
    <xf numFmtId="167" fontId="92" fillId="0" borderId="18" xfId="39" applyFont="1" applyFill="1" applyBorder="1" applyAlignment="1">
      <alignment vertical="center"/>
    </xf>
    <xf numFmtId="167" fontId="88" fillId="0" borderId="37" xfId="39" applyFont="1" applyFill="1" applyBorder="1" applyAlignment="1">
      <alignment vertical="center"/>
    </xf>
    <xf numFmtId="180" fontId="92" fillId="0" borderId="21" xfId="39" applyNumberFormat="1" applyFont="1" applyFill="1" applyBorder="1" applyAlignment="1">
      <alignment vertical="center"/>
    </xf>
    <xf numFmtId="167" fontId="92" fillId="0" borderId="6" xfId="39" applyFont="1" applyFill="1" applyBorder="1" applyAlignment="1">
      <alignment vertical="center"/>
    </xf>
    <xf numFmtId="180" fontId="88" fillId="0" borderId="46" xfId="39" applyNumberFormat="1" applyFont="1" applyFill="1" applyBorder="1" applyAlignment="1">
      <alignment vertical="center"/>
    </xf>
    <xf numFmtId="175" fontId="88" fillId="9" borderId="37" xfId="39" applyNumberFormat="1" applyFont="1" applyFill="1" applyBorder="1" applyAlignment="1">
      <alignment vertical="center"/>
    </xf>
    <xf numFmtId="175" fontId="88" fillId="0" borderId="37" xfId="39" applyNumberFormat="1" applyFont="1" applyBorder="1" applyAlignment="1">
      <alignment vertical="center"/>
    </xf>
    <xf numFmtId="180" fontId="86" fillId="0" borderId="46" xfId="39" applyNumberFormat="1" applyFont="1" applyFill="1" applyBorder="1" applyAlignment="1">
      <alignment vertical="center"/>
    </xf>
    <xf numFmtId="175" fontId="97" fillId="0" borderId="37" xfId="39" applyNumberFormat="1" applyFont="1" applyFill="1" applyBorder="1" applyAlignment="1">
      <alignment vertical="center"/>
    </xf>
    <xf numFmtId="167" fontId="98" fillId="0" borderId="36" xfId="39" applyFont="1" applyFill="1" applyBorder="1" applyAlignment="1">
      <alignment vertical="center"/>
    </xf>
    <xf numFmtId="167" fontId="99" fillId="0" borderId="18" xfId="39" applyFont="1" applyFill="1" applyBorder="1" applyAlignment="1">
      <alignment vertical="center"/>
    </xf>
    <xf numFmtId="167" fontId="98" fillId="0" borderId="37" xfId="39" applyFont="1" applyFill="1" applyBorder="1" applyAlignment="1">
      <alignment vertical="center"/>
    </xf>
    <xf numFmtId="180" fontId="99" fillId="0" borderId="21" xfId="39" applyNumberFormat="1" applyFont="1" applyFill="1" applyBorder="1" applyAlignment="1">
      <alignment vertical="center"/>
    </xf>
    <xf numFmtId="167" fontId="99" fillId="0" borderId="6" xfId="39" applyFont="1" applyFill="1" applyBorder="1" applyAlignment="1">
      <alignment vertical="center"/>
    </xf>
    <xf numFmtId="167" fontId="95" fillId="0" borderId="36" xfId="39" applyFont="1" applyBorder="1" applyAlignment="1">
      <alignment vertical="center"/>
    </xf>
    <xf numFmtId="167" fontId="91" fillId="0" borderId="18" xfId="39" applyFont="1" applyBorder="1" applyAlignment="1">
      <alignment vertical="center"/>
    </xf>
    <xf numFmtId="167" fontId="89" fillId="0" borderId="36" xfId="39" applyFont="1" applyFill="1" applyBorder="1" applyAlignment="1">
      <alignment vertical="center"/>
    </xf>
    <xf numFmtId="167" fontId="88" fillId="0" borderId="6" xfId="39" applyFont="1" applyBorder="1" applyAlignment="1">
      <alignment vertical="center"/>
    </xf>
    <xf numFmtId="175" fontId="89" fillId="0" borderId="60" xfId="39" applyNumberFormat="1" applyFont="1" applyBorder="1" applyAlignment="1">
      <alignment vertical="center"/>
    </xf>
    <xf numFmtId="180" fontId="97" fillId="0" borderId="36" xfId="39" applyNumberFormat="1" applyFont="1" applyFill="1" applyBorder="1" applyAlignment="1">
      <alignment vertical="center"/>
    </xf>
    <xf numFmtId="167" fontId="100" fillId="0" borderId="18" xfId="39" applyFont="1" applyBorder="1" applyAlignment="1">
      <alignment vertical="center"/>
    </xf>
    <xf numFmtId="175" fontId="88" fillId="0" borderId="74" xfId="39" applyNumberFormat="1" applyFont="1" applyBorder="1" applyAlignment="1">
      <alignment vertical="center"/>
    </xf>
    <xf numFmtId="180" fontId="88" fillId="0" borderId="21" xfId="39" applyNumberFormat="1" applyFont="1" applyBorder="1" applyAlignment="1">
      <alignment vertical="center"/>
    </xf>
    <xf numFmtId="167" fontId="97" fillId="0" borderId="21" xfId="39" applyFont="1" applyFill="1" applyBorder="1" applyAlignment="1">
      <alignment vertical="center"/>
    </xf>
    <xf numFmtId="180" fontId="91" fillId="0" borderId="48" xfId="39" applyNumberFormat="1" applyFont="1" applyFill="1" applyBorder="1" applyAlignment="1">
      <alignment vertical="center"/>
    </xf>
    <xf numFmtId="167" fontId="91" fillId="0" borderId="21" xfId="39" applyFont="1" applyBorder="1" applyAlignment="1">
      <alignment vertical="center"/>
    </xf>
    <xf numFmtId="167" fontId="95" fillId="0" borderId="0" xfId="39" applyFont="1" applyFill="1" applyAlignment="1">
      <alignment vertical="top"/>
    </xf>
    <xf numFmtId="167" fontId="95" fillId="0" borderId="0" xfId="39" applyFont="1" applyAlignment="1">
      <alignment vertical="top"/>
    </xf>
    <xf numFmtId="167" fontId="95" fillId="9" borderId="36" xfId="39" applyFont="1" applyFill="1" applyBorder="1" applyAlignment="1">
      <alignment vertical="center"/>
    </xf>
    <xf numFmtId="167" fontId="88" fillId="9" borderId="18" xfId="39" applyFont="1" applyFill="1" applyBorder="1" applyAlignment="1">
      <alignment vertical="center"/>
    </xf>
    <xf numFmtId="180" fontId="88" fillId="9" borderId="75" xfId="39" applyNumberFormat="1" applyFont="1" applyFill="1" applyBorder="1" applyAlignment="1">
      <alignment vertical="center"/>
    </xf>
    <xf numFmtId="167" fontId="88" fillId="9" borderId="6" xfId="39" applyFont="1" applyFill="1" applyBorder="1" applyAlignment="1">
      <alignment vertical="center"/>
    </xf>
    <xf numFmtId="175" fontId="88" fillId="9" borderId="60" xfId="39" applyNumberFormat="1" applyFont="1" applyFill="1" applyBorder="1" applyAlignment="1">
      <alignment vertical="center"/>
    </xf>
    <xf numFmtId="180" fontId="97" fillId="9" borderId="75" xfId="39" applyNumberFormat="1" applyFont="1" applyFill="1" applyBorder="1" applyAlignment="1">
      <alignment vertical="center"/>
    </xf>
    <xf numFmtId="167" fontId="100" fillId="9" borderId="18" xfId="39" applyFont="1" applyFill="1" applyBorder="1" applyAlignment="1">
      <alignment vertical="center"/>
    </xf>
    <xf numFmtId="175" fontId="91" fillId="9" borderId="74" xfId="39" applyNumberFormat="1" applyFont="1" applyFill="1" applyBorder="1" applyAlignment="1">
      <alignment vertical="center"/>
    </xf>
    <xf numFmtId="180" fontId="91" fillId="9" borderId="21" xfId="39" applyNumberFormat="1" applyFont="1" applyFill="1" applyBorder="1" applyAlignment="1">
      <alignment vertical="center"/>
    </xf>
    <xf numFmtId="167" fontId="91" fillId="9" borderId="21" xfId="39" applyFont="1" applyFill="1" applyBorder="1" applyAlignment="1">
      <alignment vertical="center"/>
    </xf>
    <xf numFmtId="175" fontId="91" fillId="9" borderId="5" xfId="39" applyNumberFormat="1" applyFont="1" applyFill="1" applyBorder="1" applyAlignment="1">
      <alignment vertical="center"/>
    </xf>
    <xf numFmtId="180" fontId="88" fillId="9" borderId="48" xfId="39" applyNumberFormat="1" applyFont="1" applyFill="1" applyBorder="1" applyAlignment="1">
      <alignment vertical="center"/>
    </xf>
    <xf numFmtId="167" fontId="88" fillId="9" borderId="21" xfId="39" applyFont="1" applyFill="1" applyBorder="1" applyAlignment="1">
      <alignment vertical="center"/>
    </xf>
    <xf numFmtId="167" fontId="86" fillId="0" borderId="38" xfId="39" applyFont="1" applyBorder="1" applyAlignment="1">
      <alignment vertical="center"/>
    </xf>
    <xf numFmtId="167" fontId="89" fillId="0" borderId="3" xfId="39" applyFont="1" applyBorder="1" applyAlignment="1">
      <alignment vertical="center"/>
    </xf>
    <xf numFmtId="180" fontId="89" fillId="0" borderId="48" xfId="39" applyNumberFormat="1" applyFont="1" applyBorder="1" applyAlignment="1">
      <alignment vertical="center"/>
    </xf>
    <xf numFmtId="167" fontId="89" fillId="0" borderId="12" xfId="39" applyFont="1" applyBorder="1" applyAlignment="1">
      <alignment vertical="center"/>
    </xf>
    <xf numFmtId="175" fontId="89" fillId="0" borderId="61" xfId="39" applyNumberFormat="1" applyFont="1" applyBorder="1" applyAlignment="1">
      <alignment vertical="center"/>
    </xf>
    <xf numFmtId="180" fontId="91" fillId="0" borderId="48" xfId="39" applyNumberFormat="1" applyFont="1" applyBorder="1" applyAlignment="1">
      <alignment vertical="center"/>
    </xf>
    <xf numFmtId="167" fontId="94" fillId="0" borderId="3" xfId="39" applyFont="1" applyBorder="1" applyAlignment="1">
      <alignment vertical="center"/>
    </xf>
    <xf numFmtId="167" fontId="88" fillId="0" borderId="12" xfId="39" applyFont="1" applyBorder="1" applyAlignment="1">
      <alignment vertical="center"/>
    </xf>
    <xf numFmtId="175" fontId="91" fillId="0" borderId="76" xfId="39" applyNumberFormat="1" applyFont="1" applyBorder="1" applyAlignment="1">
      <alignment vertical="center"/>
    </xf>
    <xf numFmtId="180" fontId="91" fillId="0" borderId="76" xfId="39" applyNumberFormat="1" applyFont="1" applyBorder="1" applyAlignment="1">
      <alignment vertical="center"/>
    </xf>
    <xf numFmtId="175" fontId="91" fillId="0" borderId="3" xfId="39" applyNumberFormat="1" applyFont="1" applyBorder="1" applyAlignment="1">
      <alignment vertical="center"/>
    </xf>
    <xf numFmtId="180" fontId="94" fillId="0" borderId="49" xfId="39" applyNumberFormat="1" applyFont="1" applyBorder="1" applyAlignment="1">
      <alignment vertical="center"/>
    </xf>
    <xf numFmtId="167" fontId="88" fillId="0" borderId="10" xfId="39" applyFont="1" applyFill="1" applyBorder="1" applyAlignment="1">
      <alignment vertical="center"/>
    </xf>
    <xf numFmtId="175" fontId="94" fillId="0" borderId="61" xfId="39" applyNumberFormat="1" applyFont="1" applyFill="1" applyBorder="1" applyAlignment="1">
      <alignment vertical="center"/>
    </xf>
    <xf numFmtId="167" fontId="86" fillId="0" borderId="0" xfId="39" applyFont="1" applyFill="1" applyAlignment="1">
      <alignment vertical="top"/>
    </xf>
    <xf numFmtId="167" fontId="86" fillId="0" borderId="0" xfId="39" applyFont="1" applyAlignment="1">
      <alignment vertical="top"/>
    </xf>
    <xf numFmtId="167" fontId="86" fillId="0" borderId="26" xfId="39" applyFont="1" applyBorder="1" applyAlignment="1">
      <alignment vertical="center"/>
    </xf>
    <xf numFmtId="167" fontId="86" fillId="0" borderId="73" xfId="39" applyFont="1" applyBorder="1" applyAlignment="1">
      <alignment vertical="center"/>
    </xf>
    <xf numFmtId="167" fontId="88" fillId="0" borderId="28" xfId="39" applyFont="1" applyBorder="1" applyAlignment="1">
      <alignment vertical="center"/>
    </xf>
    <xf numFmtId="167" fontId="86" fillId="0" borderId="73" xfId="39" applyFont="1" applyFill="1" applyBorder="1" applyAlignment="1">
      <alignment vertical="center"/>
    </xf>
    <xf numFmtId="175" fontId="88" fillId="0" borderId="28" xfId="39" applyNumberFormat="1" applyFont="1" applyFill="1" applyBorder="1" applyAlignment="1">
      <alignment vertical="center"/>
    </xf>
    <xf numFmtId="180" fontId="88" fillId="0" borderId="29" xfId="39" applyNumberFormat="1" applyFont="1" applyFill="1" applyBorder="1" applyAlignment="1">
      <alignment vertical="center"/>
    </xf>
    <xf numFmtId="167" fontId="88" fillId="0" borderId="27" xfId="39" applyFont="1" applyFill="1" applyBorder="1" applyAlignment="1">
      <alignment vertical="center"/>
    </xf>
    <xf numFmtId="180" fontId="86" fillId="0" borderId="44" xfId="39" applyNumberFormat="1" applyFont="1" applyFill="1" applyBorder="1" applyAlignment="1">
      <alignment vertical="center"/>
    </xf>
    <xf numFmtId="167" fontId="86" fillId="0" borderId="28" xfId="39" applyFont="1" applyFill="1" applyBorder="1" applyAlignment="1">
      <alignment vertical="center"/>
    </xf>
    <xf numFmtId="167" fontId="93" fillId="0" borderId="0" xfId="39" applyFont="1" applyAlignment="1">
      <alignment vertical="top"/>
    </xf>
    <xf numFmtId="167" fontId="0" fillId="0" borderId="39" xfId="39" applyFont="1" applyBorder="1" applyAlignment="1">
      <alignment vertical="center"/>
    </xf>
    <xf numFmtId="167" fontId="86" fillId="0" borderId="5" xfId="39" applyFont="1" applyFill="1" applyBorder="1" applyAlignment="1">
      <alignment vertical="center"/>
    </xf>
    <xf numFmtId="175" fontId="88" fillId="0" borderId="60" xfId="39" applyNumberFormat="1" applyFont="1" applyFill="1" applyBorder="1" applyAlignment="1">
      <alignment vertical="center"/>
    </xf>
    <xf numFmtId="180" fontId="88" fillId="0" borderId="17" xfId="39" applyNumberFormat="1" applyFont="1" applyFill="1" applyBorder="1" applyAlignment="1">
      <alignment vertical="center"/>
    </xf>
    <xf numFmtId="167" fontId="88" fillId="0" borderId="13" xfId="39" applyFont="1" applyFill="1" applyBorder="1" applyAlignment="1">
      <alignment vertical="center"/>
    </xf>
    <xf numFmtId="180" fontId="86" fillId="0" borderId="45" xfId="39" applyNumberFormat="1" applyFont="1" applyFill="1" applyBorder="1" applyAlignment="1">
      <alignment vertical="center"/>
    </xf>
    <xf numFmtId="167" fontId="88" fillId="0" borderId="17" xfId="39" applyFont="1" applyFill="1" applyBorder="1" applyAlignment="1">
      <alignment vertical="center"/>
    </xf>
    <xf numFmtId="175" fontId="86" fillId="0" borderId="60" xfId="39" applyNumberFormat="1" applyFont="1" applyFill="1" applyBorder="1" applyAlignment="1">
      <alignment vertical="center"/>
    </xf>
    <xf numFmtId="167" fontId="86" fillId="0" borderId="36" xfId="39" applyFont="1" applyBorder="1" applyAlignment="1">
      <alignment vertical="center"/>
    </xf>
    <xf numFmtId="167" fontId="86" fillId="0" borderId="18" xfId="39" applyFont="1" applyBorder="1" applyAlignment="1">
      <alignment vertical="center"/>
    </xf>
    <xf numFmtId="167" fontId="91" fillId="0" borderId="37" xfId="39" applyFont="1" applyBorder="1" applyAlignment="1">
      <alignment vertical="center"/>
    </xf>
    <xf numFmtId="167" fontId="86" fillId="0" borderId="18" xfId="39" applyFont="1" applyFill="1" applyBorder="1" applyAlignment="1">
      <alignment vertical="center"/>
    </xf>
    <xf numFmtId="175" fontId="88" fillId="0" borderId="37" xfId="39" applyNumberFormat="1" applyFont="1" applyFill="1" applyBorder="1" applyAlignment="1">
      <alignment vertical="center"/>
    </xf>
    <xf numFmtId="180" fontId="88" fillId="0" borderId="21" xfId="39" applyNumberFormat="1" applyFont="1" applyFill="1" applyBorder="1" applyAlignment="1">
      <alignment vertical="center"/>
    </xf>
    <xf numFmtId="167" fontId="88" fillId="0" borderId="6" xfId="39" applyFont="1" applyFill="1" applyBorder="1" applyAlignment="1">
      <alignment vertical="center"/>
    </xf>
    <xf numFmtId="167" fontId="88" fillId="0" borderId="21" xfId="39" applyFont="1" applyFill="1" applyBorder="1" applyAlignment="1">
      <alignment vertical="center"/>
    </xf>
    <xf numFmtId="167" fontId="86" fillId="0" borderId="37" xfId="39" applyFont="1" applyFill="1" applyBorder="1" applyAlignment="1">
      <alignment vertical="center"/>
    </xf>
    <xf numFmtId="175" fontId="91" fillId="0" borderId="37" xfId="39" applyNumberFormat="1" applyFont="1" applyBorder="1" applyAlignment="1">
      <alignment vertical="center"/>
    </xf>
    <xf numFmtId="175" fontId="86" fillId="0" borderId="37" xfId="39" applyNumberFormat="1" applyFont="1" applyFill="1" applyBorder="1" applyAlignment="1">
      <alignment vertical="center"/>
    </xf>
    <xf numFmtId="167" fontId="0" fillId="0" borderId="18" xfId="39" applyFont="1" applyBorder="1" applyAlignment="1">
      <alignment vertical="center"/>
    </xf>
    <xf numFmtId="167" fontId="88" fillId="0" borderId="60" xfId="39" applyFont="1" applyBorder="1" applyAlignment="1">
      <alignment vertical="center"/>
    </xf>
    <xf numFmtId="167" fontId="91" fillId="0" borderId="37" xfId="39" applyFont="1" applyFill="1" applyBorder="1" applyAlignment="1">
      <alignment vertical="center"/>
    </xf>
    <xf numFmtId="180" fontId="88" fillId="0" borderId="36" xfId="39" applyNumberFormat="1" applyFont="1" applyFill="1" applyBorder="1" applyAlignment="1">
      <alignment vertical="center"/>
    </xf>
    <xf numFmtId="167" fontId="88" fillId="0" borderId="37" xfId="39" applyFont="1" applyBorder="1" applyAlignment="1">
      <alignment vertical="center"/>
    </xf>
    <xf numFmtId="167" fontId="0" fillId="0" borderId="18" xfId="39" applyFont="1" applyFill="1" applyBorder="1" applyAlignment="1">
      <alignment vertical="center"/>
    </xf>
    <xf numFmtId="167" fontId="86" fillId="0" borderId="21" xfId="39" applyFont="1" applyFill="1" applyBorder="1" applyAlignment="1">
      <alignment vertical="center"/>
    </xf>
    <xf numFmtId="167" fontId="88" fillId="0" borderId="75" xfId="39" applyFont="1" applyFill="1" applyBorder="1" applyAlignment="1">
      <alignment vertical="center"/>
    </xf>
    <xf numFmtId="180" fontId="88" fillId="0" borderId="75" xfId="39" applyNumberFormat="1" applyFont="1" applyFill="1" applyBorder="1" applyAlignment="1">
      <alignment vertical="center"/>
    </xf>
    <xf numFmtId="180" fontId="88" fillId="0" borderId="7" xfId="39" applyNumberFormat="1" applyFont="1" applyFill="1" applyBorder="1" applyAlignment="1">
      <alignment vertical="center"/>
    </xf>
    <xf numFmtId="167" fontId="88" fillId="0" borderId="18" xfId="39" applyFont="1" applyFill="1" applyBorder="1" applyAlignment="1">
      <alignment vertical="center"/>
    </xf>
    <xf numFmtId="167" fontId="101" fillId="0" borderId="36" xfId="39" applyFont="1" applyBorder="1" applyAlignment="1">
      <alignment vertical="center"/>
    </xf>
    <xf numFmtId="167" fontId="89" fillId="0" borderId="18" xfId="39" applyFont="1" applyBorder="1" applyAlignment="1">
      <alignment vertical="center"/>
    </xf>
    <xf numFmtId="167" fontId="89" fillId="0" borderId="75" xfId="39" applyFont="1" applyFill="1" applyBorder="1" applyAlignment="1">
      <alignment vertical="center"/>
    </xf>
    <xf numFmtId="167" fontId="101" fillId="0" borderId="6" xfId="39" applyFont="1" applyBorder="1" applyAlignment="1">
      <alignment vertical="center"/>
    </xf>
    <xf numFmtId="175" fontId="89" fillId="0" borderId="37" xfId="39" applyNumberFormat="1" applyFont="1" applyBorder="1" applyAlignment="1">
      <alignment vertical="center"/>
    </xf>
    <xf numFmtId="167" fontId="89" fillId="0" borderId="18" xfId="39" applyFont="1" applyFill="1" applyBorder="1" applyAlignment="1">
      <alignment vertical="center"/>
    </xf>
    <xf numFmtId="180" fontId="89" fillId="0" borderId="7" xfId="39" applyNumberFormat="1" applyFont="1" applyFill="1" applyBorder="1" applyAlignment="1">
      <alignment vertical="center"/>
    </xf>
    <xf numFmtId="180" fontId="89" fillId="0" borderId="46" xfId="39" applyNumberFormat="1" applyFont="1" applyFill="1" applyBorder="1" applyAlignment="1">
      <alignment vertical="center"/>
    </xf>
    <xf numFmtId="167" fontId="89" fillId="0" borderId="21" xfId="39" applyFont="1" applyFill="1" applyBorder="1" applyAlignment="1">
      <alignment vertical="center"/>
    </xf>
    <xf numFmtId="175" fontId="89" fillId="0" borderId="37" xfId="39" applyNumberFormat="1" applyFont="1" applyFill="1" applyBorder="1" applyAlignment="1">
      <alignment vertical="center"/>
    </xf>
    <xf numFmtId="175" fontId="91" fillId="0" borderId="0" xfId="39" applyNumberFormat="1" applyFont="1" applyFill="1" applyBorder="1" applyAlignment="1">
      <alignment vertical="top"/>
    </xf>
    <xf numFmtId="180" fontId="86" fillId="0" borderId="21" xfId="39" applyNumberFormat="1" applyFont="1" applyFill="1" applyBorder="1" applyAlignment="1">
      <alignment vertical="center"/>
    </xf>
    <xf numFmtId="167" fontId="86" fillId="0" borderId="6" xfId="39" applyFont="1" applyFill="1" applyBorder="1" applyAlignment="1">
      <alignment vertical="center"/>
    </xf>
    <xf numFmtId="167" fontId="91" fillId="0" borderId="18" xfId="39" applyFont="1" applyFill="1" applyBorder="1" applyAlignment="1">
      <alignment vertical="center"/>
    </xf>
    <xf numFmtId="175" fontId="86" fillId="0" borderId="37" xfId="39" applyNumberFormat="1" applyFont="1" applyBorder="1" applyAlignment="1">
      <alignment vertical="center"/>
    </xf>
    <xf numFmtId="180" fontId="86" fillId="0" borderId="21" xfId="39" applyNumberFormat="1" applyFont="1" applyBorder="1" applyAlignment="1">
      <alignment vertical="center"/>
    </xf>
    <xf numFmtId="167" fontId="86" fillId="0" borderId="6" xfId="39" applyFont="1" applyBorder="1" applyAlignment="1">
      <alignment vertical="center"/>
    </xf>
    <xf numFmtId="180" fontId="86" fillId="0" borderId="46" xfId="39" applyNumberFormat="1" applyFont="1" applyBorder="1" applyAlignment="1">
      <alignment vertical="center"/>
    </xf>
    <xf numFmtId="167" fontId="86" fillId="0" borderId="21" xfId="39" applyFont="1" applyBorder="1" applyAlignment="1">
      <alignment vertical="center"/>
    </xf>
    <xf numFmtId="167" fontId="86" fillId="0" borderId="3" xfId="39" applyFont="1" applyBorder="1" applyAlignment="1">
      <alignment vertical="center"/>
    </xf>
    <xf numFmtId="167" fontId="86" fillId="0" borderId="12" xfId="39" applyFont="1" applyBorder="1" applyAlignment="1">
      <alignment vertical="center"/>
    </xf>
    <xf numFmtId="167" fontId="86" fillId="0" borderId="61" xfId="39" applyFont="1" applyBorder="1" applyAlignment="1">
      <alignment vertical="center"/>
    </xf>
    <xf numFmtId="167" fontId="88" fillId="0" borderId="38" xfId="39" applyFont="1" applyBorder="1" applyAlignment="1">
      <alignment vertical="center"/>
    </xf>
    <xf numFmtId="167" fontId="92" fillId="0" borderId="3" xfId="39" applyFont="1" applyBorder="1" applyAlignment="1">
      <alignment vertical="center"/>
    </xf>
    <xf numFmtId="175" fontId="92" fillId="0" borderId="61" xfId="39" applyNumberFormat="1" applyFont="1" applyBorder="1" applyAlignment="1">
      <alignment vertical="center"/>
    </xf>
    <xf numFmtId="180" fontId="86" fillId="0" borderId="10" xfId="39" applyNumberFormat="1" applyFont="1" applyBorder="1" applyAlignment="1">
      <alignment vertical="center"/>
    </xf>
    <xf numFmtId="180" fontId="86" fillId="0" borderId="48" xfId="39" applyNumberFormat="1" applyFont="1" applyBorder="1" applyAlignment="1">
      <alignment vertical="center"/>
    </xf>
    <xf numFmtId="167" fontId="86" fillId="0" borderId="10" xfId="39" applyFont="1" applyBorder="1" applyAlignment="1">
      <alignment vertical="center"/>
    </xf>
    <xf numFmtId="167" fontId="102" fillId="0" borderId="26" xfId="39" applyFont="1" applyBorder="1" applyAlignment="1">
      <alignment vertical="center"/>
    </xf>
    <xf numFmtId="167" fontId="102" fillId="0" borderId="73" xfId="39" applyFont="1" applyBorder="1" applyAlignment="1">
      <alignment horizontal="left" vertical="center"/>
    </xf>
    <xf numFmtId="167" fontId="102" fillId="0" borderId="8" xfId="39" applyFont="1" applyBorder="1" applyAlignment="1">
      <alignment vertical="center"/>
    </xf>
    <xf numFmtId="167" fontId="102" fillId="0" borderId="27" xfId="39" applyFont="1" applyBorder="1" applyAlignment="1">
      <alignment vertical="center"/>
    </xf>
    <xf numFmtId="175" fontId="103" fillId="0" borderId="28" xfId="39" applyNumberFormat="1" applyFont="1" applyBorder="1" applyAlignment="1">
      <alignment vertical="center"/>
    </xf>
    <xf numFmtId="167" fontId="103" fillId="0" borderId="8" xfId="39" applyFont="1" applyBorder="1" applyAlignment="1">
      <alignment vertical="center"/>
    </xf>
    <xf numFmtId="167" fontId="103" fillId="0" borderId="73" xfId="39" applyFont="1" applyBorder="1" applyAlignment="1">
      <alignment vertical="center"/>
    </xf>
    <xf numFmtId="180" fontId="103" fillId="0" borderId="9" xfId="39" applyNumberFormat="1" applyFont="1" applyBorder="1" applyAlignment="1">
      <alignment vertical="center"/>
    </xf>
    <xf numFmtId="180" fontId="103" fillId="0" borderId="44" xfId="39" applyNumberFormat="1" applyFont="1" applyBorder="1" applyAlignment="1">
      <alignment vertical="center"/>
    </xf>
    <xf numFmtId="167" fontId="103" fillId="0" borderId="9" xfId="39" applyFont="1" applyBorder="1" applyAlignment="1">
      <alignment vertical="center"/>
    </xf>
    <xf numFmtId="175" fontId="103" fillId="0" borderId="28" xfId="39" applyNumberFormat="1" applyFont="1" applyFill="1" applyBorder="1" applyAlignment="1">
      <alignment vertical="center"/>
    </xf>
    <xf numFmtId="167" fontId="91" fillId="0" borderId="0" xfId="39" applyFont="1" applyFill="1" applyAlignment="1">
      <alignment vertical="top"/>
    </xf>
    <xf numFmtId="167" fontId="91" fillId="0" borderId="0" xfId="39" applyFont="1" applyAlignment="1">
      <alignment vertical="top"/>
    </xf>
    <xf numFmtId="167" fontId="91" fillId="0" borderId="0" xfId="39" applyFont="1" applyBorder="1" applyAlignment="1">
      <alignment vertical="top"/>
    </xf>
    <xf numFmtId="180" fontId="91" fillId="0" borderId="0" xfId="39" applyNumberFormat="1" applyFont="1" applyBorder="1" applyAlignment="1">
      <alignment vertical="top"/>
    </xf>
    <xf numFmtId="167" fontId="91" fillId="0" borderId="0" xfId="39" applyFont="1" applyFill="1" applyBorder="1" applyAlignment="1">
      <alignment vertical="top"/>
    </xf>
    <xf numFmtId="167" fontId="104" fillId="0" borderId="0" xfId="39" applyFont="1" applyFill="1" applyBorder="1"/>
    <xf numFmtId="0" fontId="105" fillId="0" borderId="0" xfId="40" applyFont="1"/>
    <xf numFmtId="167" fontId="106" fillId="0" borderId="0" xfId="39" applyFont="1" applyFill="1" applyBorder="1" applyAlignment="1">
      <alignment vertical="top"/>
    </xf>
    <xf numFmtId="180" fontId="104" fillId="0" borderId="0" xfId="39" applyNumberFormat="1" applyFont="1" applyFill="1" applyBorder="1"/>
    <xf numFmtId="167" fontId="106" fillId="0" borderId="0" xfId="39" applyFont="1" applyFill="1" applyBorder="1"/>
    <xf numFmtId="167" fontId="107" fillId="0" borderId="0" xfId="39" applyFont="1" applyBorder="1" applyAlignment="1">
      <alignment vertical="top"/>
    </xf>
    <xf numFmtId="167" fontId="108" fillId="0" borderId="0" xfId="39" applyFont="1" applyFill="1" applyBorder="1"/>
    <xf numFmtId="167" fontId="107" fillId="0" borderId="0" xfId="39" applyFont="1" applyFill="1" applyBorder="1" applyAlignment="1">
      <alignment vertical="top"/>
    </xf>
    <xf numFmtId="167" fontId="104" fillId="0" borderId="0" xfId="39" applyFont="1" applyFill="1" applyBorder="1" applyAlignment="1">
      <alignment vertical="top"/>
    </xf>
    <xf numFmtId="180" fontId="86" fillId="0" borderId="0" xfId="39" applyNumberFormat="1" applyFont="1"/>
    <xf numFmtId="0" fontId="88" fillId="0" borderId="0" xfId="0" applyFont="1" applyAlignment="1">
      <alignment horizontal="center"/>
    </xf>
    <xf numFmtId="0" fontId="88" fillId="0" borderId="0" xfId="0" applyFont="1"/>
    <xf numFmtId="14" fontId="88" fillId="0" borderId="0" xfId="0" applyNumberFormat="1" applyFont="1"/>
    <xf numFmtId="167" fontId="88" fillId="0" borderId="0" xfId="41" applyFont="1"/>
    <xf numFmtId="0" fontId="91" fillId="0" borderId="0" xfId="0" applyFont="1" applyAlignment="1">
      <alignment horizontal="center"/>
    </xf>
    <xf numFmtId="167" fontId="109" fillId="0" borderId="0" xfId="41" applyFont="1"/>
    <xf numFmtId="0" fontId="111" fillId="0" borderId="12" xfId="42" applyFont="1" applyBorder="1" applyAlignment="1" applyProtection="1">
      <alignment horizontal="center" vertical="center" wrapText="1"/>
      <protection locked="0"/>
    </xf>
    <xf numFmtId="15" fontId="111" fillId="0" borderId="12" xfId="42" applyNumberFormat="1" applyFont="1" applyBorder="1" applyAlignment="1" applyProtection="1">
      <alignment horizontal="center" vertical="center" wrapText="1"/>
      <protection locked="0"/>
    </xf>
    <xf numFmtId="167" fontId="111" fillId="0" borderId="12" xfId="41" applyFont="1" applyFill="1" applyBorder="1" applyAlignment="1" applyProtection="1">
      <alignment horizontal="center" vertical="center" wrapText="1"/>
      <protection locked="0"/>
    </xf>
    <xf numFmtId="167" fontId="111" fillId="0" borderId="12" xfId="43" applyFont="1" applyFill="1" applyBorder="1" applyAlignment="1" applyProtection="1">
      <alignment horizontal="center" vertical="center" wrapText="1"/>
      <protection locked="0"/>
    </xf>
    <xf numFmtId="0" fontId="111" fillId="0" borderId="0" xfId="42" applyFont="1" applyAlignment="1" applyProtection="1">
      <alignment wrapText="1"/>
      <protection locked="0"/>
    </xf>
    <xf numFmtId="0" fontId="111" fillId="0" borderId="13" xfId="42" applyFont="1" applyBorder="1" applyAlignment="1" applyProtection="1">
      <alignment horizontal="center" vertical="center" wrapText="1"/>
      <protection locked="0"/>
    </xf>
    <xf numFmtId="0" fontId="97" fillId="0" borderId="13" xfId="42" applyFont="1" applyBorder="1" applyAlignment="1" applyProtection="1">
      <alignment horizontal="center" vertical="center" shrinkToFit="1"/>
      <protection locked="0"/>
    </xf>
    <xf numFmtId="15" fontId="111" fillId="0" borderId="13" xfId="42" applyNumberFormat="1" applyFont="1" applyBorder="1" applyAlignment="1" applyProtection="1">
      <alignment horizontal="center" vertical="center" wrapText="1"/>
      <protection locked="0"/>
    </xf>
    <xf numFmtId="167" fontId="111" fillId="0" borderId="13" xfId="41" applyFont="1" applyFill="1" applyBorder="1" applyAlignment="1" applyProtection="1">
      <alignment horizontal="center" vertical="center" wrapText="1"/>
      <protection locked="0"/>
    </xf>
    <xf numFmtId="167" fontId="111" fillId="0" borderId="13" xfId="43" applyFont="1" applyFill="1" applyBorder="1" applyAlignment="1" applyProtection="1">
      <alignment horizontal="center" vertical="center" wrapText="1"/>
      <protection locked="0"/>
    </xf>
    <xf numFmtId="167" fontId="112" fillId="0" borderId="13" xfId="41" applyFont="1" applyFill="1" applyBorder="1" applyAlignment="1" applyProtection="1">
      <alignment horizontal="center" vertical="center" wrapText="1"/>
      <protection locked="0"/>
    </xf>
    <xf numFmtId="0" fontId="88" fillId="0" borderId="6" xfId="0" applyFont="1" applyBorder="1" applyAlignment="1">
      <alignment horizontal="center"/>
    </xf>
    <xf numFmtId="0" fontId="88" fillId="0" borderId="21" xfId="0" applyFont="1" applyBorder="1"/>
    <xf numFmtId="49" fontId="88" fillId="0" borderId="6" xfId="0" applyNumberFormat="1" applyFont="1" applyBorder="1"/>
    <xf numFmtId="15" fontId="88" fillId="0" borderId="6" xfId="0" applyNumberFormat="1" applyFont="1" applyBorder="1"/>
    <xf numFmtId="168" fontId="88" fillId="0" borderId="6" xfId="41" applyNumberFormat="1" applyFont="1" applyBorder="1"/>
    <xf numFmtId="0" fontId="101" fillId="0" borderId="6" xfId="0" applyFont="1" applyBorder="1"/>
    <xf numFmtId="0" fontId="88" fillId="0" borderId="6" xfId="0" applyFont="1" applyBorder="1"/>
    <xf numFmtId="167" fontId="101" fillId="0" borderId="6" xfId="41" applyFont="1" applyBorder="1"/>
    <xf numFmtId="167" fontId="101" fillId="0" borderId="0" xfId="41" applyFont="1" applyBorder="1"/>
    <xf numFmtId="49" fontId="113" fillId="0" borderId="6" xfId="0" applyNumberFormat="1" applyFont="1" applyBorder="1" applyAlignment="1">
      <alignment vertical="center"/>
    </xf>
    <xf numFmtId="0" fontId="113" fillId="0" borderId="6" xfId="0" applyFont="1" applyBorder="1" applyAlignment="1">
      <alignment horizontal="center" vertical="center"/>
    </xf>
    <xf numFmtId="15" fontId="113" fillId="0" borderId="6" xfId="0" applyNumberFormat="1" applyFont="1" applyBorder="1" applyAlignment="1">
      <alignment horizontal="center" vertical="center"/>
    </xf>
    <xf numFmtId="43" fontId="113" fillId="0" borderId="6" xfId="0" applyNumberFormat="1" applyFont="1" applyBorder="1" applyAlignment="1">
      <alignment horizontal="right" vertical="center"/>
    </xf>
    <xf numFmtId="49" fontId="113" fillId="0" borderId="21" xfId="0" applyNumberFormat="1" applyFont="1" applyBorder="1" applyAlignment="1">
      <alignment vertical="center"/>
    </xf>
    <xf numFmtId="167" fontId="88" fillId="0" borderId="6" xfId="41" applyFont="1" applyBorder="1"/>
    <xf numFmtId="0" fontId="88" fillId="10" borderId="6" xfId="0" applyFont="1" applyFill="1" applyBorder="1" applyAlignment="1">
      <alignment horizontal="center"/>
    </xf>
    <xf numFmtId="0" fontId="88" fillId="10" borderId="21" xfId="0" applyFont="1" applyFill="1" applyBorder="1"/>
    <xf numFmtId="0" fontId="91" fillId="10" borderId="6" xfId="0" applyFont="1" applyFill="1" applyBorder="1"/>
    <xf numFmtId="0" fontId="88" fillId="10" borderId="6" xfId="0" applyFont="1" applyFill="1" applyBorder="1"/>
    <xf numFmtId="167" fontId="91" fillId="10" borderId="6" xfId="41" applyFont="1" applyFill="1" applyBorder="1"/>
    <xf numFmtId="0" fontId="88" fillId="10" borderId="0" xfId="0" applyFont="1" applyFill="1"/>
    <xf numFmtId="189" fontId="113" fillId="0" borderId="6" xfId="10" applyNumberFormat="1" applyFont="1" applyBorder="1" applyAlignment="1">
      <alignment vertical="center"/>
    </xf>
    <xf numFmtId="168" fontId="88" fillId="0" borderId="6" xfId="41" applyNumberFormat="1" applyFont="1" applyFill="1" applyBorder="1"/>
    <xf numFmtId="167" fontId="101" fillId="0" borderId="6" xfId="41" applyFont="1" applyFill="1" applyBorder="1"/>
    <xf numFmtId="164" fontId="88" fillId="0" borderId="6" xfId="41" applyNumberFormat="1" applyFont="1" applyBorder="1"/>
    <xf numFmtId="49" fontId="88" fillId="0" borderId="21" xfId="0" applyNumberFormat="1" applyFont="1" applyBorder="1"/>
    <xf numFmtId="0" fontId="114" fillId="10" borderId="6" xfId="0" applyFont="1" applyFill="1" applyBorder="1"/>
    <xf numFmtId="49" fontId="88" fillId="10" borderId="21" xfId="0" applyNumberFormat="1" applyFont="1" applyFill="1" applyBorder="1"/>
    <xf numFmtId="1" fontId="113" fillId="0" borderId="6" xfId="0" applyNumberFormat="1" applyFont="1" applyBorder="1" applyAlignment="1">
      <alignment horizontal="center" vertical="center"/>
    </xf>
    <xf numFmtId="190" fontId="113" fillId="0" borderId="6" xfId="0" applyNumberFormat="1" applyFont="1" applyBorder="1" applyAlignment="1">
      <alignment horizontal="center" vertical="center"/>
    </xf>
    <xf numFmtId="191" fontId="88" fillId="0" borderId="6" xfId="0" applyNumberFormat="1" applyFont="1" applyBorder="1"/>
    <xf numFmtId="189" fontId="113" fillId="0" borderId="12" xfId="10" applyNumberFormat="1" applyFont="1" applyBorder="1" applyAlignment="1">
      <alignment vertical="center"/>
    </xf>
    <xf numFmtId="15" fontId="115" fillId="0" borderId="6" xfId="0" applyNumberFormat="1" applyFont="1" applyBorder="1" applyAlignment="1">
      <alignment horizontal="center" vertical="center"/>
    </xf>
    <xf numFmtId="167" fontId="115" fillId="0" borderId="6" xfId="10" applyFont="1" applyFill="1" applyBorder="1" applyAlignment="1">
      <alignment vertical="center"/>
    </xf>
    <xf numFmtId="43" fontId="113" fillId="0" borderId="6" xfId="0" applyNumberFormat="1" applyFont="1" applyBorder="1" applyAlignment="1">
      <alignment vertical="center"/>
    </xf>
    <xf numFmtId="191" fontId="115" fillId="0" borderId="6" xfId="0" applyNumberFormat="1" applyFont="1" applyBorder="1" applyAlignment="1">
      <alignment horizontal="center" vertical="top"/>
    </xf>
    <xf numFmtId="15" fontId="115" fillId="0" borderId="6" xfId="0" applyNumberFormat="1" applyFont="1" applyBorder="1" applyAlignment="1">
      <alignment horizontal="center" vertical="top"/>
    </xf>
    <xf numFmtId="0" fontId="91" fillId="0" borderId="0" xfId="0" applyFont="1"/>
    <xf numFmtId="164" fontId="88" fillId="0" borderId="0" xfId="0" applyNumberFormat="1" applyFont="1"/>
    <xf numFmtId="167" fontId="91" fillId="0" borderId="0" xfId="41" applyFont="1" applyBorder="1"/>
    <xf numFmtId="0" fontId="114" fillId="0" borderId="0" xfId="0" applyFont="1"/>
    <xf numFmtId="0" fontId="88" fillId="11" borderId="6" xfId="0" applyFont="1" applyFill="1" applyBorder="1" applyAlignment="1">
      <alignment horizontal="center"/>
    </xf>
    <xf numFmtId="0" fontId="88" fillId="11" borderId="21" xfId="0" applyFont="1" applyFill="1" applyBorder="1"/>
    <xf numFmtId="0" fontId="91" fillId="11" borderId="6" xfId="0" applyFont="1" applyFill="1" applyBorder="1"/>
    <xf numFmtId="0" fontId="88" fillId="11" borderId="6" xfId="0" applyFont="1" applyFill="1" applyBorder="1"/>
    <xf numFmtId="167" fontId="91" fillId="11" borderId="6" xfId="41" applyFont="1" applyFill="1" applyBorder="1"/>
    <xf numFmtId="0" fontId="88" fillId="11" borderId="0" xfId="0" applyFont="1" applyFill="1"/>
    <xf numFmtId="0" fontId="88" fillId="0" borderId="0" xfId="0" applyFont="1" applyAlignment="1">
      <alignment horizontal="right"/>
    </xf>
    <xf numFmtId="172" fontId="11" fillId="0" borderId="0" xfId="4" applyNumberFormat="1" applyFont="1" applyFill="1"/>
    <xf numFmtId="1" fontId="11" fillId="0" borderId="0" xfId="4" applyNumberFormat="1" applyFont="1" applyFill="1"/>
    <xf numFmtId="172" fontId="17" fillId="0" borderId="0" xfId="4" applyNumberFormat="1" applyFont="1" applyFill="1"/>
    <xf numFmtId="0" fontId="10" fillId="0" borderId="3" xfId="0" applyFont="1" applyFill="1" applyBorder="1" applyAlignment="1">
      <alignment vertical="center" wrapText="1"/>
    </xf>
    <xf numFmtId="172" fontId="11" fillId="0" borderId="2" xfId="4" applyNumberFormat="1" applyFont="1" applyFill="1" applyBorder="1"/>
    <xf numFmtId="0" fontId="11" fillId="0" borderId="5" xfId="0" applyFont="1" applyFill="1" applyBorder="1" applyAlignment="1">
      <alignment vertical="center" wrapText="1"/>
    </xf>
    <xf numFmtId="172" fontId="11" fillId="0" borderId="1" xfId="4" applyNumberFormat="1" applyFont="1" applyFill="1" applyBorder="1"/>
    <xf numFmtId="0" fontId="10" fillId="0" borderId="4" xfId="0" applyFont="1" applyFill="1" applyBorder="1" applyAlignment="1">
      <alignment vertical="top" wrapText="1"/>
    </xf>
    <xf numFmtId="172" fontId="11" fillId="0" borderId="0" xfId="4" applyNumberFormat="1" applyFont="1" applyFill="1" applyBorder="1"/>
    <xf numFmtId="0" fontId="11" fillId="0" borderId="14" xfId="0" applyFont="1" applyFill="1" applyBorder="1" applyAlignment="1">
      <alignment vertical="center" wrapText="1"/>
    </xf>
    <xf numFmtId="0" fontId="11" fillId="0" borderId="4" xfId="0" applyFont="1" applyFill="1" applyBorder="1" applyAlignment="1">
      <alignment vertical="top"/>
    </xf>
    <xf numFmtId="0" fontId="11" fillId="0" borderId="4" xfId="0" applyFont="1" applyFill="1" applyBorder="1" applyAlignment="1">
      <alignment vertical="top" wrapText="1"/>
    </xf>
    <xf numFmtId="1" fontId="10" fillId="0" borderId="14" xfId="4" applyNumberFormat="1" applyFont="1" applyFill="1" applyBorder="1" applyAlignment="1">
      <alignment horizontal="center"/>
    </xf>
    <xf numFmtId="0" fontId="11" fillId="0" borderId="4" xfId="0" applyFont="1" applyFill="1" applyBorder="1" applyAlignment="1">
      <alignment vertical="center" wrapText="1"/>
    </xf>
    <xf numFmtId="0" fontId="11" fillId="0" borderId="4" xfId="0" applyFont="1" applyFill="1" applyBorder="1" applyAlignment="1">
      <alignment horizontal="left" vertical="top" wrapText="1"/>
    </xf>
    <xf numFmtId="0" fontId="10" fillId="0" borderId="4" xfId="0" applyFont="1" applyFill="1" applyBorder="1" applyAlignment="1">
      <alignment horizontal="left" vertical="top" wrapText="1"/>
    </xf>
    <xf numFmtId="0" fontId="11" fillId="0" borderId="4" xfId="0" applyFont="1" applyFill="1" applyBorder="1" applyAlignment="1">
      <alignment horizontal="left" vertical="top"/>
    </xf>
    <xf numFmtId="172" fontId="11" fillId="0" borderId="11" xfId="4" applyNumberFormat="1" applyFont="1" applyFill="1" applyBorder="1"/>
    <xf numFmtId="0" fontId="10" fillId="0" borderId="4" xfId="0" applyFont="1" applyFill="1" applyBorder="1" applyAlignment="1">
      <alignment vertical="center" wrapText="1"/>
    </xf>
    <xf numFmtId="0" fontId="10" fillId="0" borderId="4" xfId="0" applyFont="1" applyFill="1" applyBorder="1" applyAlignment="1">
      <alignment vertical="center"/>
    </xf>
    <xf numFmtId="171" fontId="10" fillId="0" borderId="4" xfId="0" applyNumberFormat="1" applyFont="1" applyFill="1" applyBorder="1" applyAlignment="1">
      <alignment vertical="center"/>
    </xf>
    <xf numFmtId="0" fontId="10" fillId="0" borderId="5" xfId="0" applyFont="1" applyFill="1" applyBorder="1" applyAlignment="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4" xfId="4" applyNumberFormat="1" applyFont="1" applyFill="1" applyBorder="1"/>
    <xf numFmtId="0" fontId="11" fillId="0" borderId="0" xfId="4" applyNumberFormat="1" applyFont="1" applyFill="1" applyBorder="1"/>
    <xf numFmtId="1" fontId="11" fillId="0" borderId="0" xfId="4" applyNumberFormat="1" applyFont="1" applyFill="1" applyBorder="1"/>
    <xf numFmtId="172" fontId="10" fillId="0" borderId="4" xfId="4" applyNumberFormat="1" applyFont="1" applyFill="1" applyBorder="1"/>
    <xf numFmtId="172" fontId="10" fillId="0" borderId="0" xfId="4" applyNumberFormat="1" applyFont="1" applyFill="1" applyBorder="1"/>
    <xf numFmtId="1" fontId="10" fillId="0" borderId="0" xfId="4" applyNumberFormat="1" applyFont="1" applyFill="1" applyBorder="1" applyAlignment="1">
      <alignment horizontal="left"/>
    </xf>
    <xf numFmtId="172" fontId="11" fillId="0" borderId="4" xfId="4" applyNumberFormat="1" applyFont="1" applyFill="1" applyBorder="1"/>
    <xf numFmtId="172" fontId="11" fillId="0" borderId="4" xfId="4" applyNumberFormat="1" applyFont="1" applyFill="1" applyBorder="1" applyAlignment="1">
      <alignment vertical="center"/>
    </xf>
    <xf numFmtId="1" fontId="11" fillId="0" borderId="0" xfId="4" applyNumberFormat="1" applyFont="1" applyFill="1" applyBorder="1" applyAlignment="1">
      <alignment horizontal="left"/>
    </xf>
    <xf numFmtId="1" fontId="11" fillId="0" borderId="1" xfId="4" applyNumberFormat="1" applyFont="1" applyFill="1" applyBorder="1"/>
    <xf numFmtId="172" fontId="11" fillId="0" borderId="10" xfId="4" applyNumberFormat="1" applyFont="1" applyFill="1" applyBorder="1"/>
    <xf numFmtId="172" fontId="11" fillId="0" borderId="17" xfId="4" applyNumberFormat="1" applyFont="1" applyFill="1" applyBorder="1"/>
    <xf numFmtId="1" fontId="10" fillId="0" borderId="3" xfId="4" applyNumberFormat="1" applyFont="1" applyFill="1" applyBorder="1" applyAlignment="1">
      <alignment horizontal="center"/>
    </xf>
    <xf numFmtId="1" fontId="10" fillId="0" borderId="4" xfId="4" applyNumberFormat="1" applyFont="1" applyFill="1" applyBorder="1" applyAlignment="1">
      <alignment horizontal="center"/>
    </xf>
    <xf numFmtId="0" fontId="11" fillId="0" borderId="4" xfId="0" applyFont="1" applyFill="1" applyBorder="1" applyAlignment="1">
      <alignment vertical="center"/>
    </xf>
    <xf numFmtId="0" fontId="11" fillId="0" borderId="11" xfId="0" applyFont="1" applyFill="1" applyBorder="1" applyAlignment="1">
      <alignment horizontal="left" vertical="top" wrapText="1"/>
    </xf>
    <xf numFmtId="0" fontId="10" fillId="0" borderId="0" xfId="0" applyFont="1" applyFill="1" applyBorder="1" applyAlignment="1">
      <alignment vertical="center"/>
    </xf>
    <xf numFmtId="0" fontId="10" fillId="0" borderId="11" xfId="0" applyFont="1" applyFill="1" applyBorder="1" applyAlignment="1">
      <alignment horizontal="left" vertical="center" wrapText="1"/>
    </xf>
    <xf numFmtId="0" fontId="11" fillId="0" borderId="0" xfId="0" applyFont="1" applyFill="1" applyBorder="1" applyAlignment="1">
      <alignment horizontal="left" vertical="top" wrapText="1"/>
    </xf>
    <xf numFmtId="1" fontId="10" fillId="0" borderId="0" xfId="4" applyNumberFormat="1" applyFont="1" applyFill="1" applyAlignment="1">
      <alignment horizontal="center"/>
    </xf>
    <xf numFmtId="0" fontId="11" fillId="0" borderId="0" xfId="0" applyFont="1" applyFill="1" applyBorder="1" applyAlignment="1">
      <alignment vertical="center"/>
    </xf>
    <xf numFmtId="0" fontId="11" fillId="0" borderId="0" xfId="0" applyFont="1" applyFill="1" applyBorder="1" applyAlignment="1">
      <alignment vertical="top"/>
    </xf>
    <xf numFmtId="0" fontId="10" fillId="0" borderId="0" xfId="0" applyFont="1" applyFill="1" applyBorder="1" applyAlignment="1">
      <alignment vertical="top"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1" fillId="0" borderId="2" xfId="0" applyFont="1" applyFill="1" applyBorder="1" applyAlignment="1">
      <alignment horizontal="center" vertical="center" wrapText="1"/>
    </xf>
    <xf numFmtId="1" fontId="10" fillId="0" borderId="0" xfId="4" applyNumberFormat="1" applyFont="1" applyFill="1" applyBorder="1"/>
    <xf numFmtId="172" fontId="11" fillId="0" borderId="5" xfId="4" applyNumberFormat="1" applyFont="1" applyFill="1" applyBorder="1"/>
    <xf numFmtId="172" fontId="17" fillId="0" borderId="2" xfId="4" applyNumberFormat="1" applyFont="1" applyFill="1" applyBorder="1"/>
    <xf numFmtId="172" fontId="10" fillId="0" borderId="3" xfId="4" applyNumberFormat="1" applyFont="1" applyFill="1" applyBorder="1" applyAlignment="1">
      <alignment horizontal="left" vertical="center"/>
    </xf>
    <xf numFmtId="1" fontId="10" fillId="0" borderId="2" xfId="4" applyNumberFormat="1" applyFont="1" applyFill="1" applyBorder="1" applyAlignment="1">
      <alignment horizontal="center"/>
    </xf>
    <xf numFmtId="1" fontId="10" fillId="0" borderId="1" xfId="4" applyNumberFormat="1" applyFont="1" applyFill="1" applyBorder="1"/>
    <xf numFmtId="0" fontId="12" fillId="0" borderId="4" xfId="0" applyFont="1" applyFill="1" applyBorder="1"/>
    <xf numFmtId="0" fontId="11" fillId="0" borderId="0" xfId="0" applyFont="1" applyFill="1"/>
    <xf numFmtId="0" fontId="11" fillId="0" borderId="4" xfId="0" applyFont="1" applyFill="1" applyBorder="1"/>
    <xf numFmtId="0" fontId="10" fillId="0" borderId="4" xfId="4" applyNumberFormat="1" applyFont="1" applyFill="1" applyBorder="1" applyAlignment="1">
      <alignment horizontal="left" vertical="top"/>
    </xf>
    <xf numFmtId="0" fontId="10" fillId="0" borderId="4" xfId="0" applyFont="1" applyFill="1" applyBorder="1"/>
    <xf numFmtId="0" fontId="10" fillId="0" borderId="0" xfId="0" applyFont="1" applyFill="1"/>
    <xf numFmtId="171" fontId="11" fillId="0" borderId="0" xfId="0" applyNumberFormat="1" applyFont="1" applyFill="1"/>
    <xf numFmtId="0" fontId="11" fillId="0" borderId="5" xfId="0" applyFont="1" applyFill="1" applyBorder="1"/>
    <xf numFmtId="0" fontId="11" fillId="0" borderId="3" xfId="0" applyFont="1" applyFill="1" applyBorder="1"/>
    <xf numFmtId="172" fontId="10" fillId="0" borderId="0" xfId="4" applyNumberFormat="1" applyFont="1" applyFill="1"/>
    <xf numFmtId="1" fontId="10" fillId="0" borderId="0" xfId="4" applyNumberFormat="1" applyFont="1" applyFill="1"/>
    <xf numFmtId="172" fontId="18" fillId="0" borderId="0" xfId="4" applyNumberFormat="1" applyFont="1" applyFill="1"/>
    <xf numFmtId="0" fontId="11" fillId="0" borderId="4" xfId="4" applyNumberFormat="1" applyFont="1" applyFill="1" applyBorder="1" applyAlignment="1">
      <alignment vertical="top"/>
    </xf>
    <xf numFmtId="0" fontId="11" fillId="0" borderId="0" xfId="4" applyNumberFormat="1" applyFont="1" applyFill="1" applyAlignment="1">
      <alignment vertical="top"/>
    </xf>
    <xf numFmtId="0" fontId="10" fillId="0" borderId="0" xfId="4" applyNumberFormat="1" applyFont="1" applyFill="1" applyAlignment="1">
      <alignment vertical="top"/>
    </xf>
    <xf numFmtId="0" fontId="12" fillId="0" borderId="4" xfId="4" applyNumberFormat="1" applyFont="1" applyFill="1" applyBorder="1" applyAlignment="1">
      <alignment vertical="top"/>
    </xf>
    <xf numFmtId="0" fontId="11" fillId="0" borderId="6" xfId="4" applyNumberFormat="1" applyFont="1" applyFill="1" applyBorder="1" applyAlignment="1">
      <alignment vertical="top" wrapText="1"/>
    </xf>
    <xf numFmtId="171" fontId="11" fillId="0" borderId="6" xfId="1" applyNumberFormat="1" applyFont="1" applyFill="1" applyBorder="1" applyAlignment="1">
      <alignment vertical="center"/>
    </xf>
    <xf numFmtId="0" fontId="10" fillId="0" borderId="4" xfId="4" applyNumberFormat="1" applyFont="1" applyFill="1" applyBorder="1" applyAlignment="1">
      <alignment vertical="top"/>
    </xf>
    <xf numFmtId="0" fontId="10" fillId="0" borderId="5" xfId="4" applyNumberFormat="1" applyFont="1" applyFill="1" applyBorder="1" applyAlignment="1">
      <alignment vertical="top"/>
    </xf>
    <xf numFmtId="0" fontId="11" fillId="0" borderId="4" xfId="4" applyNumberFormat="1" applyFont="1" applyFill="1" applyBorder="1" applyAlignment="1">
      <alignment horizontal="left"/>
    </xf>
    <xf numFmtId="0" fontId="11" fillId="0" borderId="0" xfId="4" applyNumberFormat="1" applyFont="1" applyFill="1" applyAlignment="1">
      <alignment horizontal="left"/>
    </xf>
    <xf numFmtId="1" fontId="11" fillId="0" borderId="0" xfId="4" applyNumberFormat="1" applyFont="1" applyFill="1" applyAlignment="1">
      <alignment wrapText="1"/>
    </xf>
    <xf numFmtId="0" fontId="12" fillId="0" borderId="4" xfId="4" applyNumberFormat="1" applyFont="1" applyFill="1" applyBorder="1"/>
    <xf numFmtId="0" fontId="12" fillId="0" borderId="0" xfId="4" applyNumberFormat="1" applyFont="1" applyFill="1"/>
    <xf numFmtId="0" fontId="10" fillId="0" borderId="4" xfId="4" applyNumberFormat="1" applyFont="1" applyFill="1" applyBorder="1" applyAlignment="1">
      <alignment horizontal="left"/>
    </xf>
    <xf numFmtId="1" fontId="10" fillId="0" borderId="6" xfId="4" applyNumberFormat="1" applyFont="1" applyFill="1" applyBorder="1" applyAlignment="1">
      <alignment vertical="center" wrapText="1"/>
    </xf>
    <xf numFmtId="0" fontId="15" fillId="0" borderId="4" xfId="0" applyFont="1" applyFill="1" applyBorder="1"/>
    <xf numFmtId="0" fontId="10" fillId="0" borderId="5" xfId="4" applyNumberFormat="1" applyFont="1" applyFill="1" applyBorder="1" applyAlignment="1">
      <alignment horizontal="center"/>
    </xf>
    <xf numFmtId="0" fontId="17" fillId="0" borderId="0" xfId="0" applyFont="1" applyFill="1"/>
    <xf numFmtId="0" fontId="15" fillId="0" borderId="4" xfId="4" applyNumberFormat="1" applyFont="1" applyFill="1" applyBorder="1" applyAlignment="1">
      <alignment horizontal="left"/>
    </xf>
    <xf numFmtId="0" fontId="11" fillId="0" borderId="4" xfId="4" applyNumberFormat="1" applyFont="1" applyFill="1" applyBorder="1" applyAlignment="1">
      <alignment horizontal="left" vertical="top"/>
    </xf>
    <xf numFmtId="0" fontId="10" fillId="0" borderId="0" xfId="4" applyNumberFormat="1" applyFont="1" applyFill="1" applyAlignment="1">
      <alignment horizontal="left"/>
    </xf>
    <xf numFmtId="165" fontId="11" fillId="0" borderId="0" xfId="4" applyNumberFormat="1" applyFont="1" applyFill="1" applyAlignment="1">
      <alignment horizontal="justify" vertical="top" wrapText="1"/>
    </xf>
    <xf numFmtId="0" fontId="10" fillId="0" borderId="4" xfId="4" applyNumberFormat="1" applyFont="1" applyFill="1" applyBorder="1" applyAlignment="1">
      <alignment horizontal="center" wrapText="1"/>
    </xf>
    <xf numFmtId="9" fontId="11" fillId="0" borderId="4" xfId="4" applyNumberFormat="1" applyFont="1" applyFill="1" applyBorder="1" applyAlignment="1">
      <alignment vertical="top"/>
    </xf>
    <xf numFmtId="0" fontId="10" fillId="0" borderId="0" xfId="4" applyNumberFormat="1" applyFont="1" applyFill="1" applyAlignment="1">
      <alignment horizontal="left" vertical="top"/>
    </xf>
    <xf numFmtId="0" fontId="10" fillId="0" borderId="5" xfId="4" applyNumberFormat="1" applyFont="1" applyFill="1" applyBorder="1" applyAlignment="1">
      <alignment horizontal="center" wrapText="1"/>
    </xf>
    <xf numFmtId="172" fontId="11" fillId="0" borderId="4" xfId="6" quotePrefix="1" applyNumberFormat="1" applyFont="1" applyFill="1" applyBorder="1"/>
    <xf numFmtId="172" fontId="10" fillId="0" borderId="4" xfId="6" applyNumberFormat="1" applyFont="1" applyFill="1" applyBorder="1"/>
    <xf numFmtId="172" fontId="11" fillId="0" borderId="4" xfId="6" applyNumberFormat="1" applyFont="1" applyFill="1" applyBorder="1"/>
    <xf numFmtId="1" fontId="11" fillId="0" borderId="11" xfId="4" applyNumberFormat="1" applyFont="1" applyFill="1" applyBorder="1"/>
    <xf numFmtId="0" fontId="11" fillId="0" borderId="11" xfId="0" applyFont="1" applyFill="1" applyBorder="1"/>
    <xf numFmtId="1" fontId="11" fillId="0" borderId="17" xfId="4" applyNumberFormat="1" applyFont="1" applyFill="1" applyBorder="1"/>
    <xf numFmtId="172" fontId="11" fillId="0" borderId="3" xfId="4" applyNumberFormat="1" applyFont="1" applyFill="1" applyBorder="1"/>
    <xf numFmtId="1" fontId="11" fillId="0" borderId="2" xfId="4" applyNumberFormat="1" applyFont="1" applyFill="1" applyBorder="1"/>
    <xf numFmtId="0" fontId="10" fillId="0" borderId="0" xfId="0" applyFont="1" applyFill="1" applyBorder="1"/>
    <xf numFmtId="165" fontId="11" fillId="0" borderId="0" xfId="0" applyNumberFormat="1" applyFont="1" applyFill="1"/>
    <xf numFmtId="171" fontId="11" fillId="0" borderId="11" xfId="4" applyFont="1" applyFill="1" applyBorder="1"/>
    <xf numFmtId="0" fontId="10" fillId="0" borderId="11" xfId="0" applyFont="1" applyFill="1" applyBorder="1" applyAlignment="1">
      <alignment horizontal="right"/>
    </xf>
    <xf numFmtId="172" fontId="10" fillId="0" borderId="6" xfId="4" applyNumberFormat="1" applyFont="1" applyFill="1" applyBorder="1" applyAlignment="1">
      <alignment horizontal="center"/>
    </xf>
    <xf numFmtId="172" fontId="10" fillId="0" borderId="14" xfId="4" applyNumberFormat="1" applyFont="1" applyFill="1" applyBorder="1"/>
    <xf numFmtId="0" fontId="10" fillId="0" borderId="14" xfId="4" applyNumberFormat="1" applyFont="1" applyFill="1" applyBorder="1" applyAlignment="1">
      <alignment horizontal="center"/>
    </xf>
    <xf numFmtId="0" fontId="10" fillId="0" borderId="17" xfId="4" applyNumberFormat="1" applyFont="1" applyFill="1" applyBorder="1" applyAlignment="1">
      <alignment horizontal="center"/>
    </xf>
    <xf numFmtId="0" fontId="10" fillId="0" borderId="11" xfId="4" applyNumberFormat="1" applyFont="1" applyFill="1" applyBorder="1" applyAlignment="1">
      <alignment horizontal="center"/>
    </xf>
    <xf numFmtId="0" fontId="11" fillId="0" borderId="0" xfId="0" applyFont="1" applyFill="1" applyAlignment="1">
      <alignment vertical="top" wrapText="1"/>
    </xf>
    <xf numFmtId="172" fontId="12" fillId="0" borderId="5" xfId="0" applyNumberFormat="1" applyFont="1" applyFill="1" applyBorder="1" applyAlignment="1">
      <alignment horizontal="left" vertical="top"/>
    </xf>
    <xf numFmtId="1" fontId="10" fillId="0" borderId="2" xfId="4" applyNumberFormat="1" applyFont="1" applyFill="1" applyBorder="1"/>
    <xf numFmtId="1" fontId="10" fillId="0" borderId="10" xfId="4" applyNumberFormat="1" applyFont="1" applyFill="1" applyBorder="1"/>
    <xf numFmtId="172" fontId="10" fillId="0" borderId="5" xfId="4" applyNumberFormat="1" applyFont="1" applyFill="1" applyBorder="1"/>
    <xf numFmtId="1" fontId="10" fillId="0" borderId="17" xfId="4" applyNumberFormat="1" applyFont="1" applyFill="1" applyBorder="1"/>
    <xf numFmtId="172" fontId="10" fillId="0" borderId="3" xfId="4" applyNumberFormat="1" applyFont="1" applyFill="1" applyBorder="1"/>
    <xf numFmtId="172" fontId="10" fillId="0" borderId="2" xfId="4" applyNumberFormat="1" applyFont="1" applyFill="1" applyBorder="1" applyAlignment="1">
      <alignment wrapText="1"/>
    </xf>
    <xf numFmtId="172" fontId="10" fillId="0" borderId="11" xfId="4" applyNumberFormat="1" applyFont="1" applyFill="1" applyBorder="1" applyAlignment="1">
      <alignment horizontal="left" wrapText="1"/>
    </xf>
    <xf numFmtId="1" fontId="10" fillId="0" borderId="11" xfId="4" applyNumberFormat="1" applyFont="1" applyFill="1" applyBorder="1"/>
    <xf numFmtId="172" fontId="10" fillId="0" borderId="0" xfId="4" applyNumberFormat="1" applyFont="1" applyFill="1" applyAlignment="1">
      <alignment wrapText="1"/>
    </xf>
    <xf numFmtId="172" fontId="11" fillId="0" borderId="4" xfId="4" applyNumberFormat="1" applyFont="1" applyFill="1" applyBorder="1" applyAlignment="1">
      <alignment vertical="top"/>
    </xf>
    <xf numFmtId="172" fontId="10" fillId="0" borderId="4" xfId="4" applyNumberFormat="1" applyFont="1" applyFill="1" applyBorder="1" applyAlignment="1">
      <alignment vertical="top"/>
    </xf>
    <xf numFmtId="0" fontId="11" fillId="0" borderId="0" xfId="0" applyFont="1" applyFill="1" applyAlignment="1">
      <alignment horizontal="justify" vertical="top"/>
    </xf>
    <xf numFmtId="0" fontId="11" fillId="0" borderId="0" xfId="4" applyNumberFormat="1" applyFont="1" applyFill="1" applyAlignment="1">
      <alignment horizontal="left" wrapText="1"/>
    </xf>
    <xf numFmtId="0" fontId="11" fillId="0" borderId="4" xfId="4" applyNumberFormat="1" applyFont="1" applyFill="1" applyBorder="1" applyAlignment="1">
      <alignment horizontal="left" wrapText="1"/>
    </xf>
    <xf numFmtId="0" fontId="11" fillId="0" borderId="11" xfId="4" applyNumberFormat="1" applyFont="1" applyFill="1" applyBorder="1" applyAlignment="1">
      <alignment horizontal="left" wrapText="1"/>
    </xf>
    <xf numFmtId="0" fontId="12" fillId="0" borderId="4" xfId="4" applyNumberFormat="1" applyFont="1" applyFill="1" applyBorder="1" applyAlignment="1">
      <alignment horizontal="left"/>
    </xf>
    <xf numFmtId="0" fontId="10" fillId="0" borderId="3" xfId="4" applyNumberFormat="1" applyFont="1" applyFill="1" applyBorder="1" applyAlignment="1">
      <alignment horizontal="left" wrapText="1"/>
    </xf>
    <xf numFmtId="171" fontId="10" fillId="0" borderId="12" xfId="4" applyFont="1" applyFill="1" applyBorder="1" applyAlignment="1">
      <alignment horizontal="center" wrapText="1"/>
    </xf>
    <xf numFmtId="0" fontId="10" fillId="0" borderId="5" xfId="4" applyNumberFormat="1" applyFont="1" applyFill="1" applyBorder="1" applyAlignment="1">
      <alignment horizontal="left" wrapText="1"/>
    </xf>
    <xf numFmtId="0" fontId="10" fillId="0" borderId="1" xfId="4" applyNumberFormat="1" applyFont="1" applyFill="1" applyBorder="1" applyAlignment="1">
      <alignment horizontal="left" wrapText="1"/>
    </xf>
    <xf numFmtId="171" fontId="10" fillId="0" borderId="13" xfId="4" applyFont="1" applyFill="1" applyBorder="1" applyAlignment="1">
      <alignment horizontal="center" wrapText="1"/>
    </xf>
    <xf numFmtId="0" fontId="10" fillId="0" borderId="4" xfId="4" applyNumberFormat="1" applyFont="1" applyFill="1" applyBorder="1" applyAlignment="1">
      <alignment horizontal="left" wrapText="1"/>
    </xf>
    <xf numFmtId="0" fontId="10" fillId="0" borderId="18" xfId="4" applyNumberFormat="1" applyFont="1" applyFill="1" applyBorder="1" applyAlignment="1">
      <alignment horizontal="left" wrapText="1"/>
    </xf>
    <xf numFmtId="172" fontId="10" fillId="0" borderId="7" xfId="4" applyNumberFormat="1" applyFont="1" applyFill="1" applyBorder="1"/>
    <xf numFmtId="0" fontId="10" fillId="0" borderId="7" xfId="4" applyNumberFormat="1" applyFont="1" applyFill="1" applyBorder="1" applyAlignment="1">
      <alignment horizontal="left" wrapText="1"/>
    </xf>
    <xf numFmtId="172" fontId="10" fillId="0" borderId="1" xfId="4" applyNumberFormat="1" applyFont="1" applyFill="1" applyBorder="1"/>
    <xf numFmtId="172" fontId="11" fillId="0" borderId="12" xfId="4" applyNumberFormat="1" applyFont="1" applyFill="1" applyBorder="1"/>
    <xf numFmtId="1" fontId="11" fillId="0" borderId="10" xfId="4" applyNumberFormat="1" applyFont="1" applyFill="1" applyBorder="1"/>
    <xf numFmtId="0" fontId="10" fillId="0" borderId="4" xfId="4" applyNumberFormat="1" applyFont="1" applyFill="1" applyBorder="1"/>
    <xf numFmtId="0" fontId="10" fillId="0" borderId="4" xfId="0" applyFont="1" applyFill="1" applyBorder="1" applyAlignment="1">
      <alignment horizontal="left"/>
    </xf>
    <xf numFmtId="0" fontId="11" fillId="0" borderId="4" xfId="0" applyFont="1" applyFill="1" applyBorder="1" applyAlignment="1">
      <alignment horizontal="left" vertical="center" wrapText="1"/>
    </xf>
    <xf numFmtId="0" fontId="11" fillId="0" borderId="5" xfId="0" applyFont="1" applyFill="1" applyBorder="1" applyAlignment="1">
      <alignment horizontal="justify" vertical="top" wrapText="1"/>
    </xf>
    <xf numFmtId="0" fontId="11" fillId="0" borderId="1" xfId="0" applyFont="1" applyFill="1" applyBorder="1" applyAlignment="1">
      <alignment horizontal="justify" vertical="top" wrapText="1"/>
    </xf>
    <xf numFmtId="172" fontId="12" fillId="0" borderId="4" xfId="4" applyNumberFormat="1" applyFont="1" applyFill="1" applyBorder="1"/>
    <xf numFmtId="172" fontId="11" fillId="0" borderId="0" xfId="4" applyNumberFormat="1" applyFont="1" applyFill="1" applyAlignment="1">
      <alignment vertical="top"/>
    </xf>
    <xf numFmtId="1" fontId="11" fillId="0" borderId="1" xfId="4" applyNumberFormat="1" applyFont="1" applyFill="1" applyBorder="1" applyAlignment="1">
      <alignment horizontal="left"/>
    </xf>
    <xf numFmtId="172" fontId="11" fillId="0" borderId="0" xfId="4" applyNumberFormat="1" applyFont="1" applyFill="1" applyAlignment="1">
      <alignment horizontal="center" vertical="top"/>
    </xf>
    <xf numFmtId="167" fontId="0" fillId="0" borderId="0" xfId="0" applyNumberFormat="1"/>
    <xf numFmtId="171" fontId="11" fillId="0" borderId="6" xfId="1" applyNumberFormat="1" applyFont="1" applyFill="1" applyBorder="1" applyAlignment="1"/>
    <xf numFmtId="10" fontId="11" fillId="0" borderId="6" xfId="2" applyNumberFormat="1" applyFont="1" applyFill="1" applyBorder="1" applyAlignment="1"/>
    <xf numFmtId="0" fontId="2" fillId="0" borderId="0" xfId="0" applyFont="1" applyAlignment="1">
      <alignment vertical="center"/>
    </xf>
    <xf numFmtId="0" fontId="2" fillId="0" borderId="0" xfId="0" applyFont="1" applyAlignment="1">
      <alignment horizontal="center" vertical="center" wrapText="1"/>
    </xf>
    <xf numFmtId="49" fontId="0" fillId="0" borderId="0" xfId="0" applyNumberFormat="1"/>
    <xf numFmtId="2" fontId="10" fillId="0" borderId="4" xfId="3" applyNumberFormat="1" applyFont="1" applyFill="1" applyBorder="1" applyAlignment="1">
      <alignment vertical="top" wrapText="1"/>
    </xf>
    <xf numFmtId="2" fontId="10" fillId="0" borderId="0" xfId="3" applyNumberFormat="1" applyFont="1" applyFill="1" applyBorder="1" applyAlignment="1">
      <alignment vertical="top" wrapText="1"/>
    </xf>
    <xf numFmtId="2" fontId="11" fillId="0" borderId="4" xfId="3" applyNumberFormat="1" applyFont="1" applyFill="1" applyBorder="1" applyAlignment="1">
      <alignment vertical="top" wrapText="1"/>
    </xf>
    <xf numFmtId="2" fontId="11" fillId="0" borderId="0" xfId="3" applyNumberFormat="1" applyFont="1" applyFill="1" applyBorder="1" applyAlignment="1">
      <alignment vertical="top" wrapText="1"/>
    </xf>
    <xf numFmtId="2" fontId="10" fillId="0" borderId="3" xfId="3" applyNumberFormat="1" applyFont="1" applyFill="1" applyBorder="1" applyAlignment="1"/>
    <xf numFmtId="171" fontId="11" fillId="0" borderId="2" xfId="1" applyNumberFormat="1" applyFont="1" applyFill="1" applyBorder="1" applyAlignment="1"/>
    <xf numFmtId="171" fontId="10" fillId="0" borderId="11" xfId="1" applyNumberFormat="1" applyFont="1" applyFill="1" applyBorder="1" applyAlignment="1">
      <alignment horizontal="justify" vertical="top" wrapText="1"/>
    </xf>
    <xf numFmtId="171" fontId="10" fillId="0" borderId="11" xfId="1" applyNumberFormat="1" applyFont="1" applyFill="1" applyBorder="1" applyAlignment="1">
      <alignment horizontal="left" vertical="top" wrapText="1"/>
    </xf>
    <xf numFmtId="1" fontId="10" fillId="0" borderId="7" xfId="4" applyNumberFormat="1" applyFont="1" applyFill="1" applyBorder="1"/>
    <xf numFmtId="171" fontId="10" fillId="0" borderId="7" xfId="1" applyNumberFormat="1" applyFont="1" applyFill="1" applyBorder="1" applyAlignment="1"/>
    <xf numFmtId="167" fontId="10" fillId="0" borderId="1" xfId="4" applyNumberFormat="1" applyFont="1" applyFill="1" applyBorder="1" applyAlignment="1">
      <alignment horizontal="center" vertical="center" wrapText="1"/>
    </xf>
    <xf numFmtId="171" fontId="10" fillId="0" borderId="13" xfId="1" applyNumberFormat="1" applyFont="1" applyFill="1" applyBorder="1" applyAlignment="1">
      <alignment horizontal="center" vertical="center"/>
    </xf>
    <xf numFmtId="2" fontId="11" fillId="0" borderId="0" xfId="4" applyNumberFormat="1" applyFont="1" applyFill="1" applyBorder="1" applyAlignment="1">
      <alignment horizontal="center"/>
    </xf>
    <xf numFmtId="2" fontId="11" fillId="0" borderId="1" xfId="4" applyNumberFormat="1" applyFont="1" applyFill="1" applyBorder="1" applyAlignment="1">
      <alignment horizontal="center"/>
    </xf>
    <xf numFmtId="0" fontId="116" fillId="0" borderId="0" xfId="0" applyFont="1"/>
    <xf numFmtId="0" fontId="89" fillId="0" borderId="0" xfId="0" applyFont="1"/>
    <xf numFmtId="0" fontId="101" fillId="0" borderId="0" xfId="0" applyFont="1"/>
    <xf numFmtId="164" fontId="95" fillId="10" borderId="6" xfId="11" applyFont="1" applyFill="1" applyBorder="1" applyAlignment="1">
      <alignment vertical="top"/>
    </xf>
    <xf numFmtId="180" fontId="95" fillId="10" borderId="6" xfId="11" applyNumberFormat="1" applyFont="1" applyFill="1" applyBorder="1" applyAlignment="1">
      <alignment vertical="top"/>
    </xf>
    <xf numFmtId="167" fontId="92" fillId="0" borderId="0" xfId="39" applyFont="1" applyAlignment="1">
      <alignment vertical="top"/>
    </xf>
    <xf numFmtId="167" fontId="92" fillId="0" borderId="0" xfId="39" applyFont="1" applyFill="1" applyAlignment="1">
      <alignment vertical="top"/>
    </xf>
    <xf numFmtId="14" fontId="92" fillId="0" borderId="0" xfId="39" applyNumberFormat="1" applyFont="1" applyFill="1" applyAlignment="1">
      <alignment vertical="top"/>
    </xf>
    <xf numFmtId="180" fontId="92" fillId="0" borderId="0" xfId="39" applyNumberFormat="1" applyFont="1" applyFill="1" applyAlignment="1">
      <alignment vertical="top"/>
    </xf>
    <xf numFmtId="43" fontId="117" fillId="0" borderId="0" xfId="1" applyFont="1" applyFill="1" applyBorder="1" applyAlignment="1">
      <alignment horizontal="left"/>
    </xf>
    <xf numFmtId="43" fontId="117" fillId="0" borderId="0" xfId="1" applyFont="1" applyFill="1" applyBorder="1" applyAlignment="1">
      <alignment horizontal="right"/>
    </xf>
    <xf numFmtId="171" fontId="117" fillId="0" borderId="0" xfId="1" applyNumberFormat="1" applyFont="1" applyFill="1" applyBorder="1" applyAlignment="1">
      <alignment horizontal="right"/>
    </xf>
    <xf numFmtId="172" fontId="117" fillId="0" borderId="0" xfId="4" applyNumberFormat="1" applyFont="1" applyFill="1"/>
    <xf numFmtId="166" fontId="118" fillId="0" borderId="0" xfId="3" applyNumberFormat="1" applyFont="1" applyFill="1" applyBorder="1" applyAlignment="1">
      <alignment horizontal="left"/>
    </xf>
    <xf numFmtId="166" fontId="118" fillId="0" borderId="0" xfId="3" applyNumberFormat="1" applyFont="1" applyFill="1" applyBorder="1" applyAlignment="1">
      <alignment horizontal="center"/>
    </xf>
    <xf numFmtId="171" fontId="118" fillId="0" borderId="0" xfId="1" applyNumberFormat="1" applyFont="1" applyFill="1" applyBorder="1" applyAlignment="1">
      <alignment horizontal="left" vertical="center" wrapText="1"/>
    </xf>
    <xf numFmtId="171" fontId="118" fillId="0" borderId="0" xfId="1" applyNumberFormat="1" applyFont="1" applyFill="1" applyBorder="1" applyAlignment="1">
      <alignment horizontal="center" vertical="center" wrapText="1"/>
    </xf>
    <xf numFmtId="1" fontId="118" fillId="0" borderId="0" xfId="4" applyNumberFormat="1" applyFont="1" applyFill="1" applyAlignment="1">
      <alignment horizontal="center" vertical="center" wrapText="1"/>
    </xf>
    <xf numFmtId="171" fontId="118" fillId="0" borderId="0" xfId="1" applyNumberFormat="1" applyFont="1" applyFill="1" applyBorder="1" applyAlignment="1">
      <alignment horizontal="left"/>
    </xf>
    <xf numFmtId="171" fontId="118" fillId="0" borderId="0" xfId="1" applyNumberFormat="1" applyFont="1" applyFill="1" applyBorder="1" applyAlignment="1">
      <alignment horizontal="center"/>
    </xf>
    <xf numFmtId="171" fontId="117" fillId="0" borderId="0" xfId="1" applyNumberFormat="1" applyFont="1" applyFill="1" applyBorder="1" applyAlignment="1">
      <alignment horizontal="left" vertical="center" wrapText="1"/>
    </xf>
    <xf numFmtId="171" fontId="117" fillId="0" borderId="0" xfId="1" applyNumberFormat="1" applyFont="1" applyFill="1" applyBorder="1" applyAlignment="1">
      <alignment vertical="center" wrapText="1"/>
    </xf>
    <xf numFmtId="0" fontId="117" fillId="0" borderId="0" xfId="0" applyFont="1" applyFill="1" applyAlignment="1">
      <alignment vertical="center" wrapText="1"/>
    </xf>
    <xf numFmtId="171" fontId="117" fillId="0" borderId="0" xfId="1" applyNumberFormat="1" applyFont="1" applyFill="1" applyBorder="1" applyAlignment="1">
      <alignment horizontal="left"/>
    </xf>
    <xf numFmtId="171" fontId="117" fillId="0" borderId="0" xfId="1" applyNumberFormat="1" applyFont="1" applyFill="1" applyBorder="1" applyAlignment="1">
      <alignment horizontal="center"/>
    </xf>
    <xf numFmtId="43" fontId="117" fillId="0" borderId="0" xfId="1" applyFont="1" applyFill="1" applyBorder="1" applyAlignment="1">
      <alignment horizontal="center"/>
    </xf>
    <xf numFmtId="171" fontId="118" fillId="0" borderId="0" xfId="1" applyNumberFormat="1" applyFont="1" applyFill="1" applyBorder="1" applyAlignment="1">
      <alignment horizontal="right"/>
    </xf>
    <xf numFmtId="174" fontId="117" fillId="0" borderId="0" xfId="4" applyNumberFormat="1" applyFont="1" applyFill="1"/>
    <xf numFmtId="14" fontId="117" fillId="0" borderId="0" xfId="4" applyNumberFormat="1" applyFont="1" applyFill="1"/>
    <xf numFmtId="171" fontId="118" fillId="0" borderId="0" xfId="1" applyNumberFormat="1" applyFont="1" applyFill="1" applyBorder="1" applyAlignment="1">
      <alignment horizontal="left" vertical="center"/>
    </xf>
    <xf numFmtId="171" fontId="118" fillId="0" borderId="0" xfId="1" applyNumberFormat="1" applyFont="1" applyFill="1" applyBorder="1" applyAlignment="1">
      <alignment vertical="center"/>
    </xf>
    <xf numFmtId="171" fontId="117" fillId="0" borderId="0" xfId="1" applyNumberFormat="1" applyFont="1" applyFill="1" applyBorder="1" applyAlignment="1">
      <alignment horizontal="left" vertical="center"/>
    </xf>
    <xf numFmtId="171" fontId="117" fillId="0" borderId="0" xfId="1" applyNumberFormat="1" applyFont="1" applyFill="1" applyBorder="1" applyAlignment="1">
      <alignment vertical="center"/>
    </xf>
    <xf numFmtId="171" fontId="117" fillId="0" borderId="0" xfId="1" applyNumberFormat="1" applyFont="1" applyFill="1" applyBorder="1" applyAlignment="1">
      <alignment horizontal="center" vertical="center" wrapText="1"/>
    </xf>
    <xf numFmtId="175" fontId="117" fillId="0" borderId="0" xfId="1" applyNumberFormat="1" applyFont="1" applyFill="1" applyBorder="1" applyAlignment="1">
      <alignment horizontal="center" vertical="center" wrapText="1"/>
    </xf>
    <xf numFmtId="171" fontId="117" fillId="0" borderId="0" xfId="1" applyNumberFormat="1" applyFont="1" applyFill="1" applyBorder="1" applyAlignment="1"/>
    <xf numFmtId="1" fontId="117" fillId="0" borderId="0" xfId="4" applyNumberFormat="1" applyFont="1" applyFill="1"/>
    <xf numFmtId="1" fontId="118" fillId="0" borderId="0" xfId="4" applyNumberFormat="1" applyFont="1" applyFill="1" applyAlignment="1">
      <alignment horizontal="left"/>
    </xf>
    <xf numFmtId="1" fontId="118" fillId="0" borderId="0" xfId="4" applyNumberFormat="1" applyFont="1" applyFill="1" applyAlignment="1">
      <alignment horizontal="left" wrapText="1"/>
    </xf>
    <xf numFmtId="171" fontId="118" fillId="0" borderId="0" xfId="1" applyNumberFormat="1" applyFont="1" applyFill="1" applyBorder="1" applyAlignment="1"/>
    <xf numFmtId="166" fontId="118" fillId="0" borderId="0" xfId="0" applyNumberFormat="1" applyFont="1" applyFill="1" applyAlignment="1">
      <alignment horizontal="left" vertical="center" wrapText="1"/>
    </xf>
    <xf numFmtId="166" fontId="118" fillId="0" borderId="0" xfId="0" applyNumberFormat="1" applyFont="1" applyFill="1" applyAlignment="1">
      <alignment horizontal="center" vertical="center" wrapText="1"/>
    </xf>
    <xf numFmtId="0" fontId="118" fillId="0" borderId="0" xfId="0" applyFont="1" applyFill="1" applyAlignment="1">
      <alignment horizontal="left" vertical="center" wrapText="1"/>
    </xf>
    <xf numFmtId="0" fontId="118" fillId="0" borderId="0" xfId="0" applyFont="1" applyFill="1" applyAlignment="1">
      <alignment horizontal="center" vertical="center" wrapText="1"/>
    </xf>
    <xf numFmtId="173" fontId="118" fillId="0" borderId="0" xfId="1" applyNumberFormat="1" applyFont="1" applyFill="1" applyBorder="1" applyAlignment="1">
      <alignment horizontal="center" vertical="center" wrapText="1"/>
    </xf>
    <xf numFmtId="171" fontId="118" fillId="0" borderId="0" xfId="1" applyNumberFormat="1" applyFont="1" applyFill="1" applyBorder="1" applyAlignment="1">
      <alignment vertical="center" wrapText="1"/>
    </xf>
    <xf numFmtId="10" fontId="117" fillId="0" borderId="0" xfId="2" applyNumberFormat="1" applyFont="1" applyFill="1" applyBorder="1" applyAlignment="1">
      <alignment horizontal="right"/>
    </xf>
    <xf numFmtId="172" fontId="117" fillId="0" borderId="6" xfId="4" applyNumberFormat="1" applyFont="1" applyFill="1" applyBorder="1"/>
    <xf numFmtId="43" fontId="117" fillId="0" borderId="0" xfId="1" applyFont="1" applyFill="1" applyBorder="1" applyAlignment="1"/>
    <xf numFmtId="43" fontId="117" fillId="0" borderId="0" xfId="1" applyFont="1" applyFill="1" applyBorder="1" applyAlignment="1">
      <alignment vertical="center" wrapText="1"/>
    </xf>
    <xf numFmtId="43" fontId="117" fillId="0" borderId="0" xfId="0" applyNumberFormat="1" applyFont="1" applyFill="1" applyAlignment="1">
      <alignment vertical="center" wrapText="1"/>
    </xf>
    <xf numFmtId="171" fontId="117" fillId="0" borderId="0" xfId="0" applyNumberFormat="1" applyFont="1" applyFill="1" applyAlignment="1">
      <alignment vertical="center" wrapText="1"/>
    </xf>
    <xf numFmtId="171" fontId="117" fillId="0" borderId="11" xfId="1" applyNumberFormat="1" applyFont="1" applyFill="1" applyBorder="1" applyAlignment="1">
      <alignment horizontal="left"/>
    </xf>
    <xf numFmtId="171" fontId="117" fillId="0" borderId="11" xfId="1" applyNumberFormat="1" applyFont="1" applyFill="1" applyBorder="1" applyAlignment="1">
      <alignment horizontal="right"/>
    </xf>
    <xf numFmtId="175" fontId="117" fillId="0" borderId="21" xfId="1" applyNumberFormat="1" applyFont="1" applyFill="1" applyBorder="1" applyAlignment="1">
      <alignment horizontal="right"/>
    </xf>
    <xf numFmtId="43" fontId="117" fillId="0" borderId="6" xfId="1" applyFont="1" applyFill="1" applyBorder="1" applyAlignment="1"/>
    <xf numFmtId="171" fontId="117" fillId="0" borderId="21" xfId="1" applyNumberFormat="1" applyFont="1" applyFill="1" applyBorder="1" applyAlignment="1">
      <alignment horizontal="right"/>
    </xf>
    <xf numFmtId="43" fontId="118" fillId="0" borderId="0" xfId="1" applyFont="1" applyFill="1" applyBorder="1" applyAlignment="1">
      <alignment horizontal="right"/>
    </xf>
    <xf numFmtId="176" fontId="117" fillId="0" borderId="0" xfId="4" applyNumberFormat="1" applyFont="1" applyFill="1"/>
    <xf numFmtId="1" fontId="118" fillId="0" borderId="0" xfId="4" applyNumberFormat="1" applyFont="1" applyFill="1" applyAlignment="1">
      <alignment horizontal="center"/>
    </xf>
    <xf numFmtId="0" fontId="117" fillId="0" borderId="0" xfId="0" applyFont="1" applyFill="1" applyAlignment="1">
      <alignment horizontal="center" vertical="center" wrapText="1"/>
    </xf>
    <xf numFmtId="1" fontId="117" fillId="0" borderId="0" xfId="4" applyNumberFormat="1" applyFont="1" applyFill="1" applyAlignment="1">
      <alignment horizontal="left" wrapText="1"/>
    </xf>
    <xf numFmtId="1" fontId="117" fillId="0" borderId="0" xfId="4" applyNumberFormat="1" applyFont="1" applyFill="1" applyAlignment="1">
      <alignment horizontal="left"/>
    </xf>
    <xf numFmtId="172" fontId="118" fillId="0" borderId="2" xfId="4" applyNumberFormat="1" applyFont="1" applyFill="1" applyBorder="1" applyAlignment="1">
      <alignment horizontal="left" vertical="center"/>
    </xf>
    <xf numFmtId="172" fontId="118" fillId="0" borderId="2" xfId="4" applyNumberFormat="1" applyFont="1" applyFill="1" applyBorder="1" applyAlignment="1">
      <alignment horizontal="center" vertical="center"/>
    </xf>
    <xf numFmtId="172" fontId="117" fillId="0" borderId="2" xfId="4" applyNumberFormat="1" applyFont="1" applyFill="1" applyBorder="1"/>
    <xf numFmtId="171" fontId="119" fillId="0" borderId="0" xfId="1" applyNumberFormat="1" applyFont="1" applyFill="1" applyBorder="1" applyAlignment="1">
      <alignment horizontal="left"/>
    </xf>
    <xf numFmtId="171" fontId="119" fillId="0" borderId="0" xfId="1" applyNumberFormat="1" applyFont="1" applyFill="1" applyBorder="1" applyAlignment="1"/>
    <xf numFmtId="0" fontId="119" fillId="0" borderId="0" xfId="0" applyFont="1" applyFill="1"/>
    <xf numFmtId="171" fontId="117" fillId="0" borderId="0" xfId="1" applyNumberFormat="1" applyFont="1" applyFill="1" applyBorder="1"/>
    <xf numFmtId="171" fontId="118" fillId="0" borderId="0" xfId="1" applyNumberFormat="1" applyFont="1" applyFill="1" applyBorder="1"/>
    <xf numFmtId="0" fontId="117" fillId="0" borderId="0" xfId="0" applyFont="1" applyFill="1"/>
    <xf numFmtId="43" fontId="117" fillId="0" borderId="0" xfId="1" applyFont="1" applyFill="1" applyBorder="1"/>
    <xf numFmtId="171" fontId="117" fillId="0" borderId="0" xfId="0" applyNumberFormat="1" applyFont="1" applyFill="1"/>
    <xf numFmtId="171" fontId="117" fillId="0" borderId="0" xfId="7" applyNumberFormat="1" applyFont="1" applyFill="1" applyBorder="1"/>
    <xf numFmtId="171" fontId="118" fillId="0" borderId="0" xfId="7" applyNumberFormat="1" applyFont="1" applyFill="1" applyBorder="1"/>
    <xf numFmtId="171" fontId="117" fillId="0" borderId="0" xfId="1" applyNumberFormat="1" applyFont="1" applyFill="1" applyBorder="1" applyAlignment="1">
      <alignment horizontal="center" vertical="center"/>
    </xf>
    <xf numFmtId="171" fontId="117" fillId="0" borderId="0" xfId="1" applyNumberFormat="1" applyFont="1" applyFill="1" applyAlignment="1"/>
    <xf numFmtId="172" fontId="118" fillId="0" borderId="0" xfId="4" applyNumberFormat="1" applyFont="1" applyFill="1" applyAlignment="1">
      <alignment horizontal="left" vertical="center"/>
    </xf>
    <xf numFmtId="172" fontId="118" fillId="0" borderId="0" xfId="4" applyNumberFormat="1" applyFont="1" applyFill="1" applyAlignment="1">
      <alignment horizontal="center" vertical="center"/>
    </xf>
    <xf numFmtId="172" fontId="118" fillId="0" borderId="0" xfId="4" applyNumberFormat="1" applyFont="1" applyFill="1" applyAlignment="1">
      <alignment horizontal="left"/>
    </xf>
    <xf numFmtId="172" fontId="118" fillId="0" borderId="0" xfId="4" applyNumberFormat="1" applyFont="1" applyFill="1" applyAlignment="1">
      <alignment horizontal="center"/>
    </xf>
    <xf numFmtId="171" fontId="117" fillId="0" borderId="0" xfId="1" applyNumberFormat="1" applyFont="1" applyFill="1" applyBorder="1" applyAlignment="1">
      <alignment horizontal="left" vertical="top" wrapText="1"/>
    </xf>
    <xf numFmtId="171" fontId="117" fillId="0" borderId="0" xfId="1" applyNumberFormat="1" applyFont="1" applyFill="1" applyBorder="1" applyAlignment="1">
      <alignment horizontal="justify" vertical="top" wrapText="1"/>
    </xf>
    <xf numFmtId="0" fontId="117" fillId="0" borderId="0" xfId="4" applyNumberFormat="1" applyFont="1" applyFill="1" applyAlignment="1">
      <alignment horizontal="justify" vertical="top" wrapText="1"/>
    </xf>
    <xf numFmtId="172" fontId="118" fillId="0" borderId="0" xfId="4" applyNumberFormat="1" applyFont="1" applyFill="1"/>
    <xf numFmtId="171" fontId="117" fillId="0" borderId="0" xfId="1" applyNumberFormat="1" applyFont="1" applyFill="1" applyBorder="1" applyAlignment="1">
      <alignment horizontal="left" wrapText="1"/>
    </xf>
    <xf numFmtId="175" fontId="117" fillId="0" borderId="0" xfId="1" applyNumberFormat="1" applyFont="1" applyFill="1" applyBorder="1" applyAlignment="1">
      <alignment horizontal="justify" vertical="top" wrapText="1"/>
    </xf>
    <xf numFmtId="175" fontId="117" fillId="0" borderId="0" xfId="1" applyNumberFormat="1" applyFont="1" applyFill="1" applyBorder="1" applyAlignment="1"/>
    <xf numFmtId="172" fontId="117" fillId="0" borderId="4" xfId="4" applyNumberFormat="1" applyFont="1" applyFill="1" applyBorder="1"/>
    <xf numFmtId="1" fontId="118" fillId="0" borderId="0" xfId="4" applyNumberFormat="1" applyFont="1" applyFill="1"/>
    <xf numFmtId="172" fontId="118" fillId="0" borderId="2" xfId="4" applyNumberFormat="1" applyFont="1" applyFill="1" applyBorder="1" applyAlignment="1">
      <alignment horizontal="left"/>
    </xf>
    <xf numFmtId="172" fontId="118" fillId="0" borderId="2" xfId="4" applyNumberFormat="1" applyFont="1" applyFill="1" applyBorder="1" applyAlignment="1">
      <alignment horizontal="center"/>
    </xf>
    <xf numFmtId="171" fontId="118" fillId="0" borderId="0" xfId="1" applyNumberFormat="1" applyFont="1" applyFill="1" applyBorder="1" applyAlignment="1">
      <alignment horizontal="center" vertical="center"/>
    </xf>
    <xf numFmtId="0" fontId="117" fillId="0" borderId="0" xfId="4" applyNumberFormat="1" applyFont="1" applyFill="1" applyAlignment="1">
      <alignment horizontal="left" vertical="top" wrapText="1"/>
    </xf>
    <xf numFmtId="171" fontId="118" fillId="0" borderId="0" xfId="1" applyNumberFormat="1" applyFont="1" applyFill="1" applyBorder="1" applyAlignment="1">
      <alignment horizontal="left" vertical="top" wrapText="1"/>
    </xf>
    <xf numFmtId="171" fontId="118" fillId="0" borderId="0" xfId="1" applyNumberFormat="1" applyFont="1" applyFill="1" applyBorder="1" applyAlignment="1">
      <alignment horizontal="justify" vertical="top" wrapText="1"/>
    </xf>
    <xf numFmtId="2" fontId="118" fillId="0" borderId="0" xfId="3" applyNumberFormat="1" applyFont="1" applyFill="1" applyBorder="1" applyAlignment="1">
      <alignment horizontal="justify" vertical="top" wrapText="1"/>
    </xf>
    <xf numFmtId="9" fontId="118" fillId="0" borderId="0" xfId="3" applyFont="1" applyFill="1" applyBorder="1" applyAlignment="1">
      <alignment horizontal="left" vertical="top" wrapText="1"/>
    </xf>
    <xf numFmtId="2" fontId="117" fillId="0" borderId="0" xfId="3" applyNumberFormat="1" applyFont="1" applyFill="1" applyBorder="1" applyAlignment="1">
      <alignment horizontal="justify" vertical="top" wrapText="1"/>
    </xf>
    <xf numFmtId="171" fontId="118" fillId="0" borderId="0" xfId="0" applyNumberFormat="1" applyFont="1" applyFill="1"/>
    <xf numFmtId="165" fontId="117" fillId="0" borderId="0" xfId="0" applyNumberFormat="1" applyFont="1" applyFill="1"/>
    <xf numFmtId="1" fontId="118" fillId="0" borderId="0" xfId="4" applyNumberFormat="1" applyFont="1" applyFill="1" applyAlignment="1">
      <alignment horizontal="center" vertical="center"/>
    </xf>
    <xf numFmtId="165" fontId="117" fillId="0" borderId="0" xfId="3" applyNumberFormat="1" applyFont="1" applyFill="1" applyBorder="1" applyAlignment="1"/>
    <xf numFmtId="172" fontId="118" fillId="0" borderId="11" xfId="0" applyNumberFormat="1" applyFont="1" applyFill="1" applyBorder="1" applyAlignment="1">
      <alignment horizontal="left"/>
    </xf>
    <xf numFmtId="172" fontId="118" fillId="0" borderId="11" xfId="0" applyNumberFormat="1" applyFont="1" applyFill="1" applyBorder="1" applyAlignment="1">
      <alignment horizontal="center"/>
    </xf>
    <xf numFmtId="172" fontId="118" fillId="0" borderId="0" xfId="0" applyNumberFormat="1" applyFont="1" applyFill="1" applyAlignment="1">
      <alignment horizontal="left"/>
    </xf>
    <xf numFmtId="172" fontId="118" fillId="0" borderId="0" xfId="0" applyNumberFormat="1" applyFont="1" applyFill="1" applyAlignment="1">
      <alignment horizontal="center"/>
    </xf>
    <xf numFmtId="172" fontId="120" fillId="0" borderId="0" xfId="4" applyNumberFormat="1" applyFont="1" applyFill="1"/>
    <xf numFmtId="171" fontId="118" fillId="0" borderId="11" xfId="1" applyNumberFormat="1" applyFont="1" applyFill="1" applyBorder="1" applyAlignment="1">
      <alignment horizontal="left" vertical="center" wrapText="1"/>
    </xf>
    <xf numFmtId="171" fontId="118" fillId="0" borderId="11" xfId="1" applyNumberFormat="1" applyFont="1" applyFill="1" applyBorder="1" applyAlignment="1">
      <alignment horizontal="center" vertical="center" wrapText="1"/>
    </xf>
    <xf numFmtId="173" fontId="118" fillId="0" borderId="11" xfId="1" applyNumberFormat="1" applyFont="1" applyFill="1" applyBorder="1" applyAlignment="1">
      <alignment horizontal="center" vertical="center" wrapText="1"/>
    </xf>
    <xf numFmtId="171" fontId="118" fillId="0" borderId="11" xfId="1" applyNumberFormat="1" applyFont="1" applyFill="1" applyBorder="1" applyAlignment="1">
      <alignment horizontal="left"/>
    </xf>
    <xf numFmtId="171" fontId="118" fillId="0" borderId="11" xfId="1" applyNumberFormat="1" applyFont="1" applyFill="1" applyBorder="1" applyAlignment="1">
      <alignment horizontal="center"/>
    </xf>
    <xf numFmtId="1" fontId="118" fillId="0" borderId="11" xfId="4" applyNumberFormat="1" applyFont="1" applyFill="1" applyBorder="1" applyAlignment="1">
      <alignment horizontal="center"/>
    </xf>
    <xf numFmtId="172" fontId="118" fillId="0" borderId="6" xfId="4" applyNumberFormat="1" applyFont="1" applyFill="1" applyBorder="1"/>
    <xf numFmtId="171" fontId="118" fillId="0" borderId="11" xfId="1" applyNumberFormat="1" applyFont="1" applyFill="1" applyBorder="1" applyAlignment="1">
      <alignment horizontal="right"/>
    </xf>
    <xf numFmtId="177" fontId="117" fillId="0" borderId="6" xfId="4" applyNumberFormat="1" applyFont="1" applyFill="1" applyBorder="1"/>
    <xf numFmtId="171" fontId="117" fillId="0" borderId="11" xfId="1" applyNumberFormat="1" applyFont="1" applyFill="1" applyBorder="1" applyAlignment="1"/>
    <xf numFmtId="1" fontId="117" fillId="0" borderId="11" xfId="4" applyNumberFormat="1" applyFont="1" applyFill="1" applyBorder="1"/>
    <xf numFmtId="167" fontId="117" fillId="0" borderId="0" xfId="0" applyNumberFormat="1" applyFont="1" applyFill="1"/>
    <xf numFmtId="175" fontId="118" fillId="0" borderId="10" xfId="1" applyNumberFormat="1" applyFont="1" applyFill="1" applyBorder="1" applyAlignment="1">
      <alignment horizontal="right"/>
    </xf>
    <xf numFmtId="175" fontId="117" fillId="0" borderId="11" xfId="1" applyNumberFormat="1" applyFont="1" applyFill="1" applyBorder="1" applyAlignment="1"/>
    <xf numFmtId="171" fontId="117" fillId="0" borderId="17" xfId="1" applyNumberFormat="1" applyFont="1" applyFill="1" applyBorder="1" applyAlignment="1"/>
    <xf numFmtId="171" fontId="118" fillId="0" borderId="10" xfId="1" applyNumberFormat="1" applyFont="1" applyFill="1" applyBorder="1" applyAlignment="1">
      <alignment horizontal="right"/>
    </xf>
    <xf numFmtId="10" fontId="117" fillId="0" borderId="0" xfId="2" applyNumberFormat="1" applyFont="1" applyFill="1" applyBorder="1" applyAlignment="1">
      <alignment horizontal="left"/>
    </xf>
    <xf numFmtId="171" fontId="117" fillId="0" borderId="0" xfId="1" quotePrefix="1" applyNumberFormat="1" applyFont="1" applyFill="1" applyBorder="1" applyAlignment="1">
      <alignment horizontal="right"/>
    </xf>
    <xf numFmtId="10" fontId="117" fillId="0" borderId="0" xfId="2" applyNumberFormat="1" applyFont="1" applyFill="1" applyBorder="1" applyAlignment="1"/>
    <xf numFmtId="171" fontId="117" fillId="0" borderId="0" xfId="4" applyFont="1" applyFill="1" applyAlignment="1">
      <alignment horizontal="left"/>
    </xf>
    <xf numFmtId="171" fontId="117" fillId="0" borderId="0" xfId="4" applyFont="1" applyFill="1"/>
    <xf numFmtId="167" fontId="118" fillId="0" borderId="0" xfId="1" applyNumberFormat="1" applyFont="1" applyFill="1" applyBorder="1" applyAlignment="1">
      <alignment horizontal="center"/>
    </xf>
    <xf numFmtId="43" fontId="118" fillId="0" borderId="0" xfId="1" applyFont="1" applyFill="1" applyBorder="1" applyAlignment="1">
      <alignment horizontal="center"/>
    </xf>
    <xf numFmtId="9" fontId="117" fillId="0" borderId="0" xfId="2" applyFont="1" applyFill="1" applyBorder="1" applyAlignment="1">
      <alignment horizontal="left"/>
    </xf>
    <xf numFmtId="9" fontId="117" fillId="0" borderId="0" xfId="2" applyFont="1" applyFill="1" applyBorder="1" applyAlignment="1">
      <alignment horizontal="right"/>
    </xf>
    <xf numFmtId="9" fontId="118" fillId="0" borderId="0" xfId="3" applyFont="1" applyFill="1" applyBorder="1" applyAlignment="1">
      <alignment horizontal="left"/>
    </xf>
    <xf numFmtId="9" fontId="118" fillId="0" borderId="0" xfId="3" applyFont="1" applyFill="1" applyBorder="1" applyAlignment="1">
      <alignment horizontal="center"/>
    </xf>
    <xf numFmtId="9" fontId="118" fillId="0" borderId="2" xfId="3" applyFont="1" applyFill="1" applyBorder="1" applyAlignment="1">
      <alignment horizontal="center"/>
    </xf>
    <xf numFmtId="9" fontId="117" fillId="0" borderId="0" xfId="3" applyFont="1" applyFill="1" applyBorder="1" applyAlignment="1">
      <alignment horizontal="left" wrapText="1"/>
    </xf>
    <xf numFmtId="9" fontId="118" fillId="0" borderId="0" xfId="3" applyFont="1" applyFill="1" applyBorder="1" applyAlignment="1">
      <alignment horizontal="left" wrapText="1"/>
    </xf>
    <xf numFmtId="9" fontId="117" fillId="0" borderId="0" xfId="3" applyFont="1" applyFill="1" applyBorder="1" applyAlignment="1">
      <alignment horizontal="left" vertical="top" wrapText="1"/>
    </xf>
    <xf numFmtId="171" fontId="117" fillId="0" borderId="0" xfId="1" applyNumberFormat="1" applyFont="1" applyFill="1" applyBorder="1" applyAlignment="1">
      <alignment vertical="top" wrapText="1"/>
    </xf>
    <xf numFmtId="0" fontId="117" fillId="0" borderId="0" xfId="0" applyFont="1" applyFill="1" applyAlignment="1">
      <alignment vertical="top" wrapText="1"/>
    </xf>
    <xf numFmtId="171" fontId="121" fillId="0" borderId="0" xfId="1" applyNumberFormat="1" applyFont="1" applyFill="1" applyBorder="1" applyAlignment="1">
      <alignment horizontal="left" vertical="top"/>
    </xf>
    <xf numFmtId="172" fontId="121" fillId="0" borderId="0" xfId="0" applyNumberFormat="1" applyFont="1" applyFill="1" applyAlignment="1">
      <alignment horizontal="left" vertical="top"/>
    </xf>
    <xf numFmtId="165" fontId="117" fillId="0" borderId="0" xfId="1" applyNumberFormat="1" applyFont="1" applyFill="1" applyBorder="1" applyAlignment="1">
      <alignment horizontal="right"/>
    </xf>
    <xf numFmtId="175" fontId="117" fillId="0" borderId="0" xfId="1" applyNumberFormat="1" applyFont="1" applyFill="1" applyBorder="1" applyAlignment="1">
      <alignment horizontal="right"/>
    </xf>
    <xf numFmtId="171" fontId="117" fillId="0" borderId="0" xfId="1" applyNumberFormat="1" applyFont="1" applyFill="1" applyBorder="1" applyAlignment="1">
      <alignment horizontal="left" vertical="top"/>
    </xf>
    <xf numFmtId="171" fontId="117" fillId="0" borderId="0" xfId="1" applyNumberFormat="1" applyFont="1" applyFill="1" applyBorder="1" applyAlignment="1">
      <alignment vertical="top"/>
    </xf>
    <xf numFmtId="171" fontId="118" fillId="0" borderId="0" xfId="1" applyNumberFormat="1" applyFont="1" applyFill="1" applyBorder="1" applyAlignment="1">
      <alignment horizontal="left" vertical="top"/>
    </xf>
    <xf numFmtId="171" fontId="118" fillId="0" borderId="0" xfId="1" applyNumberFormat="1" applyFont="1" applyFill="1" applyBorder="1" applyAlignment="1">
      <alignment vertical="top"/>
    </xf>
    <xf numFmtId="171" fontId="117" fillId="0" borderId="0" xfId="1" applyNumberFormat="1" applyFont="1" applyFill="1" applyBorder="1" applyAlignment="1">
      <alignment horizontal="justify" vertical="top"/>
    </xf>
    <xf numFmtId="0" fontId="117" fillId="0" borderId="0" xfId="0" applyFont="1" applyFill="1" applyAlignment="1">
      <alignment horizontal="left" vertical="top" wrapText="1"/>
    </xf>
    <xf numFmtId="0" fontId="117" fillId="0" borderId="0" xfId="4" applyNumberFormat="1" applyFont="1" applyFill="1" applyAlignment="1">
      <alignment horizontal="left" wrapText="1"/>
    </xf>
    <xf numFmtId="171" fontId="118" fillId="0" borderId="0" xfId="4" applyFont="1" applyFill="1" applyAlignment="1">
      <alignment horizontal="left" wrapText="1"/>
    </xf>
    <xf numFmtId="171" fontId="118" fillId="0" borderId="0" xfId="4" applyFont="1" applyFill="1" applyAlignment="1">
      <alignment horizontal="center" wrapText="1"/>
    </xf>
    <xf numFmtId="171" fontId="118" fillId="0" borderId="0" xfId="1" applyNumberFormat="1" applyFont="1" applyFill="1" applyBorder="1" applyAlignment="1">
      <alignment horizontal="left" wrapText="1"/>
    </xf>
    <xf numFmtId="171" fontId="117" fillId="0" borderId="0" xfId="1" applyNumberFormat="1" applyFont="1" applyFill="1" applyBorder="1" applyAlignment="1">
      <alignment horizontal="right" wrapText="1"/>
    </xf>
    <xf numFmtId="171" fontId="118" fillId="0" borderId="0" xfId="1" applyNumberFormat="1" applyFont="1" applyFill="1" applyBorder="1" applyAlignment="1">
      <alignment horizontal="right" wrapText="1"/>
    </xf>
    <xf numFmtId="43" fontId="118" fillId="0" borderId="0" xfId="1" applyFont="1" applyFill="1" applyBorder="1" applyAlignment="1">
      <alignment horizontal="left" wrapText="1"/>
    </xf>
    <xf numFmtId="43" fontId="118" fillId="0" borderId="0" xfId="1" applyFont="1" applyFill="1" applyBorder="1" applyAlignment="1">
      <alignment horizontal="right" wrapText="1"/>
    </xf>
    <xf numFmtId="167" fontId="117" fillId="0" borderId="0" xfId="0" applyNumberFormat="1" applyFont="1" applyFill="1" applyAlignment="1">
      <alignment vertical="center" wrapText="1"/>
    </xf>
    <xf numFmtId="171" fontId="118" fillId="0" borderId="0" xfId="1" applyNumberFormat="1" applyFont="1" applyFill="1" applyBorder="1" applyAlignment="1">
      <alignment vertical="top" wrapText="1"/>
    </xf>
    <xf numFmtId="14" fontId="118" fillId="0" borderId="0" xfId="1" applyNumberFormat="1" applyFont="1" applyFill="1" applyBorder="1" applyAlignment="1">
      <alignment horizontal="left"/>
    </xf>
    <xf numFmtId="14" fontId="118" fillId="0" borderId="0" xfId="1" applyNumberFormat="1" applyFont="1" applyFill="1" applyBorder="1" applyAlignment="1"/>
    <xf numFmtId="165" fontId="118" fillId="0" borderId="0" xfId="1" applyNumberFormat="1" applyFont="1" applyFill="1" applyBorder="1" applyAlignment="1">
      <alignment vertical="top" wrapText="1"/>
    </xf>
    <xf numFmtId="171" fontId="120" fillId="0" borderId="0" xfId="1" applyNumberFormat="1" applyFont="1" applyFill="1" applyBorder="1" applyAlignment="1">
      <alignment horizontal="left" wrapText="1"/>
    </xf>
    <xf numFmtId="171" fontId="120" fillId="0" borderId="0" xfId="1" applyNumberFormat="1" applyFont="1" applyFill="1" applyBorder="1" applyAlignment="1">
      <alignment wrapText="1"/>
    </xf>
    <xf numFmtId="172" fontId="120" fillId="0" borderId="0" xfId="4" applyNumberFormat="1" applyFont="1" applyFill="1" applyAlignment="1">
      <alignment wrapText="1"/>
    </xf>
    <xf numFmtId="172" fontId="117" fillId="0" borderId="0" xfId="4" applyNumberFormat="1" applyFont="1" applyFill="1" applyAlignment="1">
      <alignment vertical="top"/>
    </xf>
    <xf numFmtId="171" fontId="117" fillId="0" borderId="0" xfId="1" applyNumberFormat="1" applyFont="1" applyFill="1" applyAlignment="1">
      <alignment horizontal="left"/>
    </xf>
    <xf numFmtId="0" fontId="122" fillId="0" borderId="0" xfId="0" applyFont="1"/>
    <xf numFmtId="0" fontId="122" fillId="0" borderId="6" xfId="0" applyFont="1" applyBorder="1"/>
    <xf numFmtId="0" fontId="122" fillId="3" borderId="0" xfId="0" applyFont="1" applyFill="1"/>
    <xf numFmtId="171" fontId="122" fillId="0" borderId="0" xfId="0" applyNumberFormat="1" applyFont="1"/>
    <xf numFmtId="182" fontId="122" fillId="0" borderId="0" xfId="0" applyNumberFormat="1" applyFont="1"/>
    <xf numFmtId="172" fontId="11" fillId="0" borderId="2" xfId="4" applyNumberFormat="1" applyFont="1" applyFill="1" applyBorder="1" applyAlignment="1">
      <alignment vertical="top"/>
    </xf>
    <xf numFmtId="16" fontId="0" fillId="0" borderId="0" xfId="0" applyNumberFormat="1"/>
    <xf numFmtId="166" fontId="11" fillId="0" borderId="11" xfId="3" applyNumberFormat="1" applyFont="1" applyFill="1" applyBorder="1" applyAlignment="1"/>
    <xf numFmtId="0" fontId="54" fillId="0" borderId="0" xfId="0" applyFont="1" applyAlignment="1">
      <alignment horizontal="right"/>
    </xf>
    <xf numFmtId="0" fontId="0" fillId="0" borderId="0" xfId="0" applyAlignment="1">
      <alignment horizontal="center"/>
    </xf>
    <xf numFmtId="15" fontId="2" fillId="0" borderId="6" xfId="0" applyNumberFormat="1" applyFont="1" applyBorder="1" applyAlignment="1">
      <alignment horizontal="center" vertical="center"/>
    </xf>
    <xf numFmtId="0" fontId="2" fillId="0" borderId="14" xfId="0" applyFont="1" applyBorder="1" applyAlignment="1">
      <alignment horizontal="left"/>
    </xf>
    <xf numFmtId="0" fontId="0" fillId="0" borderId="12" xfId="0" applyBorder="1"/>
    <xf numFmtId="43" fontId="0" fillId="0" borderId="14" xfId="1" applyFont="1" applyFill="1" applyBorder="1" applyAlignment="1">
      <alignment horizontal="left"/>
    </xf>
    <xf numFmtId="43" fontId="0" fillId="0" borderId="14" xfId="1" applyFont="1" applyFill="1" applyBorder="1"/>
    <xf numFmtId="43" fontId="2" fillId="0" borderId="6" xfId="1" applyFont="1" applyFill="1" applyBorder="1" applyAlignment="1">
      <alignment horizontal="left"/>
    </xf>
    <xf numFmtId="43" fontId="2" fillId="0" borderId="14" xfId="1" applyFont="1" applyFill="1" applyBorder="1" applyAlignment="1">
      <alignment horizontal="left" vertical="center"/>
    </xf>
    <xf numFmtId="43" fontId="2" fillId="0" borderId="6" xfId="1" applyFont="1" applyFill="1" applyBorder="1" applyAlignment="1">
      <alignment horizontal="left" vertical="center" wrapText="1"/>
    </xf>
    <xf numFmtId="43" fontId="2" fillId="0" borderId="14" xfId="1" applyFont="1" applyFill="1" applyBorder="1" applyAlignment="1">
      <alignment horizontal="left"/>
    </xf>
    <xf numFmtId="43" fontId="2" fillId="0" borderId="14" xfId="1" applyFont="1" applyFill="1" applyBorder="1" applyAlignment="1">
      <alignment horizontal="center"/>
    </xf>
    <xf numFmtId="43" fontId="2" fillId="0" borderId="6" xfId="1" applyFont="1" applyFill="1" applyBorder="1" applyAlignment="1">
      <alignment horizontal="center"/>
    </xf>
    <xf numFmtId="43" fontId="2" fillId="0" borderId="14" xfId="1" applyFont="1" applyFill="1" applyBorder="1" applyAlignment="1">
      <alignment horizontal="left" vertical="top"/>
    </xf>
    <xf numFmtId="43" fontId="2" fillId="0" borderId="14" xfId="1" applyFont="1" applyFill="1" applyBorder="1"/>
    <xf numFmtId="0" fontId="10" fillId="0" borderId="4" xfId="0" applyFont="1" applyBorder="1" applyAlignment="1">
      <alignment vertical="top" wrapText="1"/>
    </xf>
    <xf numFmtId="10" fontId="0" fillId="0" borderId="0" xfId="2" applyNumberFormat="1" applyFont="1" applyFill="1"/>
    <xf numFmtId="0" fontId="2" fillId="0" borderId="6" xfId="0" applyFont="1" applyBorder="1" applyAlignment="1">
      <alignment horizontal="left"/>
    </xf>
    <xf numFmtId="0" fontId="0" fillId="0" borderId="14" xfId="0" applyBorder="1" applyAlignment="1">
      <alignment horizontal="left"/>
    </xf>
    <xf numFmtId="43" fontId="0" fillId="0" borderId="14" xfId="1" applyFont="1" applyFill="1" applyBorder="1" applyAlignment="1">
      <alignment wrapText="1"/>
    </xf>
    <xf numFmtId="0" fontId="0" fillId="0" borderId="14" xfId="0" applyBorder="1" applyAlignment="1">
      <alignment horizontal="left" wrapText="1"/>
    </xf>
    <xf numFmtId="0" fontId="0" fillId="0" borderId="13" xfId="0" applyBorder="1" applyAlignment="1">
      <alignment horizontal="left"/>
    </xf>
    <xf numFmtId="43" fontId="0" fillId="0" borderId="13" xfId="1" applyFont="1" applyFill="1" applyBorder="1"/>
    <xf numFmtId="9" fontId="50" fillId="0" borderId="0" xfId="3" applyFont="1" applyFill="1" applyBorder="1" applyAlignment="1"/>
    <xf numFmtId="166" fontId="123" fillId="0" borderId="0" xfId="3" applyNumberFormat="1" applyFont="1" applyFill="1" applyBorder="1" applyAlignment="1">
      <alignment horizontal="center" vertical="center"/>
    </xf>
    <xf numFmtId="166" fontId="123" fillId="0" borderId="77" xfId="3" applyNumberFormat="1" applyFont="1" applyFill="1" applyBorder="1" applyAlignment="1">
      <alignment horizontal="center" vertical="center"/>
    </xf>
    <xf numFmtId="43" fontId="83" fillId="0" borderId="14" xfId="1" applyFont="1" applyFill="1" applyBorder="1" applyAlignment="1">
      <alignment horizontal="right" vertical="center"/>
    </xf>
    <xf numFmtId="173" fontId="50" fillId="0" borderId="78" xfId="1" applyNumberFormat="1" applyFont="1" applyFill="1" applyBorder="1" applyAlignment="1">
      <alignment horizontal="center" vertical="center" wrapText="1"/>
    </xf>
    <xf numFmtId="43" fontId="52" fillId="0" borderId="14" xfId="1" applyFont="1" applyFill="1" applyBorder="1" applyAlignment="1">
      <alignment vertical="center" wrapText="1"/>
    </xf>
    <xf numFmtId="43" fontId="52" fillId="0" borderId="14" xfId="1" applyFont="1" applyFill="1" applyBorder="1" applyAlignment="1">
      <alignment horizontal="center" vertical="center"/>
    </xf>
    <xf numFmtId="43" fontId="50" fillId="0" borderId="6" xfId="1" applyFont="1" applyFill="1" applyBorder="1" applyAlignment="1">
      <alignment horizontal="center" vertical="center"/>
    </xf>
    <xf numFmtId="43" fontId="50" fillId="0" borderId="14" xfId="1" applyFont="1" applyFill="1" applyBorder="1" applyAlignment="1">
      <alignment horizontal="center" vertical="center"/>
    </xf>
    <xf numFmtId="43" fontId="50" fillId="0" borderId="12" xfId="1" applyFont="1" applyFill="1" applyBorder="1" applyAlignment="1">
      <alignment horizontal="center" vertical="center"/>
    </xf>
    <xf numFmtId="43" fontId="50" fillId="0" borderId="79" xfId="1" applyFont="1" applyFill="1" applyBorder="1" applyAlignment="1">
      <alignment horizontal="center" vertical="center"/>
    </xf>
    <xf numFmtId="43" fontId="50" fillId="0" borderId="11" xfId="1" applyFont="1" applyFill="1" applyBorder="1" applyAlignment="1">
      <alignment horizontal="center" vertical="center"/>
    </xf>
    <xf numFmtId="43" fontId="52" fillId="0" borderId="11" xfId="1" applyFont="1" applyFill="1" applyBorder="1" applyAlignment="1">
      <alignment horizontal="center" vertical="center"/>
    </xf>
    <xf numFmtId="43" fontId="50" fillId="0" borderId="80" xfId="1" applyFont="1" applyFill="1" applyBorder="1" applyAlignment="1">
      <alignment horizontal="center" vertical="center"/>
    </xf>
    <xf numFmtId="0" fontId="1" fillId="0" borderId="0" xfId="0" applyFont="1"/>
    <xf numFmtId="172" fontId="50" fillId="0" borderId="4" xfId="50" applyNumberFormat="1" applyFont="1" applyBorder="1" applyAlignment="1">
      <alignment horizontal="center"/>
    </xf>
    <xf numFmtId="172" fontId="50" fillId="0" borderId="0" xfId="50" applyNumberFormat="1" applyFont="1" applyAlignment="1">
      <alignment horizontal="center"/>
    </xf>
    <xf numFmtId="172" fontId="50" fillId="0" borderId="11" xfId="50" applyNumberFormat="1" applyFont="1" applyBorder="1" applyAlignment="1">
      <alignment horizontal="center"/>
    </xf>
    <xf numFmtId="172" fontId="50" fillId="0" borderId="5" xfId="50" applyNumberFormat="1" applyFont="1" applyBorder="1" applyAlignment="1">
      <alignment horizontal="center"/>
    </xf>
    <xf numFmtId="43" fontId="50" fillId="0" borderId="0" xfId="1" applyFont="1" applyFill="1" applyBorder="1" applyAlignment="1">
      <alignment horizontal="center"/>
    </xf>
    <xf numFmtId="43" fontId="50" fillId="0" borderId="11" xfId="1" applyFont="1" applyFill="1" applyBorder="1" applyAlignment="1">
      <alignment horizontal="center"/>
    </xf>
    <xf numFmtId="173" fontId="50" fillId="0" borderId="6" xfId="1" applyNumberFormat="1" applyFont="1" applyFill="1" applyBorder="1" applyAlignment="1">
      <alignment horizontal="center" vertical="center" wrapText="1"/>
    </xf>
    <xf numFmtId="171" fontId="50" fillId="0" borderId="6" xfId="1" applyNumberFormat="1" applyFont="1" applyFill="1" applyBorder="1" applyAlignment="1">
      <alignment horizontal="center"/>
    </xf>
    <xf numFmtId="43" fontId="54" fillId="0" borderId="6" xfId="1" applyFont="1" applyFill="1" applyBorder="1"/>
    <xf numFmtId="43" fontId="55" fillId="0" borderId="14" xfId="1" applyFont="1" applyFill="1" applyBorder="1"/>
    <xf numFmtId="192" fontId="55" fillId="0" borderId="14" xfId="1" applyNumberFormat="1" applyFont="1" applyFill="1" applyBorder="1"/>
    <xf numFmtId="192" fontId="54" fillId="0" borderId="6" xfId="1" applyNumberFormat="1" applyFont="1" applyFill="1" applyBorder="1"/>
    <xf numFmtId="0" fontId="54" fillId="0" borderId="6" xfId="0" applyFont="1" applyBorder="1" applyAlignment="1">
      <alignment wrapText="1"/>
    </xf>
    <xf numFmtId="192" fontId="55" fillId="0" borderId="6" xfId="1" applyNumberFormat="1" applyFont="1" applyFill="1" applyBorder="1"/>
    <xf numFmtId="171" fontId="50" fillId="0" borderId="13" xfId="1" quotePrefix="1" applyNumberFormat="1" applyFont="1" applyFill="1" applyBorder="1" applyAlignment="1">
      <alignment horizontal="center"/>
    </xf>
    <xf numFmtId="10" fontId="117" fillId="0" borderId="0" xfId="2" applyNumberFormat="1" applyFont="1" applyFill="1" applyBorder="1" applyAlignment="1">
      <alignment horizontal="left" vertical="center" wrapText="1"/>
    </xf>
    <xf numFmtId="0" fontId="2" fillId="0" borderId="6" xfId="0" applyFont="1" applyBorder="1" applyAlignment="1">
      <alignment horizontal="center"/>
    </xf>
    <xf numFmtId="175" fontId="70" fillId="10" borderId="14" xfId="31" applyNumberFormat="1" applyFont="1" applyFill="1" applyBorder="1"/>
    <xf numFmtId="175" fontId="71" fillId="10" borderId="6" xfId="31" applyNumberFormat="1" applyFont="1" applyFill="1" applyBorder="1"/>
    <xf numFmtId="172" fontId="11" fillId="0" borderId="0" xfId="4" applyNumberFormat="1" applyFont="1" applyFill="1" applyBorder="1" applyAlignment="1"/>
    <xf numFmtId="0" fontId="1" fillId="0" borderId="0" xfId="0" applyFont="1" applyBorder="1"/>
    <xf numFmtId="173" fontId="50" fillId="0" borderId="81" xfId="1" applyNumberFormat="1" applyFont="1" applyFill="1" applyBorder="1" applyAlignment="1">
      <alignment horizontal="center" vertical="center" wrapText="1"/>
    </xf>
    <xf numFmtId="171" fontId="50" fillId="0" borderId="60" xfId="1" quotePrefix="1" applyNumberFormat="1" applyFont="1" applyFill="1" applyBorder="1" applyAlignment="1">
      <alignment horizontal="center"/>
    </xf>
    <xf numFmtId="0" fontId="50" fillId="0" borderId="47" xfId="0" applyFont="1" applyBorder="1" applyAlignment="1">
      <alignment vertical="top" wrapText="1"/>
    </xf>
    <xf numFmtId="43" fontId="50" fillId="0" borderId="71" xfId="1" applyFont="1" applyFill="1" applyBorder="1" applyAlignment="1">
      <alignment horizontal="right" wrapText="1"/>
    </xf>
    <xf numFmtId="0" fontId="50" fillId="0" borderId="47" xfId="0" applyFont="1" applyBorder="1" applyAlignment="1">
      <alignment horizontal="left" vertical="top" wrapText="1"/>
    </xf>
    <xf numFmtId="0" fontId="52" fillId="0" borderId="47" xfId="0" applyFont="1" applyBorder="1" applyAlignment="1">
      <alignment vertical="top"/>
    </xf>
    <xf numFmtId="43" fontId="52" fillId="0" borderId="71" xfId="1" applyFont="1" applyFill="1" applyBorder="1" applyAlignment="1">
      <alignment horizontal="center" vertical="center"/>
    </xf>
    <xf numFmtId="0" fontId="52" fillId="0" borderId="47" xfId="0" applyFont="1" applyBorder="1" applyAlignment="1">
      <alignment vertical="top" wrapText="1"/>
    </xf>
    <xf numFmtId="0" fontId="52" fillId="0" borderId="47" xfId="0" applyFont="1" applyBorder="1" applyAlignment="1">
      <alignment vertical="center" wrapText="1"/>
    </xf>
    <xf numFmtId="0" fontId="52" fillId="0" borderId="47" xfId="0" applyFont="1" applyBorder="1" applyAlignment="1">
      <alignment horizontal="left" vertical="top" wrapText="1"/>
    </xf>
    <xf numFmtId="0" fontId="50" fillId="0" borderId="38" xfId="0" applyFont="1" applyBorder="1" applyAlignment="1">
      <alignment horizontal="left" vertical="top" wrapText="1"/>
    </xf>
    <xf numFmtId="43" fontId="50" fillId="0" borderId="37" xfId="1" applyFont="1" applyFill="1" applyBorder="1" applyAlignment="1">
      <alignment horizontal="center" vertical="center"/>
    </xf>
    <xf numFmtId="43" fontId="50" fillId="0" borderId="71" xfId="1" applyFont="1" applyFill="1" applyBorder="1" applyAlignment="1">
      <alignment horizontal="center" vertical="center"/>
    </xf>
    <xf numFmtId="0" fontId="52" fillId="0" borderId="47" xfId="0" applyFont="1" applyBorder="1" applyAlignment="1">
      <alignment horizontal="left" vertical="top"/>
    </xf>
    <xf numFmtId="0" fontId="50" fillId="0" borderId="36" xfId="0" applyFont="1" applyBorder="1" applyAlignment="1">
      <alignment horizontal="left" vertical="top" wrapText="1"/>
    </xf>
    <xf numFmtId="43" fontId="50" fillId="0" borderId="61" xfId="1" applyFont="1" applyFill="1" applyBorder="1" applyAlignment="1">
      <alignment horizontal="center" vertical="center"/>
    </xf>
    <xf numFmtId="0" fontId="50" fillId="0" borderId="64" xfId="0" applyFont="1" applyBorder="1" applyAlignment="1">
      <alignment vertical="center" wrapText="1"/>
    </xf>
    <xf numFmtId="0" fontId="50" fillId="0" borderId="82" xfId="0" applyFont="1" applyBorder="1" applyAlignment="1">
      <alignment vertical="center" wrapText="1"/>
    </xf>
    <xf numFmtId="43" fontId="1" fillId="0" borderId="71" xfId="1" applyFont="1" applyFill="1" applyBorder="1" applyAlignment="1">
      <alignment horizontal="center" vertical="center"/>
    </xf>
    <xf numFmtId="0" fontId="50" fillId="0" borderId="72" xfId="0" applyFont="1" applyBorder="1" applyAlignment="1">
      <alignment vertical="center"/>
    </xf>
    <xf numFmtId="0" fontId="50" fillId="0" borderId="47" xfId="0" applyFont="1" applyBorder="1" applyAlignment="1">
      <alignment vertical="center" wrapText="1"/>
    </xf>
    <xf numFmtId="0" fontId="50" fillId="0" borderId="36" xfId="0" applyFont="1" applyBorder="1" applyAlignment="1">
      <alignment vertical="center" wrapText="1"/>
    </xf>
    <xf numFmtId="0" fontId="50" fillId="0" borderId="36" xfId="0" applyFont="1" applyBorder="1" applyAlignment="1">
      <alignment vertical="center"/>
    </xf>
    <xf numFmtId="0" fontId="50" fillId="0" borderId="40" xfId="0" applyFont="1" applyBorder="1" applyAlignment="1">
      <alignment vertical="center" wrapText="1"/>
    </xf>
    <xf numFmtId="0" fontId="50" fillId="0" borderId="8" xfId="0" applyFont="1" applyBorder="1" applyAlignment="1">
      <alignment vertical="center"/>
    </xf>
    <xf numFmtId="43" fontId="50" fillId="0" borderId="28" xfId="1" applyFont="1" applyFill="1" applyBorder="1" applyAlignment="1">
      <alignment horizontal="center" vertical="center"/>
    </xf>
    <xf numFmtId="0" fontId="2" fillId="0" borderId="6" xfId="0" applyFont="1" applyBorder="1" applyAlignment="1">
      <alignment horizontal="center"/>
    </xf>
    <xf numFmtId="172" fontId="11" fillId="0" borderId="0" xfId="4" applyNumberFormat="1" applyFont="1" applyFill="1" applyBorder="1"/>
    <xf numFmtId="0" fontId="11" fillId="0" borderId="4" xfId="0" applyFont="1" applyFill="1" applyBorder="1" applyAlignment="1">
      <alignment vertical="center" wrapText="1"/>
    </xf>
    <xf numFmtId="0" fontId="11" fillId="0" borderId="4" xfId="0" applyFont="1" applyFill="1" applyBorder="1" applyAlignment="1">
      <alignment vertical="center"/>
    </xf>
    <xf numFmtId="0" fontId="0" fillId="0" borderId="0" xfId="0" applyAlignment="1">
      <alignment horizontal="center" wrapText="1"/>
    </xf>
    <xf numFmtId="0" fontId="0" fillId="0" borderId="6" xfId="0" applyBorder="1" applyAlignment="1">
      <alignment horizontal="center" vertical="center" wrapText="1"/>
    </xf>
    <xf numFmtId="0" fontId="11" fillId="0" borderId="0" xfId="4" applyNumberFormat="1" applyFont="1" applyFill="1" applyAlignment="1">
      <alignment horizontal="left" wrapText="1"/>
    </xf>
    <xf numFmtId="0" fontId="10" fillId="0" borderId="1" xfId="4" applyNumberFormat="1" applyFont="1" applyFill="1" applyBorder="1" applyAlignment="1">
      <alignment horizontal="left" vertical="center"/>
    </xf>
    <xf numFmtId="9" fontId="11" fillId="0" borderId="1" xfId="3" applyFont="1" applyFill="1" applyBorder="1" applyAlignment="1">
      <alignment horizontal="left"/>
    </xf>
    <xf numFmtId="171" fontId="59" fillId="0" borderId="0" xfId="1" applyNumberFormat="1" applyFont="1" applyFill="1" applyBorder="1"/>
    <xf numFmtId="172" fontId="59" fillId="0" borderId="14" xfId="19" applyNumberFormat="1" applyFont="1" applyBorder="1" applyAlignment="1">
      <alignment horizontal="center"/>
    </xf>
    <xf numFmtId="171" fontId="59" fillId="0" borderId="14" xfId="1" applyNumberFormat="1" applyFont="1" applyBorder="1" applyAlignment="1">
      <alignment horizontal="center"/>
    </xf>
    <xf numFmtId="171" fontId="59" fillId="0" borderId="14" xfId="1" applyNumberFormat="1" applyFont="1" applyFill="1" applyBorder="1" applyAlignment="1">
      <alignment horizontal="center"/>
    </xf>
    <xf numFmtId="171" fontId="60" fillId="0" borderId="0" xfId="1" applyNumberFormat="1" applyFont="1" applyFill="1" applyBorder="1"/>
    <xf numFmtId="10" fontId="60" fillId="0" borderId="31" xfId="2" applyNumberFormat="1" applyFont="1" applyFill="1" applyBorder="1"/>
    <xf numFmtId="171" fontId="59" fillId="0" borderId="4" xfId="1" applyNumberFormat="1" applyFont="1" applyBorder="1" applyAlignment="1">
      <alignment horizontal="center"/>
    </xf>
    <xf numFmtId="10" fontId="60" fillId="0" borderId="23" xfId="2" applyNumberFormat="1" applyFont="1" applyFill="1" applyBorder="1"/>
    <xf numFmtId="171" fontId="59" fillId="0" borderId="5" xfId="1" applyNumberFormat="1" applyFont="1" applyBorder="1" applyAlignment="1">
      <alignment horizontal="center"/>
    </xf>
    <xf numFmtId="171" fontId="60" fillId="0" borderId="7" xfId="1" applyNumberFormat="1" applyFont="1" applyFill="1" applyBorder="1"/>
    <xf numFmtId="171" fontId="61" fillId="0" borderId="0" xfId="1" applyNumberFormat="1" applyFont="1" applyFill="1" applyBorder="1"/>
    <xf numFmtId="171" fontId="59" fillId="0" borderId="1" xfId="1" applyNumberFormat="1" applyFont="1" applyFill="1" applyBorder="1"/>
    <xf numFmtId="10" fontId="60" fillId="0" borderId="1" xfId="2" applyNumberFormat="1" applyFont="1" applyFill="1" applyBorder="1"/>
    <xf numFmtId="172" fontId="59" fillId="0" borderId="18" xfId="19" applyNumberFormat="1" applyFont="1" applyBorder="1"/>
    <xf numFmtId="172" fontId="59" fillId="0" borderId="7" xfId="19" applyNumberFormat="1" applyFont="1" applyBorder="1"/>
    <xf numFmtId="172" fontId="59" fillId="0" borderId="7" xfId="19" applyNumberFormat="1" applyFont="1" applyBorder="1" applyAlignment="1">
      <alignment horizontal="center"/>
    </xf>
    <xf numFmtId="171" fontId="60" fillId="0" borderId="6" xfId="1" applyNumberFormat="1" applyFont="1" applyBorder="1" applyAlignment="1">
      <alignment horizontal="center"/>
    </xf>
    <xf numFmtId="171" fontId="60" fillId="0" borderId="7" xfId="1" applyNumberFormat="1" applyFont="1" applyBorder="1" applyAlignment="1">
      <alignment horizontal="center"/>
    </xf>
    <xf numFmtId="3" fontId="83" fillId="0" borderId="0" xfId="9" applyNumberFormat="1" applyFont="1"/>
    <xf numFmtId="175" fontId="83" fillId="2" borderId="11" xfId="26" applyNumberFormat="1" applyFont="1" applyFill="1" applyBorder="1" applyAlignment="1">
      <alignment vertical="top" wrapText="1"/>
    </xf>
    <xf numFmtId="10" fontId="83" fillId="2" borderId="14" xfId="2" applyNumberFormat="1" applyFont="1" applyFill="1" applyBorder="1" applyAlignment="1">
      <alignment vertical="top" wrapText="1"/>
    </xf>
    <xf numFmtId="167" fontId="83" fillId="2" borderId="14" xfId="26" applyNumberFormat="1" applyFont="1" applyFill="1" applyBorder="1" applyAlignment="1">
      <alignment vertical="top" wrapText="1"/>
    </xf>
    <xf numFmtId="175" fontId="83" fillId="2" borderId="11" xfId="26" applyNumberFormat="1" applyFont="1" applyFill="1" applyBorder="1" applyAlignment="1">
      <alignment vertical="top"/>
    </xf>
    <xf numFmtId="9" fontId="11" fillId="0" borderId="0" xfId="3" applyFont="1" applyFill="1" applyBorder="1" applyAlignment="1"/>
    <xf numFmtId="171" fontId="11" fillId="0" borderId="0" xfId="1" applyNumberFormat="1" applyFont="1" applyFill="1" applyBorder="1" applyAlignment="1">
      <alignment horizontal="right"/>
    </xf>
    <xf numFmtId="9" fontId="10" fillId="0" borderId="0" xfId="3" applyFont="1" applyFill="1" applyBorder="1" applyAlignment="1"/>
    <xf numFmtId="0" fontId="10" fillId="0" borderId="0" xfId="0" applyFont="1" applyFill="1" applyBorder="1" applyAlignment="1">
      <alignment vertical="center"/>
    </xf>
    <xf numFmtId="0" fontId="10" fillId="0" borderId="0" xfId="0" applyFont="1" applyFill="1" applyBorder="1" applyAlignment="1">
      <alignment vertical="top" wrapText="1"/>
    </xf>
    <xf numFmtId="0" fontId="10" fillId="0" borderId="1" xfId="0" applyFont="1" applyFill="1" applyBorder="1" applyAlignment="1">
      <alignment vertical="center"/>
    </xf>
    <xf numFmtId="9" fontId="11" fillId="0" borderId="1" xfId="3" applyFont="1" applyFill="1" applyBorder="1" applyAlignment="1"/>
    <xf numFmtId="0" fontId="11" fillId="0" borderId="0" xfId="0" applyFont="1" applyFill="1" applyBorder="1"/>
    <xf numFmtId="0" fontId="11" fillId="0" borderId="1" xfId="0" applyFont="1" applyFill="1" applyBorder="1"/>
    <xf numFmtId="9" fontId="12" fillId="0" borderId="4" xfId="3" applyFont="1" applyFill="1" applyBorder="1" applyAlignment="1">
      <alignment horizontal="left"/>
    </xf>
    <xf numFmtId="9" fontId="10" fillId="0" borderId="0" xfId="3" applyFont="1" applyFill="1" applyBorder="1" applyAlignment="1">
      <alignment horizontal="left"/>
    </xf>
    <xf numFmtId="2" fontId="10" fillId="0" borderId="0" xfId="3" applyNumberFormat="1" applyFont="1" applyFill="1" applyBorder="1" applyAlignment="1"/>
    <xf numFmtId="171" fontId="11" fillId="0" borderId="0" xfId="1" applyNumberFormat="1" applyFont="1" applyFill="1" applyBorder="1" applyAlignment="1"/>
    <xf numFmtId="2" fontId="12" fillId="0" borderId="0" xfId="3" applyNumberFormat="1" applyFont="1" applyFill="1" applyBorder="1" applyAlignment="1"/>
    <xf numFmtId="0" fontId="10" fillId="0" borderId="1" xfId="4" applyNumberFormat="1" applyFont="1" applyFill="1" applyBorder="1" applyAlignment="1">
      <alignment horizontal="center"/>
    </xf>
    <xf numFmtId="0" fontId="11" fillId="0" borderId="0" xfId="0" applyFont="1" applyFill="1"/>
    <xf numFmtId="170" fontId="11" fillId="0" borderId="0" xfId="1" applyNumberFormat="1" applyFont="1" applyFill="1" applyBorder="1" applyAlignment="1"/>
    <xf numFmtId="172" fontId="11" fillId="0" borderId="1" xfId="4" applyNumberFormat="1" applyFont="1" applyFill="1" applyBorder="1"/>
    <xf numFmtId="172" fontId="11" fillId="0" borderId="0" xfId="4" applyNumberFormat="1" applyFont="1" applyFill="1" applyBorder="1"/>
    <xf numFmtId="171" fontId="11" fillId="0" borderId="0" xfId="1" applyNumberFormat="1" applyFont="1" applyFill="1" applyBorder="1"/>
    <xf numFmtId="171" fontId="11" fillId="0" borderId="1" xfId="1" applyNumberFormat="1" applyFont="1" applyFill="1" applyBorder="1" applyAlignment="1"/>
    <xf numFmtId="9" fontId="10" fillId="0" borderId="1" xfId="3" applyFont="1" applyFill="1" applyBorder="1" applyAlignment="1"/>
    <xf numFmtId="9" fontId="11" fillId="0" borderId="0" xfId="3" applyFont="1" applyFill="1" applyAlignment="1"/>
    <xf numFmtId="9" fontId="11" fillId="0" borderId="0" xfId="3" applyFont="1" applyFill="1" applyBorder="1" applyAlignment="1">
      <alignment horizontal="left"/>
    </xf>
    <xf numFmtId="171" fontId="11" fillId="0" borderId="0" xfId="1" applyNumberFormat="1" applyFont="1" applyFill="1" applyBorder="1" applyAlignment="1">
      <alignment horizontal="left" vertical="top" wrapText="1"/>
    </xf>
    <xf numFmtId="9" fontId="11" fillId="0" borderId="0" xfId="3" applyFont="1" applyFill="1" applyBorder="1" applyAlignment="1">
      <alignment horizontal="left" vertical="top" wrapText="1"/>
    </xf>
    <xf numFmtId="9" fontId="10" fillId="0" borderId="1" xfId="3" applyFont="1" applyFill="1" applyBorder="1" applyAlignment="1">
      <alignment horizontal="left"/>
    </xf>
    <xf numFmtId="171" fontId="11" fillId="0" borderId="0" xfId="3" applyNumberFormat="1" applyFont="1" applyFill="1" applyBorder="1" applyAlignment="1"/>
    <xf numFmtId="0" fontId="10"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9" fontId="11" fillId="0" borderId="83" xfId="3" applyFont="1" applyFill="1" applyBorder="1" applyAlignment="1"/>
    <xf numFmtId="9" fontId="10" fillId="0" borderId="83" xfId="3" applyFont="1" applyFill="1" applyBorder="1" applyAlignment="1">
      <alignment horizontal="left"/>
    </xf>
    <xf numFmtId="0" fontId="11" fillId="0" borderId="83" xfId="0" applyFont="1" applyFill="1" applyBorder="1"/>
    <xf numFmtId="172" fontId="11" fillId="0" borderId="83" xfId="4" applyNumberFormat="1" applyFont="1" applyFill="1" applyBorder="1"/>
    <xf numFmtId="172" fontId="10" fillId="0" borderId="83" xfId="4" applyNumberFormat="1" applyFont="1" applyFill="1" applyBorder="1" applyAlignment="1">
      <alignment wrapText="1"/>
    </xf>
    <xf numFmtId="0" fontId="11" fillId="0" borderId="0" xfId="0" applyFont="1" applyFill="1" applyBorder="1" applyAlignment="1">
      <alignment vertical="center"/>
    </xf>
    <xf numFmtId="0" fontId="11" fillId="0" borderId="0" xfId="0" applyFont="1" applyFill="1" applyBorder="1" applyAlignment="1">
      <alignment vertical="top"/>
    </xf>
    <xf numFmtId="9" fontId="11" fillId="0" borderId="0" xfId="3" applyFont="1" applyFill="1" applyBorder="1" applyAlignment="1">
      <alignment horizontal="right"/>
    </xf>
    <xf numFmtId="9" fontId="10" fillId="0" borderId="0" xfId="3" applyFont="1" applyFill="1" applyBorder="1" applyAlignment="1">
      <alignment horizontal="left" wrapText="1"/>
    </xf>
    <xf numFmtId="165" fontId="11" fillId="0" borderId="1" xfId="4" applyNumberFormat="1" applyFont="1" applyFill="1" applyBorder="1" applyAlignment="1">
      <alignment horizontal="justify" vertical="top" wrapText="1"/>
    </xf>
    <xf numFmtId="0" fontId="10" fillId="0" borderId="1" xfId="4" applyNumberFormat="1" applyFont="1" applyFill="1" applyBorder="1" applyAlignment="1">
      <alignment horizontal="left" wrapText="1"/>
    </xf>
    <xf numFmtId="0" fontId="10" fillId="0" borderId="83" xfId="4" applyNumberFormat="1" applyFont="1" applyFill="1" applyBorder="1" applyAlignment="1">
      <alignment horizontal="left" wrapText="1"/>
    </xf>
    <xf numFmtId="172" fontId="12" fillId="0" borderId="1" xfId="0" applyNumberFormat="1" applyFont="1" applyFill="1" applyBorder="1" applyAlignment="1">
      <alignment horizontal="left" vertical="top"/>
    </xf>
    <xf numFmtId="0" fontId="11" fillId="0" borderId="1" xfId="0" applyFont="1" applyFill="1" applyBorder="1" applyAlignment="1">
      <alignment horizontal="justify" vertical="top" wrapText="1"/>
    </xf>
    <xf numFmtId="171" fontId="11" fillId="0" borderId="11" xfId="1" applyNumberFormat="1" applyFont="1" applyFill="1" applyBorder="1" applyAlignment="1">
      <alignment horizontal="left" vertical="top" wrapText="1"/>
    </xf>
    <xf numFmtId="9" fontId="11" fillId="0" borderId="0" xfId="3" applyFont="1" applyFill="1" applyBorder="1" applyAlignment="1">
      <alignment horizontal="center"/>
    </xf>
    <xf numFmtId="9" fontId="11" fillId="0" borderId="7" xfId="3" applyFont="1" applyFill="1" applyBorder="1" applyAlignment="1"/>
    <xf numFmtId="0" fontId="10" fillId="0" borderId="0" xfId="0" applyFont="1" applyFill="1" applyBorder="1" applyAlignment="1">
      <alignment horizontal="left"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9" fontId="0" fillId="0" borderId="0" xfId="2" applyFont="1" applyAlignment="1">
      <alignment horizontal="left" vertical="center" wrapText="1"/>
    </xf>
    <xf numFmtId="10" fontId="0" fillId="0" borderId="0" xfId="2" applyNumberFormat="1"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127" fillId="0" borderId="0" xfId="0" applyFont="1"/>
    <xf numFmtId="0" fontId="10" fillId="0" borderId="83" xfId="4" applyNumberFormat="1" applyFont="1" applyFill="1" applyBorder="1" applyAlignment="1">
      <alignment horizontal="left" vertical="center"/>
    </xf>
    <xf numFmtId="1" fontId="11" fillId="0" borderId="83" xfId="4" applyNumberFormat="1" applyFont="1" applyFill="1" applyBorder="1"/>
    <xf numFmtId="9" fontId="11" fillId="0" borderId="83" xfId="3" applyFont="1" applyFill="1" applyBorder="1" applyAlignment="1">
      <alignment horizontal="left" wrapText="1"/>
    </xf>
    <xf numFmtId="9" fontId="11" fillId="0" borderId="83" xfId="3" applyFont="1" applyFill="1" applyBorder="1" applyAlignment="1">
      <alignment horizontal="center"/>
    </xf>
    <xf numFmtId="9" fontId="11" fillId="0" borderId="0" xfId="2" applyNumberFormat="1" applyFont="1" applyFill="1" applyBorder="1" applyAlignment="1">
      <alignment horizontal="left" vertical="top" wrapText="1"/>
    </xf>
    <xf numFmtId="0" fontId="11" fillId="0" borderId="14" xfId="0" applyFont="1" applyFill="1" applyBorder="1" applyAlignment="1">
      <alignment horizontal="left" vertical="top" wrapText="1"/>
    </xf>
    <xf numFmtId="2" fontId="11" fillId="0" borderId="14" xfId="0" applyNumberFormat="1" applyFont="1" applyFill="1" applyBorder="1" applyAlignment="1">
      <alignment horizontal="left" vertical="top" wrapText="1"/>
    </xf>
    <xf numFmtId="10" fontId="11" fillId="0" borderId="14" xfId="2" applyNumberFormat="1" applyFont="1" applyFill="1" applyBorder="1" applyAlignment="1">
      <alignment horizontal="left" vertical="top" wrapText="1"/>
    </xf>
    <xf numFmtId="10" fontId="11" fillId="0" borderId="0" xfId="2" applyNumberFormat="1" applyFont="1" applyFill="1" applyBorder="1" applyAlignment="1">
      <alignment horizontal="left" vertical="top" wrapText="1"/>
    </xf>
    <xf numFmtId="9" fontId="11" fillId="0" borderId="14" xfId="2" applyNumberFormat="1" applyFont="1" applyFill="1" applyBorder="1" applyAlignment="1">
      <alignment horizontal="left" vertical="top" wrapText="1"/>
    </xf>
    <xf numFmtId="171" fontId="0" fillId="0" borderId="6" xfId="1" applyNumberFormat="1" applyFont="1" applyFill="1" applyBorder="1"/>
    <xf numFmtId="171" fontId="117" fillId="10" borderId="0" xfId="1" applyNumberFormat="1" applyFont="1" applyFill="1" applyBorder="1" applyAlignment="1">
      <alignment horizontal="left"/>
    </xf>
    <xf numFmtId="171" fontId="117" fillId="10" borderId="0" xfId="1" applyNumberFormat="1" applyFont="1" applyFill="1" applyBorder="1" applyAlignment="1"/>
    <xf numFmtId="172" fontId="117" fillId="10" borderId="0" xfId="4" applyNumberFormat="1" applyFont="1" applyFill="1"/>
    <xf numFmtId="172" fontId="17" fillId="10" borderId="0" xfId="4" applyNumberFormat="1" applyFont="1" applyFill="1"/>
    <xf numFmtId="172" fontId="11" fillId="10" borderId="0" xfId="4" applyNumberFormat="1" applyFont="1" applyFill="1"/>
    <xf numFmtId="171" fontId="117" fillId="13" borderId="0" xfId="1" applyNumberFormat="1" applyFont="1" applyFill="1" applyBorder="1" applyAlignment="1">
      <alignment horizontal="left"/>
    </xf>
    <xf numFmtId="171" fontId="117" fillId="13" borderId="0" xfId="1" applyNumberFormat="1" applyFont="1" applyFill="1" applyBorder="1" applyAlignment="1"/>
    <xf numFmtId="1" fontId="117" fillId="13" borderId="0" xfId="4" applyNumberFormat="1" applyFont="1" applyFill="1"/>
    <xf numFmtId="172" fontId="117" fillId="13" borderId="0" xfId="4" applyNumberFormat="1" applyFont="1" applyFill="1"/>
    <xf numFmtId="172" fontId="17" fillId="13" borderId="0" xfId="4" applyNumberFormat="1" applyFont="1" applyFill="1"/>
    <xf numFmtId="172" fontId="11" fillId="13" borderId="0" xfId="4" applyNumberFormat="1" applyFont="1" applyFill="1"/>
    <xf numFmtId="172" fontId="118" fillId="13" borderId="0" xfId="4" applyNumberFormat="1" applyFont="1" applyFill="1"/>
    <xf numFmtId="172" fontId="18" fillId="13" borderId="0" xfId="4" applyNumberFormat="1" applyFont="1" applyFill="1"/>
    <xf numFmtId="172" fontId="10" fillId="13" borderId="0" xfId="4" applyNumberFormat="1" applyFont="1" applyFill="1"/>
    <xf numFmtId="171" fontId="117" fillId="10" borderId="0" xfId="1" applyNumberFormat="1" applyFont="1" applyFill="1" applyBorder="1" applyAlignment="1">
      <alignment horizontal="right"/>
    </xf>
    <xf numFmtId="171" fontId="118" fillId="10" borderId="0" xfId="1" applyNumberFormat="1" applyFont="1" applyFill="1" applyBorder="1" applyAlignment="1">
      <alignment horizontal="left"/>
    </xf>
    <xf numFmtId="171" fontId="118" fillId="10" borderId="0" xfId="1" applyNumberFormat="1" applyFont="1" applyFill="1" applyBorder="1" applyAlignment="1">
      <alignment horizontal="right"/>
    </xf>
    <xf numFmtId="172" fontId="10" fillId="0" borderId="14" xfId="4" applyNumberFormat="1" applyFont="1" applyFill="1" applyBorder="1" applyAlignment="1"/>
    <xf numFmtId="43" fontId="0" fillId="0" borderId="71" xfId="1" applyFont="1" applyBorder="1"/>
    <xf numFmtId="0" fontId="0" fillId="0" borderId="47" xfId="0" applyFont="1" applyBorder="1"/>
    <xf numFmtId="43" fontId="0" fillId="0" borderId="11" xfId="1" applyFont="1" applyBorder="1"/>
    <xf numFmtId="43" fontId="0" fillId="0" borderId="72" xfId="1" applyFont="1" applyBorder="1"/>
    <xf numFmtId="14" fontId="2" fillId="0" borderId="36" xfId="1" applyNumberFormat="1" applyFont="1" applyBorder="1"/>
    <xf numFmtId="14" fontId="2" fillId="0" borderId="6" xfId="1" applyNumberFormat="1" applyFont="1" applyBorder="1"/>
    <xf numFmtId="14" fontId="2" fillId="0" borderId="37" xfId="1" applyNumberFormat="1" applyFont="1" applyBorder="1"/>
    <xf numFmtId="14" fontId="2" fillId="0" borderId="21" xfId="1" applyNumberFormat="1" applyFont="1" applyBorder="1"/>
    <xf numFmtId="0" fontId="2" fillId="0" borderId="75" xfId="0" applyFont="1" applyBorder="1"/>
    <xf numFmtId="43" fontId="2" fillId="0" borderId="36" xfId="1" applyFont="1" applyBorder="1"/>
    <xf numFmtId="43" fontId="2" fillId="0" borderId="37" xfId="1" applyFont="1" applyBorder="1"/>
    <xf numFmtId="43" fontId="2" fillId="0" borderId="21" xfId="1" applyFont="1" applyBorder="1"/>
    <xf numFmtId="0" fontId="0" fillId="0" borderId="46" xfId="0" applyBorder="1"/>
    <xf numFmtId="0" fontId="2" fillId="0" borderId="84" xfId="0" applyFont="1" applyBorder="1"/>
    <xf numFmtId="43" fontId="2" fillId="0" borderId="40" xfId="1" applyFont="1" applyBorder="1"/>
    <xf numFmtId="43" fontId="2" fillId="0" borderId="41" xfId="1" applyFont="1" applyBorder="1"/>
    <xf numFmtId="43" fontId="2" fillId="0" borderId="59" xfId="1" applyFont="1" applyBorder="1"/>
    <xf numFmtId="43" fontId="2" fillId="0" borderId="70" xfId="1" applyFont="1" applyBorder="1"/>
    <xf numFmtId="0" fontId="0" fillId="0" borderId="49" xfId="0" applyBorder="1"/>
    <xf numFmtId="171" fontId="10" fillId="0" borderId="0" xfId="1" applyNumberFormat="1" applyFont="1" applyFill="1" applyBorder="1" applyAlignment="1">
      <alignment horizontal="center" vertical="center" wrapText="1"/>
    </xf>
    <xf numFmtId="1" fontId="10" fillId="0" borderId="83" xfId="4" applyNumberFormat="1" applyFont="1" applyFill="1" applyBorder="1" applyAlignment="1">
      <alignment horizontal="center"/>
    </xf>
    <xf numFmtId="172" fontId="11" fillId="0" borderId="0" xfId="4" applyNumberFormat="1" applyFont="1" applyFill="1" applyBorder="1" applyAlignment="1">
      <alignment horizontal="justify" vertical="top" wrapText="1"/>
    </xf>
    <xf numFmtId="0" fontId="11" fillId="0" borderId="0" xfId="4" applyNumberFormat="1" applyFont="1" applyFill="1" applyBorder="1" applyAlignment="1">
      <alignment vertical="top"/>
    </xf>
    <xf numFmtId="0" fontId="10" fillId="0" borderId="0" xfId="4" applyNumberFormat="1" applyFont="1" applyFill="1" applyBorder="1" applyAlignment="1">
      <alignment vertical="top"/>
    </xf>
    <xf numFmtId="171" fontId="10" fillId="0" borderId="83" xfId="1" applyNumberFormat="1" applyFont="1" applyFill="1" applyBorder="1" applyAlignment="1">
      <alignment horizontal="right"/>
    </xf>
    <xf numFmtId="171" fontId="10" fillId="0" borderId="10" xfId="1" applyNumberFormat="1" applyFont="1" applyFill="1" applyBorder="1" applyAlignment="1">
      <alignment horizontal="right"/>
    </xf>
    <xf numFmtId="0" fontId="10" fillId="0" borderId="4" xfId="4" applyNumberFormat="1" applyFont="1" applyFill="1" applyBorder="1" applyAlignment="1">
      <alignment vertical="top" wrapText="1"/>
    </xf>
    <xf numFmtId="0" fontId="11" fillId="0" borderId="0" xfId="4" applyNumberFormat="1" applyFont="1" applyFill="1" applyAlignment="1">
      <alignment vertical="top" wrapText="1"/>
    </xf>
    <xf numFmtId="171" fontId="12" fillId="0" borderId="10" xfId="1" applyNumberFormat="1" applyFont="1" applyFill="1" applyBorder="1" applyAlignment="1">
      <alignment horizontal="left" vertical="top" wrapText="1"/>
    </xf>
    <xf numFmtId="171" fontId="10" fillId="0" borderId="10" xfId="1" applyNumberFormat="1" applyFont="1" applyFill="1" applyBorder="1" applyAlignment="1">
      <alignment horizontal="center" vertical="center"/>
    </xf>
    <xf numFmtId="171" fontId="10" fillId="0" borderId="21" xfId="1" applyNumberFormat="1" applyFont="1" applyFill="1" applyBorder="1" applyAlignment="1">
      <alignment horizontal="left" vertical="top"/>
    </xf>
    <xf numFmtId="171" fontId="11" fillId="0" borderId="21" xfId="1" applyNumberFormat="1" applyFont="1" applyFill="1" applyBorder="1" applyAlignment="1">
      <alignment horizontal="left"/>
    </xf>
    <xf numFmtId="171" fontId="10" fillId="0" borderId="6" xfId="1" applyNumberFormat="1" applyFont="1" applyFill="1" applyBorder="1" applyAlignment="1">
      <alignment horizontal="left" wrapText="1"/>
    </xf>
    <xf numFmtId="1" fontId="11" fillId="0" borderId="11" xfId="4" applyNumberFormat="1" applyFont="1" applyFill="1" applyBorder="1" applyAlignment="1">
      <alignment horizontal="right"/>
    </xf>
    <xf numFmtId="0" fontId="10" fillId="0" borderId="6" xfId="4" applyNumberFormat="1" applyFont="1" applyFill="1" applyBorder="1" applyAlignment="1">
      <alignment horizontal="center" vertical="center" wrapText="1"/>
    </xf>
    <xf numFmtId="1" fontId="10" fillId="0" borderId="6" xfId="4" applyNumberFormat="1" applyFont="1" applyFill="1" applyBorder="1" applyAlignment="1">
      <alignment horizontal="center" vertical="center" wrapText="1"/>
    </xf>
    <xf numFmtId="0" fontId="117" fillId="0" borderId="0" xfId="4" applyNumberFormat="1" applyFont="1" applyFill="1" applyAlignment="1">
      <alignment horizontal="center" vertical="center" wrapText="1"/>
    </xf>
    <xf numFmtId="172" fontId="117" fillId="0" borderId="0" xfId="4" applyNumberFormat="1" applyFont="1" applyFill="1" applyAlignment="1">
      <alignment horizontal="center" vertical="center" wrapText="1"/>
    </xf>
    <xf numFmtId="172" fontId="17" fillId="0" borderId="0" xfId="4" applyNumberFormat="1" applyFont="1" applyFill="1" applyAlignment="1">
      <alignment horizontal="center" vertical="center" wrapText="1"/>
    </xf>
    <xf numFmtId="172" fontId="11" fillId="0" borderId="0" xfId="4" applyNumberFormat="1" applyFont="1" applyFill="1" applyAlignment="1">
      <alignment horizontal="center" vertical="center" wrapText="1"/>
    </xf>
    <xf numFmtId="171" fontId="10" fillId="0" borderId="6" xfId="1" applyNumberFormat="1" applyFont="1" applyFill="1" applyBorder="1" applyAlignment="1">
      <alignment horizontal="right" vertical="center" wrapText="1"/>
    </xf>
    <xf numFmtId="171" fontId="118" fillId="0" borderId="0" xfId="1" applyNumberFormat="1" applyFont="1" applyFill="1" applyBorder="1" applyAlignment="1">
      <alignment horizontal="right" vertical="center" wrapText="1"/>
    </xf>
    <xf numFmtId="172" fontId="118" fillId="0" borderId="0" xfId="4" applyNumberFormat="1" applyFont="1" applyFill="1" applyAlignment="1">
      <alignment vertical="center" wrapText="1"/>
    </xf>
    <xf numFmtId="172" fontId="18" fillId="0" borderId="0" xfId="4" applyNumberFormat="1" applyFont="1" applyFill="1" applyAlignment="1">
      <alignment vertical="center" wrapText="1"/>
    </xf>
    <xf numFmtId="172" fontId="10" fillId="0" borderId="0" xfId="4" applyNumberFormat="1" applyFont="1" applyFill="1" applyAlignment="1">
      <alignment vertical="center" wrapText="1"/>
    </xf>
    <xf numFmtId="172" fontId="118" fillId="0" borderId="0" xfId="4" applyNumberFormat="1" applyFont="1" applyFill="1" applyAlignment="1">
      <alignment horizontal="center" vertical="center" wrapText="1"/>
    </xf>
    <xf numFmtId="172" fontId="18" fillId="0" borderId="0" xfId="4" applyNumberFormat="1" applyFont="1" applyFill="1" applyAlignment="1">
      <alignment horizontal="center" vertical="center" wrapText="1"/>
    </xf>
    <xf numFmtId="172" fontId="10" fillId="0" borderId="0" xfId="4" applyNumberFormat="1" applyFont="1" applyFill="1" applyAlignment="1">
      <alignment horizontal="center" vertical="center" wrapText="1"/>
    </xf>
    <xf numFmtId="172" fontId="15" fillId="0" borderId="5" xfId="4" applyNumberFormat="1" applyFont="1" applyFill="1" applyBorder="1"/>
    <xf numFmtId="172" fontId="15" fillId="0" borderId="17" xfId="4" applyNumberFormat="1" applyFont="1" applyFill="1" applyBorder="1"/>
    <xf numFmtId="0" fontId="10" fillId="0" borderId="5" xfId="4" applyNumberFormat="1" applyFont="1" applyFill="1" applyBorder="1" applyAlignment="1">
      <alignment horizontal="left"/>
    </xf>
    <xf numFmtId="171" fontId="11" fillId="0" borderId="13" xfId="1" applyNumberFormat="1" applyFont="1" applyFill="1" applyBorder="1" applyAlignment="1">
      <alignment horizontal="left" wrapText="1"/>
    </xf>
    <xf numFmtId="0" fontId="11" fillId="0" borderId="13" xfId="0" applyFont="1" applyFill="1" applyBorder="1" applyAlignment="1">
      <alignment horizontal="center" vertical="center" wrapText="1"/>
    </xf>
    <xf numFmtId="9" fontId="11" fillId="0" borderId="7" xfId="3" applyFont="1" applyFill="1" applyBorder="1" applyAlignment="1">
      <alignment horizontal="center"/>
    </xf>
    <xf numFmtId="189" fontId="0" fillId="0" borderId="6" xfId="0" applyNumberFormat="1" applyFill="1" applyBorder="1" applyAlignment="1">
      <alignment horizontal="center"/>
    </xf>
    <xf numFmtId="189" fontId="0" fillId="0" borderId="6" xfId="0" applyNumberFormat="1" applyFill="1" applyBorder="1" applyAlignment="1">
      <alignment horizontal="center" vertical="center"/>
    </xf>
    <xf numFmtId="172" fontId="17" fillId="0" borderId="14" xfId="4" applyNumberFormat="1" applyFont="1" applyFill="1" applyBorder="1"/>
    <xf numFmtId="172" fontId="17" fillId="0" borderId="11" xfId="4" applyNumberFormat="1" applyFont="1" applyFill="1" applyBorder="1"/>
    <xf numFmtId="171" fontId="10" fillId="0" borderId="17" xfId="1" applyNumberFormat="1" applyFont="1" applyFill="1" applyBorder="1" applyAlignment="1"/>
    <xf numFmtId="9" fontId="11" fillId="0" borderId="18" xfId="3" applyFont="1" applyFill="1" applyBorder="1" applyAlignment="1"/>
    <xf numFmtId="0" fontId="11" fillId="0" borderId="5" xfId="4" applyNumberFormat="1" applyFont="1" applyFill="1" applyBorder="1" applyAlignment="1">
      <alignment vertical="top"/>
    </xf>
    <xf numFmtId="0" fontId="10" fillId="0" borderId="1" xfId="4" applyNumberFormat="1" applyFont="1" applyFill="1" applyBorder="1" applyAlignment="1">
      <alignment horizontal="left"/>
    </xf>
    <xf numFmtId="171" fontId="11" fillId="0" borderId="14" xfId="1" applyNumberFormat="1" applyFont="1" applyFill="1" applyBorder="1" applyAlignment="1">
      <alignment horizontal="center" vertical="center" wrapText="1"/>
    </xf>
    <xf numFmtId="171" fontId="10" fillId="0" borderId="83" xfId="1" applyNumberFormat="1" applyFont="1" applyFill="1" applyBorder="1" applyAlignment="1">
      <alignment horizontal="center"/>
    </xf>
    <xf numFmtId="0" fontId="55" fillId="0" borderId="4" xfId="0" applyFont="1" applyBorder="1" applyAlignment="1">
      <alignment horizontal="left" wrapText="1"/>
    </xf>
    <xf numFmtId="0" fontId="55" fillId="0" borderId="0" xfId="0" applyFont="1" applyBorder="1" applyAlignment="1">
      <alignment horizontal="left" wrapText="1"/>
    </xf>
    <xf numFmtId="0" fontId="55" fillId="0" borderId="11" xfId="0" applyFont="1" applyBorder="1" applyAlignment="1">
      <alignment horizontal="left" wrapText="1"/>
    </xf>
    <xf numFmtId="0" fontId="11" fillId="0" borderId="4" xfId="4" applyNumberFormat="1" applyFont="1" applyFill="1" applyBorder="1" applyAlignment="1">
      <alignment horizontal="justify" vertical="top" wrapText="1"/>
    </xf>
    <xf numFmtId="0" fontId="11" fillId="0" borderId="4" xfId="4" applyNumberFormat="1" applyFont="1" applyFill="1" applyBorder="1" applyAlignment="1">
      <alignment horizontal="left" vertical="top" wrapText="1"/>
    </xf>
    <xf numFmtId="0" fontId="11" fillId="0" borderId="5" xfId="4" applyNumberFormat="1" applyFont="1" applyFill="1" applyBorder="1" applyAlignment="1">
      <alignment horizontal="left" vertical="top" wrapText="1"/>
    </xf>
    <xf numFmtId="0" fontId="11" fillId="0" borderId="1" xfId="4" applyNumberFormat="1" applyFont="1" applyFill="1" applyBorder="1" applyAlignment="1">
      <alignment horizontal="left" vertical="top" wrapText="1"/>
    </xf>
    <xf numFmtId="0" fontId="11" fillId="0" borderId="17" xfId="4" applyNumberFormat="1" applyFont="1" applyFill="1" applyBorder="1" applyAlignment="1">
      <alignment horizontal="left" vertical="top" wrapText="1"/>
    </xf>
    <xf numFmtId="0" fontId="11" fillId="0" borderId="0" xfId="4" applyNumberFormat="1" applyFont="1" applyFill="1" applyAlignment="1">
      <alignment horizontal="left" vertical="top" wrapText="1"/>
    </xf>
    <xf numFmtId="172" fontId="10" fillId="0" borderId="3" xfId="4" applyNumberFormat="1" applyFont="1" applyFill="1" applyBorder="1" applyAlignment="1">
      <alignment horizontal="center"/>
    </xf>
    <xf numFmtId="172" fontId="10" fillId="0" borderId="2" xfId="4" applyNumberFormat="1" applyFont="1" applyFill="1" applyBorder="1" applyAlignment="1">
      <alignment horizontal="center"/>
    </xf>
    <xf numFmtId="172" fontId="10" fillId="0" borderId="83" xfId="4" applyNumberFormat="1" applyFont="1" applyFill="1" applyBorder="1" applyAlignment="1">
      <alignment horizontal="center"/>
    </xf>
    <xf numFmtId="0" fontId="11" fillId="0" borderId="0" xfId="4" applyNumberFormat="1" applyFont="1" applyFill="1" applyAlignment="1">
      <alignment horizontal="justify" vertical="top" wrapText="1"/>
    </xf>
    <xf numFmtId="0" fontId="11" fillId="0" borderId="18" xfId="4" applyNumberFormat="1" applyFont="1" applyFill="1" applyBorder="1" applyAlignment="1">
      <alignment horizontal="left" vertical="top"/>
    </xf>
    <xf numFmtId="0" fontId="11" fillId="0" borderId="7" xfId="4" applyNumberFormat="1" applyFont="1" applyFill="1" applyBorder="1" applyAlignment="1">
      <alignment horizontal="left" vertical="top"/>
    </xf>
    <xf numFmtId="0" fontId="11" fillId="0" borderId="21" xfId="4" applyNumberFormat="1" applyFont="1" applyFill="1" applyBorder="1" applyAlignment="1">
      <alignment horizontal="left" vertical="top"/>
    </xf>
    <xf numFmtId="171" fontId="10" fillId="0" borderId="6" xfId="1" applyNumberFormat="1" applyFont="1" applyFill="1" applyBorder="1" applyAlignment="1">
      <alignment horizontal="center" vertical="center" wrapText="1"/>
    </xf>
    <xf numFmtId="0" fontId="54" fillId="0" borderId="14" xfId="0" applyFont="1" applyBorder="1" applyAlignment="1">
      <alignment horizontal="left" wrapText="1"/>
    </xf>
    <xf numFmtId="172" fontId="50" fillId="0" borderId="4" xfId="16" applyNumberFormat="1" applyFont="1" applyBorder="1" applyAlignment="1">
      <alignment horizontal="center"/>
    </xf>
    <xf numFmtId="172" fontId="50" fillId="0" borderId="11" xfId="16" applyNumberFormat="1" applyFont="1" applyBorder="1" applyAlignment="1">
      <alignment horizontal="center"/>
    </xf>
    <xf numFmtId="0" fontId="11" fillId="0" borderId="4" xfId="0" applyFont="1" applyFill="1" applyBorder="1" applyAlignment="1">
      <alignment horizontal="left" vertical="top" wrapText="1"/>
    </xf>
    <xf numFmtId="0" fontId="11" fillId="0" borderId="11" xfId="0" applyFont="1" applyFill="1" applyBorder="1" applyAlignment="1">
      <alignment horizontal="left" vertical="top" wrapText="1"/>
    </xf>
    <xf numFmtId="9" fontId="11" fillId="0" borderId="0" xfId="3" applyFont="1" applyFill="1" applyBorder="1" applyAlignment="1">
      <alignment horizontal="left" wrapText="1"/>
    </xf>
    <xf numFmtId="9" fontId="11" fillId="0" borderId="11" xfId="3" applyFont="1" applyFill="1" applyBorder="1" applyAlignment="1">
      <alignment horizontal="left" wrapText="1"/>
    </xf>
    <xf numFmtId="9" fontId="10" fillId="0" borderId="4" xfId="3" applyFont="1" applyFill="1" applyBorder="1" applyAlignment="1">
      <alignment horizontal="left" wrapText="1"/>
    </xf>
    <xf numFmtId="172" fontId="10" fillId="0" borderId="4" xfId="4" applyNumberFormat="1" applyFont="1" applyFill="1" applyBorder="1" applyAlignment="1">
      <alignment horizontal="center"/>
    </xf>
    <xf numFmtId="0" fontId="11" fillId="0" borderId="4" xfId="0" applyFont="1" applyFill="1" applyBorder="1" applyAlignment="1">
      <alignment horizontal="left" wrapText="1"/>
    </xf>
    <xf numFmtId="0" fontId="11" fillId="0" borderId="4" xfId="4" applyNumberFormat="1" applyFont="1" applyFill="1" applyBorder="1" applyAlignment="1">
      <alignment horizontal="left" wrapText="1"/>
    </xf>
    <xf numFmtId="0" fontId="11" fillId="0" borderId="4" xfId="4" applyNumberFormat="1" applyFont="1" applyFill="1" applyBorder="1" applyAlignment="1">
      <alignment horizontal="justify" vertical="top" wrapText="1"/>
    </xf>
    <xf numFmtId="172" fontId="10" fillId="0" borderId="0" xfId="4" applyNumberFormat="1" applyFont="1" applyFill="1" applyBorder="1" applyAlignment="1">
      <alignment horizontal="center"/>
    </xf>
    <xf numFmtId="9" fontId="11" fillId="0" borderId="4" xfId="3" applyFont="1" applyFill="1" applyBorder="1" applyAlignment="1">
      <alignment horizontal="left"/>
    </xf>
    <xf numFmtId="9" fontId="11" fillId="0" borderId="0" xfId="3" applyFont="1" applyFill="1" applyBorder="1" applyAlignment="1">
      <alignment horizontal="left"/>
    </xf>
    <xf numFmtId="0" fontId="11" fillId="0" borderId="0" xfId="4" applyNumberFormat="1" applyFont="1" applyFill="1" applyBorder="1" applyAlignment="1">
      <alignment horizontal="justify" vertical="top" wrapText="1"/>
    </xf>
    <xf numFmtId="0" fontId="10"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171" fontId="10" fillId="0" borderId="6" xfId="1" applyNumberFormat="1" applyFont="1" applyFill="1" applyBorder="1" applyAlignment="1">
      <alignment horizontal="center" vertical="center" wrapText="1"/>
    </xf>
    <xf numFmtId="1" fontId="10" fillId="0" borderId="83" xfId="4" applyNumberFormat="1" applyFont="1" applyFill="1" applyBorder="1"/>
    <xf numFmtId="171" fontId="10" fillId="0" borderId="83" xfId="1" applyNumberFormat="1" applyFont="1" applyFill="1" applyBorder="1" applyAlignment="1"/>
    <xf numFmtId="0" fontId="19" fillId="0" borderId="0" xfId="0" applyFont="1" applyFill="1"/>
    <xf numFmtId="0" fontId="2" fillId="0" borderId="14" xfId="0" applyFont="1" applyFill="1" applyBorder="1"/>
    <xf numFmtId="0" fontId="0" fillId="0" borderId="11" xfId="0" applyFill="1" applyBorder="1"/>
    <xf numFmtId="175" fontId="2" fillId="0" borderId="14" xfId="0" applyNumberFormat="1" applyFont="1" applyFill="1" applyBorder="1"/>
    <xf numFmtId="171" fontId="2" fillId="0" borderId="14" xfId="1" applyNumberFormat="1" applyFont="1" applyFill="1" applyBorder="1"/>
    <xf numFmtId="175" fontId="0" fillId="0" borderId="11" xfId="0" applyNumberFormat="1" applyFill="1" applyBorder="1"/>
    <xf numFmtId="175" fontId="0" fillId="0" borderId="14" xfId="0" applyNumberFormat="1" applyFill="1" applyBorder="1"/>
    <xf numFmtId="171" fontId="0" fillId="0" borderId="14" xfId="1" applyNumberFormat="1" applyFont="1" applyFill="1" applyBorder="1"/>
    <xf numFmtId="175" fontId="2" fillId="0" borderId="6" xfId="0" applyNumberFormat="1" applyFont="1" applyFill="1" applyBorder="1"/>
    <xf numFmtId="171" fontId="2" fillId="0" borderId="6" xfId="1" applyNumberFormat="1" applyFont="1" applyFill="1" applyBorder="1"/>
    <xf numFmtId="0" fontId="2" fillId="0" borderId="12" xfId="0" applyFont="1" applyFill="1" applyBorder="1"/>
    <xf numFmtId="175" fontId="2" fillId="0" borderId="12" xfId="0" applyNumberFormat="1" applyFont="1" applyFill="1" applyBorder="1"/>
    <xf numFmtId="0" fontId="2" fillId="0" borderId="13" xfId="0" applyFont="1" applyFill="1" applyBorder="1"/>
    <xf numFmtId="175" fontId="2" fillId="0" borderId="13" xfId="0" applyNumberFormat="1" applyFont="1" applyFill="1" applyBorder="1"/>
    <xf numFmtId="0" fontId="2" fillId="0" borderId="0" xfId="0" applyFont="1" applyFill="1"/>
    <xf numFmtId="0" fontId="19" fillId="0" borderId="6" xfId="0" quotePrefix="1" applyFont="1" applyFill="1" applyBorder="1"/>
    <xf numFmtId="171" fontId="0" fillId="0" borderId="6" xfId="0" applyNumberFormat="1" applyFill="1" applyBorder="1"/>
    <xf numFmtId="0" fontId="0" fillId="0" borderId="6" xfId="0" applyFill="1" applyBorder="1" applyAlignment="1">
      <alignment horizontal="center" vertical="center"/>
    </xf>
    <xf numFmtId="0" fontId="0" fillId="0" borderId="6" xfId="0" applyFill="1" applyBorder="1" applyAlignment="1">
      <alignment vertical="center"/>
    </xf>
    <xf numFmtId="171" fontId="0" fillId="0" borderId="6" xfId="0" applyNumberFormat="1" applyFill="1" applyBorder="1" applyAlignment="1">
      <alignment horizontal="right" vertical="center"/>
    </xf>
    <xf numFmtId="171" fontId="0" fillId="0" borderId="6" xfId="0" applyNumberFormat="1" applyFill="1" applyBorder="1" applyAlignment="1">
      <alignment vertical="center"/>
    </xf>
    <xf numFmtId="0" fontId="0" fillId="0" borderId="6" xfId="0" applyFill="1" applyBorder="1" applyAlignment="1">
      <alignment horizontal="center"/>
    </xf>
    <xf numFmtId="175" fontId="2" fillId="0" borderId="11" xfId="0" applyNumberFormat="1" applyFont="1" applyFill="1" applyBorder="1"/>
    <xf numFmtId="175" fontId="0" fillId="0" borderId="0" xfId="0" applyNumberFormat="1"/>
    <xf numFmtId="0" fontId="10" fillId="0" borderId="1" xfId="0" applyFont="1" applyFill="1" applyBorder="1" applyAlignment="1">
      <alignment horizontal="left" vertical="top" wrapText="1"/>
    </xf>
    <xf numFmtId="0" fontId="10" fillId="0" borderId="13" xfId="0" applyFont="1" applyFill="1" applyBorder="1" applyAlignment="1">
      <alignment horizontal="left" vertical="top" wrapText="1"/>
    </xf>
    <xf numFmtId="171" fontId="10" fillId="0" borderId="1" xfId="1" applyNumberFormat="1" applyFont="1" applyFill="1" applyBorder="1" applyAlignment="1">
      <alignment horizontal="left" vertical="top" wrapText="1"/>
    </xf>
    <xf numFmtId="2" fontId="11" fillId="0" borderId="0" xfId="0" applyNumberFormat="1" applyFont="1" applyFill="1" applyBorder="1" applyAlignment="1">
      <alignment horizontal="left" vertical="top" wrapText="1"/>
    </xf>
    <xf numFmtId="172" fontId="52" fillId="0" borderId="0" xfId="16" applyNumberFormat="1" applyFont="1" applyBorder="1"/>
    <xf numFmtId="172" fontId="50" fillId="0" borderId="0" xfId="16" applyNumberFormat="1" applyFont="1" applyBorder="1" applyAlignment="1">
      <alignment horizontal="center"/>
    </xf>
    <xf numFmtId="0" fontId="55" fillId="0" borderId="0" xfId="0" applyFont="1" applyBorder="1"/>
    <xf numFmtId="0" fontId="11" fillId="0" borderId="0" xfId="4" applyNumberFormat="1" applyFont="1" applyBorder="1"/>
    <xf numFmtId="172" fontId="10" fillId="0" borderId="0" xfId="4" applyNumberFormat="1" applyFont="1" applyBorder="1"/>
    <xf numFmtId="9" fontId="12" fillId="0" borderId="3" xfId="3" applyFont="1" applyFill="1" applyBorder="1" applyAlignment="1">
      <alignment horizontal="left"/>
    </xf>
    <xf numFmtId="171" fontId="11" fillId="0" borderId="10" xfId="1" applyNumberFormat="1" applyFont="1" applyFill="1" applyBorder="1" applyAlignment="1">
      <alignment horizontal="right"/>
    </xf>
    <xf numFmtId="172" fontId="11" fillId="0" borderId="0" xfId="4" applyNumberFormat="1" applyFont="1" applyFill="1" applyBorder="1" applyAlignment="1">
      <alignment vertical="top"/>
    </xf>
    <xf numFmtId="0" fontId="13" fillId="0" borderId="0" xfId="0" applyFont="1" applyFill="1" applyBorder="1"/>
    <xf numFmtId="0" fontId="14" fillId="0" borderId="0" xfId="0" applyFont="1" applyFill="1" applyBorder="1"/>
    <xf numFmtId="171" fontId="11" fillId="0" borderId="83" xfId="1" applyNumberFormat="1" applyFont="1" applyFill="1" applyBorder="1"/>
    <xf numFmtId="1" fontId="10" fillId="0" borderId="0" xfId="4" applyNumberFormat="1" applyFont="1" applyFill="1" applyBorder="1" applyAlignment="1">
      <alignment horizontal="center"/>
    </xf>
    <xf numFmtId="167" fontId="11" fillId="0" borderId="0" xfId="0" applyNumberFormat="1" applyFont="1" applyFill="1" applyBorder="1"/>
    <xf numFmtId="0" fontId="10" fillId="0" borderId="0" xfId="4" applyNumberFormat="1" applyFont="1" applyFill="1" applyBorder="1" applyAlignment="1">
      <alignment horizontal="center"/>
    </xf>
    <xf numFmtId="0" fontId="10" fillId="0" borderId="0" xfId="0" applyFont="1" applyFill="1" applyBorder="1" applyAlignment="1">
      <alignment horizontal="right"/>
    </xf>
    <xf numFmtId="0" fontId="11" fillId="0" borderId="0" xfId="0" applyFont="1" applyFill="1" applyBorder="1" applyAlignment="1">
      <alignment vertical="top" wrapText="1"/>
    </xf>
    <xf numFmtId="0" fontId="11" fillId="0" borderId="0" xfId="0" applyFont="1" applyFill="1" applyBorder="1" applyAlignment="1">
      <alignment horizontal="justify" vertical="top" wrapText="1"/>
    </xf>
    <xf numFmtId="0" fontId="11" fillId="0" borderId="0" xfId="0" applyFont="1" applyFill="1" applyBorder="1" applyAlignment="1">
      <alignment horizontal="left" wrapText="1"/>
    </xf>
    <xf numFmtId="171" fontId="54" fillId="0" borderId="11" xfId="1" applyNumberFormat="1" applyFont="1" applyFill="1" applyBorder="1"/>
    <xf numFmtId="171" fontId="54" fillId="0" borderId="11" xfId="1" applyNumberFormat="1" applyFont="1" applyFill="1" applyBorder="1" applyAlignment="1">
      <alignment horizontal="right" wrapText="1"/>
    </xf>
    <xf numFmtId="0" fontId="54" fillId="0" borderId="12" xfId="0" applyFont="1" applyBorder="1"/>
    <xf numFmtId="0" fontId="0" fillId="0" borderId="13" xfId="0" applyBorder="1"/>
    <xf numFmtId="0" fontId="12" fillId="0" borderId="0" xfId="0" applyFont="1" applyFill="1" applyBorder="1" applyAlignment="1">
      <alignment horizontal="left" vertical="top" wrapText="1"/>
    </xf>
    <xf numFmtId="165" fontId="11" fillId="0" borderId="0" xfId="4" applyNumberFormat="1" applyFont="1" applyFill="1" applyBorder="1" applyAlignment="1">
      <alignment vertical="top"/>
    </xf>
    <xf numFmtId="165" fontId="11" fillId="0" borderId="1" xfId="4" applyNumberFormat="1" applyFont="1" applyFill="1" applyBorder="1" applyAlignment="1">
      <alignment vertical="top"/>
    </xf>
    <xf numFmtId="0" fontId="11" fillId="0" borderId="0" xfId="4" applyNumberFormat="1" applyFont="1" applyFill="1" applyBorder="1" applyAlignment="1">
      <alignment horizontal="left" wrapText="1"/>
    </xf>
    <xf numFmtId="0" fontId="10" fillId="0" borderId="0" xfId="4" applyNumberFormat="1" applyFont="1" applyFill="1" applyBorder="1" applyAlignment="1">
      <alignment horizontal="left" wrapText="1"/>
    </xf>
    <xf numFmtId="171" fontId="10" fillId="0" borderId="13" xfId="1" applyNumberFormat="1" applyFont="1" applyFill="1" applyBorder="1" applyAlignment="1">
      <alignment horizontal="left" vertical="top" wrapText="1"/>
    </xf>
    <xf numFmtId="171" fontId="11" fillId="0" borderId="14" xfId="1" applyNumberFormat="1" applyFont="1" applyFill="1" applyBorder="1" applyAlignment="1">
      <alignment horizontal="center" vertical="top" wrapText="1"/>
    </xf>
    <xf numFmtId="172" fontId="15" fillId="0" borderId="5" xfId="4" applyNumberFormat="1" applyFont="1" applyFill="1" applyBorder="1" applyAlignment="1">
      <alignment wrapText="1"/>
    </xf>
    <xf numFmtId="172" fontId="15" fillId="0" borderId="1" xfId="4" applyNumberFormat="1" applyFont="1" applyFill="1" applyBorder="1" applyAlignment="1">
      <alignment wrapText="1"/>
    </xf>
    <xf numFmtId="171" fontId="15" fillId="0" borderId="1" xfId="1" applyNumberFormat="1" applyFont="1" applyFill="1" applyBorder="1" applyAlignment="1">
      <alignment wrapText="1"/>
    </xf>
    <xf numFmtId="171" fontId="15" fillId="0" borderId="17" xfId="1" applyNumberFormat="1" applyFont="1" applyFill="1" applyBorder="1" applyAlignment="1">
      <alignment wrapText="1"/>
    </xf>
    <xf numFmtId="172" fontId="50" fillId="0" borderId="6" xfId="16" applyNumberFormat="1" applyFont="1" applyBorder="1" applyAlignment="1">
      <alignment horizontal="center"/>
    </xf>
    <xf numFmtId="165" fontId="10" fillId="0" borderId="18" xfId="1" applyNumberFormat="1" applyFont="1" applyFill="1" applyBorder="1" applyAlignment="1">
      <alignment horizontal="center" wrapText="1"/>
    </xf>
    <xf numFmtId="165" fontId="10" fillId="0" borderId="18" xfId="1" applyNumberFormat="1" applyFont="1" applyFill="1" applyBorder="1" applyAlignment="1">
      <alignment horizontal="center" vertical="center" wrapText="1"/>
    </xf>
    <xf numFmtId="165" fontId="10" fillId="0" borderId="5" xfId="1" applyNumberFormat="1" applyFont="1" applyFill="1" applyBorder="1" applyAlignment="1">
      <alignment horizontal="right" vertical="top" wrapText="1"/>
    </xf>
    <xf numFmtId="14" fontId="10" fillId="0" borderId="13" xfId="1" applyNumberFormat="1" applyFont="1" applyFill="1" applyBorder="1" applyAlignment="1">
      <alignment horizontal="right"/>
    </xf>
    <xf numFmtId="0" fontId="0" fillId="0" borderId="0" xfId="0" applyAlignment="1">
      <alignment horizontal="left" vertical="top" wrapText="1"/>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6" xfId="0" applyFont="1" applyBorder="1" applyAlignment="1">
      <alignment horizontal="center" vertical="center" wrapText="1"/>
    </xf>
    <xf numFmtId="0" fontId="11" fillId="0" borderId="4" xfId="0" applyFont="1" applyFill="1" applyBorder="1" applyAlignment="1">
      <alignment horizontal="left" vertical="top"/>
    </xf>
    <xf numFmtId="0" fontId="11" fillId="0" borderId="0" xfId="0" applyFont="1" applyFill="1" applyBorder="1" applyAlignment="1">
      <alignment horizontal="left" vertical="top"/>
    </xf>
    <xf numFmtId="0" fontId="0" fillId="0" borderId="0" xfId="0" applyAlignment="1">
      <alignment horizontal="left" wrapText="1"/>
    </xf>
    <xf numFmtId="166" fontId="123" fillId="0" borderId="4" xfId="3" applyNumberFormat="1" applyFont="1" applyFill="1" applyBorder="1" applyAlignment="1">
      <alignment horizontal="center"/>
    </xf>
    <xf numFmtId="166" fontId="123" fillId="0" borderId="0" xfId="3" applyNumberFormat="1" applyFont="1" applyFill="1" applyBorder="1" applyAlignment="1">
      <alignment horizont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8" xfId="0" applyFont="1" applyBorder="1" applyAlignment="1">
      <alignment horizontal="center"/>
    </xf>
    <xf numFmtId="0" fontId="2" fillId="0" borderId="21" xfId="0" applyFont="1" applyBorder="1" applyAlignment="1">
      <alignment horizontal="center"/>
    </xf>
    <xf numFmtId="166" fontId="123" fillId="0" borderId="0" xfId="3" applyNumberFormat="1" applyFont="1" applyFill="1" applyBorder="1" applyAlignment="1">
      <alignment horizontal="center" vertical="center"/>
    </xf>
    <xf numFmtId="0" fontId="2" fillId="0" borderId="64" xfId="0" applyFont="1" applyBorder="1" applyAlignment="1">
      <alignment horizontal="center" vertical="center"/>
    </xf>
    <xf numFmtId="0" fontId="2" fillId="0" borderId="39" xfId="0" applyFont="1" applyBorder="1" applyAlignment="1">
      <alignment horizontal="center" vertical="center"/>
    </xf>
    <xf numFmtId="172" fontId="126" fillId="0" borderId="3" xfId="50" applyNumberFormat="1" applyFont="1" applyBorder="1" applyAlignment="1">
      <alignment horizontal="center"/>
    </xf>
    <xf numFmtId="172" fontId="126" fillId="0" borderId="2" xfId="50" applyNumberFormat="1" applyFont="1" applyBorder="1" applyAlignment="1">
      <alignment horizontal="center"/>
    </xf>
    <xf numFmtId="172" fontId="50" fillId="0" borderId="4" xfId="50" applyNumberFormat="1" applyFont="1" applyBorder="1" applyAlignment="1">
      <alignment horizontal="center" wrapText="1"/>
    </xf>
    <xf numFmtId="172" fontId="50" fillId="0" borderId="0" xfId="50" applyNumberFormat="1" applyFont="1" applyAlignment="1">
      <alignment horizontal="center" wrapText="1"/>
    </xf>
    <xf numFmtId="172" fontId="50" fillId="0" borderId="11" xfId="50" applyNumberFormat="1" applyFont="1" applyBorder="1" applyAlignment="1">
      <alignment horizontal="center" wrapText="1"/>
    </xf>
    <xf numFmtId="0" fontId="54" fillId="0" borderId="14" xfId="0" applyFont="1" applyBorder="1" applyAlignment="1">
      <alignment horizontal="left" wrapText="1"/>
    </xf>
    <xf numFmtId="0" fontId="54" fillId="0" borderId="13" xfId="0" applyFont="1" applyBorder="1" applyAlignment="1">
      <alignment horizontal="left" wrapText="1"/>
    </xf>
    <xf numFmtId="172" fontId="50" fillId="0" borderId="3" xfId="16" applyNumberFormat="1" applyFont="1" applyBorder="1" applyAlignment="1">
      <alignment horizontal="center"/>
    </xf>
    <xf numFmtId="172" fontId="50" fillId="0" borderId="83" xfId="16" applyNumberFormat="1" applyFont="1" applyBorder="1" applyAlignment="1">
      <alignment horizontal="center"/>
    </xf>
    <xf numFmtId="172" fontId="50" fillId="0" borderId="10" xfId="16" applyNumberFormat="1" applyFont="1" applyBorder="1" applyAlignment="1">
      <alignment horizontal="center"/>
    </xf>
    <xf numFmtId="172" fontId="50" fillId="0" borderId="4" xfId="16" applyNumberFormat="1" applyFont="1" applyBorder="1" applyAlignment="1">
      <alignment horizontal="center"/>
    </xf>
    <xf numFmtId="172" fontId="50" fillId="0" borderId="0" xfId="16" applyNumberFormat="1" applyFont="1" applyBorder="1" applyAlignment="1">
      <alignment horizontal="center"/>
    </xf>
    <xf numFmtId="172" fontId="50" fillId="0" borderId="11" xfId="16" applyNumberFormat="1" applyFont="1" applyBorder="1" applyAlignment="1">
      <alignment horizontal="center"/>
    </xf>
    <xf numFmtId="172" fontId="10" fillId="0" borderId="0" xfId="4" applyNumberFormat="1" applyFont="1" applyBorder="1" applyAlignment="1">
      <alignment horizontal="right" wrapText="1"/>
    </xf>
    <xf numFmtId="172" fontId="10" fillId="0" borderId="11" xfId="4" applyNumberFormat="1" applyFont="1" applyBorder="1" applyAlignment="1">
      <alignment horizontal="right" wrapText="1"/>
    </xf>
    <xf numFmtId="0" fontId="55" fillId="0" borderId="4" xfId="0" applyFont="1" applyBorder="1" applyAlignment="1">
      <alignment horizontal="left" vertical="center" wrapText="1"/>
    </xf>
    <xf numFmtId="0" fontId="55" fillId="0" borderId="0" xfId="0" applyFont="1" applyBorder="1" applyAlignment="1">
      <alignment horizontal="left" vertical="center" wrapText="1"/>
    </xf>
    <xf numFmtId="0" fontId="55" fillId="0" borderId="11" xfId="0" applyFont="1" applyBorder="1" applyAlignment="1">
      <alignment horizontal="left" vertical="center" wrapText="1"/>
    </xf>
    <xf numFmtId="0" fontId="54" fillId="0" borderId="3" xfId="0" applyFont="1" applyBorder="1" applyAlignment="1">
      <alignment horizontal="left" vertical="center" wrapText="1"/>
    </xf>
    <xf numFmtId="0" fontId="54" fillId="0" borderId="5" xfId="0" applyFont="1" applyBorder="1" applyAlignment="1">
      <alignment horizontal="left" vertical="center" wrapText="1"/>
    </xf>
    <xf numFmtId="172" fontId="10" fillId="0" borderId="3" xfId="4" applyNumberFormat="1" applyFont="1" applyFill="1" applyBorder="1" applyAlignment="1">
      <alignment horizontal="left" vertical="center"/>
    </xf>
    <xf numFmtId="172" fontId="10" fillId="0" borderId="10" xfId="4" applyNumberFormat="1" applyFont="1" applyFill="1" applyBorder="1" applyAlignment="1">
      <alignment horizontal="left" vertical="center"/>
    </xf>
    <xf numFmtId="172" fontId="10" fillId="0" borderId="5" xfId="4" applyNumberFormat="1" applyFont="1" applyFill="1" applyBorder="1" applyAlignment="1">
      <alignment horizontal="left" vertical="center"/>
    </xf>
    <xf numFmtId="172" fontId="10" fillId="0" borderId="17" xfId="4" applyNumberFormat="1" applyFont="1" applyFill="1" applyBorder="1" applyAlignment="1">
      <alignment horizontal="left" vertical="center"/>
    </xf>
    <xf numFmtId="0" fontId="11" fillId="0" borderId="5" xfId="0" applyFont="1" applyFill="1" applyBorder="1" applyAlignment="1">
      <alignment horizontal="left" wrapText="1"/>
    </xf>
    <xf numFmtId="0" fontId="11" fillId="0" borderId="1" xfId="0" applyFont="1" applyFill="1" applyBorder="1" applyAlignment="1">
      <alignment horizontal="left" wrapText="1"/>
    </xf>
    <xf numFmtId="0" fontId="11" fillId="0" borderId="17" xfId="0" applyFont="1" applyFill="1" applyBorder="1" applyAlignment="1">
      <alignment horizontal="left" wrapText="1"/>
    </xf>
    <xf numFmtId="171" fontId="11" fillId="0" borderId="18" xfId="1" applyNumberFormat="1" applyFont="1" applyFill="1" applyBorder="1" applyAlignment="1">
      <alignment horizontal="center" vertical="center"/>
    </xf>
    <xf numFmtId="171" fontId="11" fillId="0" borderId="21" xfId="1" applyNumberFormat="1" applyFont="1" applyFill="1" applyBorder="1" applyAlignment="1">
      <alignment horizontal="center" vertical="center"/>
    </xf>
    <xf numFmtId="0" fontId="11" fillId="0" borderId="4"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17" xfId="0" applyFont="1" applyFill="1" applyBorder="1" applyAlignment="1">
      <alignment horizontal="left" vertical="top" wrapText="1"/>
    </xf>
    <xf numFmtId="172" fontId="10" fillId="0" borderId="18" xfId="4" applyNumberFormat="1" applyFont="1" applyFill="1" applyBorder="1" applyAlignment="1">
      <alignment horizontal="center"/>
    </xf>
    <xf numFmtId="172" fontId="10" fillId="0" borderId="7" xfId="4" applyNumberFormat="1" applyFont="1" applyFill="1" applyBorder="1" applyAlignment="1">
      <alignment horizontal="center"/>
    </xf>
    <xf numFmtId="172" fontId="10" fillId="0" borderId="21" xfId="4" applyNumberFormat="1" applyFont="1" applyFill="1" applyBorder="1" applyAlignment="1">
      <alignment horizontal="center"/>
    </xf>
    <xf numFmtId="9" fontId="11" fillId="0" borderId="5" xfId="3" applyFont="1" applyFill="1" applyBorder="1" applyAlignment="1">
      <alignment horizontal="left" vertical="top" wrapText="1"/>
    </xf>
    <xf numFmtId="9" fontId="11" fillId="0" borderId="1" xfId="3" applyFont="1" applyFill="1" applyBorder="1" applyAlignment="1">
      <alignment horizontal="left" vertical="top" wrapText="1"/>
    </xf>
    <xf numFmtId="9" fontId="11" fillId="0" borderId="17" xfId="3" applyFont="1" applyFill="1" applyBorder="1" applyAlignment="1">
      <alignment horizontal="left" vertical="top" wrapText="1"/>
    </xf>
    <xf numFmtId="9" fontId="10" fillId="0" borderId="3" xfId="3" applyFont="1" applyFill="1" applyBorder="1" applyAlignment="1">
      <alignment horizontal="center"/>
    </xf>
    <xf numFmtId="9" fontId="10" fillId="0" borderId="2" xfId="3" applyFont="1" applyFill="1" applyBorder="1" applyAlignment="1">
      <alignment horizontal="center"/>
    </xf>
    <xf numFmtId="9" fontId="10" fillId="0" borderId="83" xfId="3" applyFont="1" applyFill="1" applyBorder="1" applyAlignment="1">
      <alignment horizontal="center"/>
    </xf>
    <xf numFmtId="9" fontId="10" fillId="0" borderId="10" xfId="3" applyFont="1" applyFill="1" applyBorder="1" applyAlignment="1">
      <alignment horizontal="center"/>
    </xf>
    <xf numFmtId="9" fontId="10" fillId="0" borderId="5" xfId="3" applyFont="1" applyFill="1" applyBorder="1" applyAlignment="1">
      <alignment horizontal="center"/>
    </xf>
    <xf numFmtId="9" fontId="10" fillId="0" borderId="1" xfId="3" applyFont="1" applyFill="1" applyBorder="1" applyAlignment="1">
      <alignment horizontal="center"/>
    </xf>
    <xf numFmtId="9" fontId="10" fillId="0" borderId="17" xfId="3" applyFont="1" applyFill="1" applyBorder="1" applyAlignment="1">
      <alignment horizontal="center"/>
    </xf>
    <xf numFmtId="0" fontId="11" fillId="0" borderId="4" xfId="4" applyNumberFormat="1" applyFont="1" applyFill="1" applyBorder="1" applyAlignment="1">
      <alignment horizontal="left" vertical="top" wrapText="1"/>
    </xf>
    <xf numFmtId="0" fontId="11" fillId="0" borderId="0" xfId="4" applyNumberFormat="1" applyFont="1" applyFill="1" applyAlignment="1">
      <alignment horizontal="left" vertical="top" wrapText="1"/>
    </xf>
    <xf numFmtId="9" fontId="11" fillId="0" borderId="4" xfId="3" applyFont="1" applyFill="1" applyBorder="1" applyAlignment="1">
      <alignment horizontal="left" wrapText="1"/>
    </xf>
    <xf numFmtId="9" fontId="11" fillId="0" borderId="0" xfId="3" applyFont="1" applyFill="1" applyBorder="1" applyAlignment="1">
      <alignment horizontal="left" wrapText="1"/>
    </xf>
    <xf numFmtId="9" fontId="11" fillId="0" borderId="11" xfId="3" applyFont="1" applyFill="1" applyBorder="1" applyAlignment="1">
      <alignment horizontal="left" wrapText="1"/>
    </xf>
    <xf numFmtId="9" fontId="10" fillId="0" borderId="18" xfId="3" applyFont="1" applyFill="1" applyBorder="1" applyAlignment="1">
      <alignment horizontal="center"/>
    </xf>
    <xf numFmtId="9" fontId="10" fillId="0" borderId="7" xfId="3" applyFont="1" applyFill="1" applyBorder="1" applyAlignment="1">
      <alignment horizontal="center"/>
    </xf>
    <xf numFmtId="9" fontId="10" fillId="0" borderId="21" xfId="3" applyFont="1" applyFill="1" applyBorder="1" applyAlignment="1">
      <alignment horizontal="center"/>
    </xf>
    <xf numFmtId="9" fontId="10" fillId="0" borderId="4" xfId="3" applyFont="1" applyFill="1" applyBorder="1" applyAlignment="1">
      <alignment horizontal="left" wrapText="1"/>
    </xf>
    <xf numFmtId="9" fontId="10" fillId="0" borderId="0" xfId="3" applyFont="1" applyFill="1" applyBorder="1" applyAlignment="1">
      <alignment horizontal="left" wrapText="1"/>
    </xf>
    <xf numFmtId="9" fontId="10" fillId="0" borderId="11" xfId="3" applyFont="1" applyFill="1" applyBorder="1" applyAlignment="1">
      <alignment horizontal="left" wrapText="1"/>
    </xf>
    <xf numFmtId="172" fontId="10" fillId="0" borderId="3" xfId="4" applyNumberFormat="1" applyFont="1" applyFill="1" applyBorder="1" applyAlignment="1">
      <alignment horizontal="center"/>
    </xf>
    <xf numFmtId="172" fontId="10" fillId="0" borderId="83" xfId="4" applyNumberFormat="1" applyFont="1" applyFill="1" applyBorder="1" applyAlignment="1">
      <alignment horizontal="center"/>
    </xf>
    <xf numFmtId="172" fontId="10" fillId="0" borderId="10" xfId="4" applyNumberFormat="1" applyFont="1" applyFill="1" applyBorder="1" applyAlignment="1">
      <alignment horizontal="center"/>
    </xf>
    <xf numFmtId="172" fontId="10" fillId="0" borderId="5" xfId="4" applyNumberFormat="1" applyFont="1" applyFill="1" applyBorder="1" applyAlignment="1">
      <alignment horizontal="center"/>
    </xf>
    <xf numFmtId="172" fontId="10" fillId="0" borderId="1" xfId="4" applyNumberFormat="1" applyFont="1" applyFill="1" applyBorder="1" applyAlignment="1">
      <alignment horizontal="center"/>
    </xf>
    <xf numFmtId="172" fontId="10" fillId="0" borderId="17" xfId="4" applyNumberFormat="1" applyFont="1" applyFill="1" applyBorder="1" applyAlignment="1">
      <alignment horizontal="center"/>
    </xf>
    <xf numFmtId="0" fontId="11" fillId="0" borderId="4" xfId="0" applyFont="1" applyFill="1" applyBorder="1" applyAlignment="1">
      <alignment horizontal="left" wrapText="1"/>
    </xf>
    <xf numFmtId="0" fontId="11" fillId="0" borderId="0" xfId="0" applyFont="1" applyFill="1" applyBorder="1" applyAlignment="1">
      <alignment horizontal="left" wrapText="1"/>
    </xf>
    <xf numFmtId="0" fontId="11" fillId="0" borderId="0" xfId="0" applyFont="1" applyFill="1" applyAlignment="1">
      <alignment horizontal="left" vertical="top" wrapText="1"/>
    </xf>
    <xf numFmtId="0" fontId="11" fillId="0" borderId="4" xfId="4" applyNumberFormat="1" applyFont="1" applyFill="1" applyBorder="1" applyAlignment="1">
      <alignment horizontal="left" wrapText="1"/>
    </xf>
    <xf numFmtId="0" fontId="11" fillId="0" borderId="0" xfId="4" applyNumberFormat="1" applyFont="1" applyFill="1" applyAlignment="1">
      <alignment horizontal="left" wrapText="1"/>
    </xf>
    <xf numFmtId="0" fontId="11" fillId="0" borderId="11" xfId="4" applyNumberFormat="1" applyFont="1" applyFill="1" applyBorder="1" applyAlignment="1">
      <alignment horizontal="left" wrapText="1"/>
    </xf>
    <xf numFmtId="9" fontId="11" fillId="0" borderId="18" xfId="3" applyFont="1" applyFill="1" applyBorder="1" applyAlignment="1">
      <alignment horizontal="center"/>
    </xf>
    <xf numFmtId="9" fontId="11" fillId="0" borderId="7" xfId="3" applyFont="1" applyFill="1" applyBorder="1" applyAlignment="1">
      <alignment horizontal="center"/>
    </xf>
    <xf numFmtId="9" fontId="11" fillId="0" borderId="21" xfId="3" applyFont="1" applyFill="1" applyBorder="1" applyAlignment="1">
      <alignment horizontal="center"/>
    </xf>
    <xf numFmtId="172" fontId="10" fillId="0" borderId="4" xfId="0" applyNumberFormat="1" applyFont="1" applyFill="1" applyBorder="1" applyAlignment="1">
      <alignment horizontal="center"/>
    </xf>
    <xf numFmtId="172" fontId="10" fillId="0" borderId="0" xfId="0" applyNumberFormat="1" applyFont="1" applyFill="1" applyBorder="1" applyAlignment="1">
      <alignment horizontal="center"/>
    </xf>
    <xf numFmtId="172" fontId="10" fillId="0" borderId="83" xfId="0" applyNumberFormat="1" applyFont="1" applyFill="1" applyBorder="1" applyAlignment="1">
      <alignment horizontal="center"/>
    </xf>
    <xf numFmtId="172" fontId="10" fillId="0" borderId="10" xfId="0" applyNumberFormat="1" applyFont="1" applyFill="1" applyBorder="1" applyAlignment="1">
      <alignment horizontal="center"/>
    </xf>
    <xf numFmtId="172" fontId="10" fillId="0" borderId="11" xfId="0" applyNumberFormat="1" applyFont="1" applyFill="1" applyBorder="1" applyAlignment="1">
      <alignment horizontal="center"/>
    </xf>
    <xf numFmtId="172" fontId="10" fillId="0" borderId="2" xfId="4" applyNumberFormat="1" applyFont="1" applyFill="1" applyBorder="1" applyAlignment="1">
      <alignment horizontal="center"/>
    </xf>
    <xf numFmtId="0" fontId="10" fillId="0" borderId="6" xfId="4" applyNumberFormat="1" applyFont="1" applyFill="1" applyBorder="1" applyAlignment="1">
      <alignment horizontal="left" vertical="top" wrapText="1"/>
    </xf>
    <xf numFmtId="172" fontId="10" fillId="0" borderId="3" xfId="0" applyNumberFormat="1" applyFont="1" applyFill="1" applyBorder="1" applyAlignment="1">
      <alignment horizontal="center"/>
    </xf>
    <xf numFmtId="172" fontId="10" fillId="0" borderId="5" xfId="0" applyNumberFormat="1" applyFont="1" applyFill="1" applyBorder="1" applyAlignment="1">
      <alignment horizontal="center"/>
    </xf>
    <xf numFmtId="172" fontId="10" fillId="0" borderId="1" xfId="0" applyNumberFormat="1" applyFont="1" applyFill="1" applyBorder="1" applyAlignment="1">
      <alignment horizontal="center"/>
    </xf>
    <xf numFmtId="172" fontId="10" fillId="0" borderId="17" xfId="0" applyNumberFormat="1" applyFont="1" applyFill="1" applyBorder="1" applyAlignment="1">
      <alignment horizontal="center"/>
    </xf>
    <xf numFmtId="9" fontId="12" fillId="0" borderId="4" xfId="3" applyFont="1" applyFill="1" applyBorder="1" applyAlignment="1">
      <alignment horizontal="left" vertical="top" wrapText="1"/>
    </xf>
    <xf numFmtId="9" fontId="12" fillId="0" borderId="0" xfId="3" applyFont="1" applyFill="1" applyBorder="1" applyAlignment="1">
      <alignment horizontal="left" vertical="top" wrapText="1"/>
    </xf>
    <xf numFmtId="0" fontId="11" fillId="0" borderId="4" xfId="4" applyNumberFormat="1" applyFont="1" applyFill="1" applyBorder="1" applyAlignment="1">
      <alignment horizontal="justify" vertical="top" wrapText="1"/>
    </xf>
    <xf numFmtId="0" fontId="11" fillId="0" borderId="0" xfId="4" applyNumberFormat="1" applyFont="1" applyFill="1" applyAlignment="1">
      <alignment horizontal="justify" vertical="top" wrapText="1"/>
    </xf>
    <xf numFmtId="0" fontId="11" fillId="0" borderId="0" xfId="4" applyNumberFormat="1" applyFont="1" applyFill="1" applyBorder="1" applyAlignment="1">
      <alignment horizontal="left" vertical="top" wrapText="1"/>
    </xf>
    <xf numFmtId="0" fontId="11" fillId="0" borderId="11" xfId="4" applyNumberFormat="1" applyFont="1" applyFill="1" applyBorder="1" applyAlignment="1">
      <alignment horizontal="left" vertical="top" wrapText="1"/>
    </xf>
    <xf numFmtId="0" fontId="12" fillId="0" borderId="6" xfId="4" applyNumberFormat="1" applyFont="1" applyFill="1" applyBorder="1" applyAlignment="1">
      <alignment horizontal="left" vertical="top" wrapText="1"/>
    </xf>
    <xf numFmtId="0" fontId="11" fillId="0" borderId="18" xfId="4" applyNumberFormat="1" applyFont="1" applyFill="1" applyBorder="1" applyAlignment="1">
      <alignment horizontal="left" vertical="top"/>
    </xf>
    <xf numFmtId="0" fontId="11" fillId="0" borderId="7" xfId="4" applyNumberFormat="1" applyFont="1" applyFill="1" applyBorder="1" applyAlignment="1">
      <alignment horizontal="left" vertical="top"/>
    </xf>
    <xf numFmtId="0" fontId="11" fillId="0" borderId="21" xfId="4" applyNumberFormat="1" applyFont="1" applyFill="1" applyBorder="1" applyAlignment="1">
      <alignment horizontal="left" vertical="top"/>
    </xf>
    <xf numFmtId="0" fontId="10" fillId="0" borderId="6" xfId="4" applyNumberFormat="1" applyFont="1" applyFill="1" applyBorder="1" applyAlignment="1">
      <alignment horizontal="left" vertical="center"/>
    </xf>
    <xf numFmtId="172" fontId="10" fillId="0" borderId="4" xfId="4" applyNumberFormat="1" applyFont="1" applyFill="1" applyBorder="1" applyAlignment="1">
      <alignment horizontal="center"/>
    </xf>
    <xf numFmtId="172" fontId="10" fillId="0" borderId="0" xfId="4" applyNumberFormat="1" applyFont="1" applyFill="1" applyBorder="1" applyAlignment="1">
      <alignment horizontal="center"/>
    </xf>
    <xf numFmtId="172" fontId="10" fillId="0" borderId="11" xfId="4" applyNumberFormat="1" applyFont="1" applyFill="1" applyBorder="1" applyAlignment="1">
      <alignment horizontal="center"/>
    </xf>
    <xf numFmtId="172" fontId="10" fillId="0" borderId="18" xfId="4" applyNumberFormat="1" applyFont="1" applyFill="1" applyBorder="1" applyAlignment="1">
      <alignment horizontal="center" wrapText="1"/>
    </xf>
    <xf numFmtId="172" fontId="10" fillId="0" borderId="7" xfId="4" applyNumberFormat="1" applyFont="1" applyFill="1" applyBorder="1" applyAlignment="1">
      <alignment horizontal="center" wrapText="1"/>
    </xf>
    <xf numFmtId="172" fontId="10" fillId="0" borderId="21" xfId="4" applyNumberFormat="1" applyFont="1" applyFill="1" applyBorder="1" applyAlignment="1">
      <alignment horizontal="center" wrapText="1"/>
    </xf>
    <xf numFmtId="0" fontId="11" fillId="0" borderId="5" xfId="4" applyNumberFormat="1" applyFont="1" applyFill="1" applyBorder="1" applyAlignment="1">
      <alignment horizontal="left" vertical="top" wrapText="1"/>
    </xf>
    <xf numFmtId="0" fontId="11" fillId="0" borderId="1" xfId="4" applyNumberFormat="1" applyFont="1" applyFill="1" applyBorder="1" applyAlignment="1">
      <alignment horizontal="left" vertical="top" wrapText="1"/>
    </xf>
    <xf numFmtId="0" fontId="11" fillId="0" borderId="17" xfId="4" applyNumberFormat="1" applyFont="1" applyFill="1" applyBorder="1" applyAlignment="1">
      <alignment horizontal="left" vertical="top" wrapText="1"/>
    </xf>
    <xf numFmtId="0" fontId="11" fillId="0" borderId="4" xfId="4" applyNumberFormat="1" applyFont="1" applyFill="1" applyBorder="1" applyAlignment="1">
      <alignment horizontal="left" vertical="center" wrapText="1"/>
    </xf>
    <xf numFmtId="0" fontId="11" fillId="0" borderId="0" xfId="4" applyNumberFormat="1" applyFont="1" applyFill="1" applyAlignment="1">
      <alignment horizontal="left" vertical="center" wrapText="1"/>
    </xf>
    <xf numFmtId="0" fontId="10" fillId="0" borderId="4" xfId="4" applyNumberFormat="1" applyFont="1" applyFill="1" applyBorder="1" applyAlignment="1">
      <alignment horizontal="left" vertical="top" wrapText="1"/>
    </xf>
    <xf numFmtId="0" fontId="10" fillId="0" borderId="0" xfId="4" applyNumberFormat="1" applyFont="1" applyFill="1" applyAlignment="1">
      <alignment horizontal="left" vertical="top" wrapText="1"/>
    </xf>
    <xf numFmtId="9" fontId="10" fillId="0" borderId="4" xfId="3" applyFont="1" applyFill="1" applyBorder="1" applyAlignment="1">
      <alignment horizontal="left" vertical="top" wrapText="1"/>
    </xf>
    <xf numFmtId="9" fontId="10" fillId="0" borderId="0" xfId="3" applyFont="1" applyFill="1" applyBorder="1" applyAlignment="1">
      <alignment horizontal="left" vertical="top" wrapText="1"/>
    </xf>
    <xf numFmtId="2" fontId="10" fillId="0" borderId="4" xfId="3" applyNumberFormat="1" applyFont="1" applyFill="1" applyBorder="1" applyAlignment="1">
      <alignment horizontal="left" vertical="top" wrapText="1"/>
    </xf>
    <xf numFmtId="2" fontId="10" fillId="0" borderId="0" xfId="3" applyNumberFormat="1" applyFont="1" applyFill="1" applyBorder="1" applyAlignment="1">
      <alignment horizontal="left" vertical="top" wrapText="1"/>
    </xf>
    <xf numFmtId="2" fontId="10" fillId="0" borderId="11" xfId="3" applyNumberFormat="1" applyFont="1" applyFill="1" applyBorder="1" applyAlignment="1">
      <alignment horizontal="left" vertical="top" wrapText="1"/>
    </xf>
    <xf numFmtId="2" fontId="11" fillId="0" borderId="4" xfId="3" applyNumberFormat="1" applyFont="1" applyFill="1" applyBorder="1" applyAlignment="1">
      <alignment horizontal="left" vertical="top" wrapText="1"/>
    </xf>
    <xf numFmtId="2" fontId="11" fillId="0" borderId="0" xfId="3" applyNumberFormat="1" applyFont="1" applyFill="1" applyBorder="1" applyAlignment="1">
      <alignment horizontal="left" vertical="top" wrapText="1"/>
    </xf>
    <xf numFmtId="2" fontId="11" fillId="0" borderId="11" xfId="3" applyNumberFormat="1" applyFont="1" applyFill="1" applyBorder="1" applyAlignment="1">
      <alignment horizontal="left" vertical="top" wrapText="1"/>
    </xf>
    <xf numFmtId="0" fontId="10" fillId="0" borderId="3" xfId="4" applyNumberFormat="1" applyFont="1" applyFill="1" applyBorder="1" applyAlignment="1">
      <alignment horizontal="left" vertical="center"/>
    </xf>
    <xf numFmtId="0" fontId="10" fillId="0" borderId="2" xfId="4" applyNumberFormat="1" applyFont="1" applyFill="1" applyBorder="1" applyAlignment="1">
      <alignment horizontal="left" vertical="center"/>
    </xf>
    <xf numFmtId="0" fontId="10" fillId="0" borderId="5" xfId="4" applyNumberFormat="1" applyFont="1" applyFill="1" applyBorder="1" applyAlignment="1">
      <alignment horizontal="left" vertical="center"/>
    </xf>
    <xf numFmtId="0" fontId="10" fillId="0" borderId="1" xfId="4" applyNumberFormat="1" applyFont="1" applyFill="1" applyBorder="1" applyAlignment="1">
      <alignment horizontal="left" vertical="center"/>
    </xf>
    <xf numFmtId="9" fontId="11" fillId="0" borderId="4" xfId="3" applyFont="1" applyFill="1" applyBorder="1" applyAlignment="1">
      <alignment horizontal="left"/>
    </xf>
    <xf numFmtId="9" fontId="11" fillId="0" borderId="0" xfId="3" applyFont="1" applyFill="1" applyBorder="1" applyAlignment="1">
      <alignment horizontal="left"/>
    </xf>
    <xf numFmtId="9" fontId="11" fillId="0" borderId="5" xfId="3" applyFont="1" applyFill="1" applyBorder="1" applyAlignment="1">
      <alignment horizontal="left"/>
    </xf>
    <xf numFmtId="9" fontId="11" fillId="0" borderId="1" xfId="3" applyFont="1" applyFill="1" applyBorder="1" applyAlignment="1">
      <alignment horizontal="left"/>
    </xf>
    <xf numFmtId="0" fontId="10" fillId="0" borderId="4" xfId="4" applyNumberFormat="1" applyFont="1" applyFill="1" applyBorder="1" applyAlignment="1">
      <alignment horizontal="justify" vertical="top" wrapText="1"/>
    </xf>
    <xf numFmtId="0" fontId="10" fillId="0" borderId="0" xfId="4" applyNumberFormat="1" applyFont="1" applyFill="1" applyBorder="1" applyAlignment="1">
      <alignment horizontal="justify" vertical="top"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1" xfId="0" applyFont="1" applyFill="1" applyBorder="1" applyAlignment="1">
      <alignment horizontal="center" vertical="center" wrapText="1"/>
    </xf>
    <xf numFmtId="1" fontId="10" fillId="0" borderId="0" xfId="4" applyNumberFormat="1" applyFont="1" applyFill="1" applyBorder="1" applyAlignment="1">
      <alignment horizontal="left" wrapText="1"/>
    </xf>
    <xf numFmtId="1" fontId="10" fillId="0" borderId="11" xfId="4" applyNumberFormat="1" applyFont="1" applyFill="1" applyBorder="1" applyAlignment="1">
      <alignment horizontal="left" wrapText="1"/>
    </xf>
    <xf numFmtId="1" fontId="11" fillId="0" borderId="0" xfId="4" applyNumberFormat="1" applyFont="1" applyFill="1" applyBorder="1" applyAlignment="1">
      <alignment horizontal="left" wrapText="1"/>
    </xf>
    <xf numFmtId="1" fontId="11" fillId="0" borderId="11" xfId="4" applyNumberFormat="1" applyFont="1" applyFill="1" applyBorder="1" applyAlignment="1">
      <alignment horizontal="left" wrapText="1"/>
    </xf>
    <xf numFmtId="172" fontId="10" fillId="0" borderId="3" xfId="4" applyNumberFormat="1" applyFont="1" applyFill="1" applyBorder="1" applyAlignment="1">
      <alignment horizontal="center" vertical="center"/>
    </xf>
    <xf numFmtId="172" fontId="10" fillId="0" borderId="83" xfId="4" applyNumberFormat="1" applyFont="1" applyFill="1" applyBorder="1" applyAlignment="1">
      <alignment horizontal="center" vertical="center"/>
    </xf>
    <xf numFmtId="172" fontId="10" fillId="0" borderId="10" xfId="4" applyNumberFormat="1" applyFont="1" applyFill="1" applyBorder="1" applyAlignment="1">
      <alignment horizontal="center" vertical="center"/>
    </xf>
    <xf numFmtId="0" fontId="11" fillId="0" borderId="0" xfId="4" applyNumberFormat="1" applyFont="1" applyFill="1" applyBorder="1" applyAlignment="1">
      <alignment horizontal="justify" vertical="top" wrapText="1"/>
    </xf>
    <xf numFmtId="0" fontId="10" fillId="0" borderId="18" xfId="4" applyNumberFormat="1" applyFont="1" applyFill="1" applyBorder="1" applyAlignment="1">
      <alignment horizontal="center" vertical="center" wrapText="1"/>
    </xf>
    <xf numFmtId="0" fontId="10" fillId="0" borderId="21" xfId="4" applyNumberFormat="1" applyFont="1" applyFill="1" applyBorder="1" applyAlignment="1">
      <alignment horizontal="center" vertical="center" wrapText="1"/>
    </xf>
    <xf numFmtId="0" fontId="12" fillId="0" borderId="4" xfId="0" applyFont="1" applyFill="1" applyBorder="1" applyAlignment="1">
      <alignment horizontal="left" vertical="top" wrapText="1"/>
    </xf>
    <xf numFmtId="0" fontId="12" fillId="0" borderId="0" xfId="0" applyFont="1" applyFill="1" applyBorder="1" applyAlignment="1">
      <alignment horizontal="left" vertical="top" wrapText="1"/>
    </xf>
    <xf numFmtId="166" fontId="10" fillId="0" borderId="3" xfId="3" applyNumberFormat="1" applyFont="1" applyFill="1" applyBorder="1" applyAlignment="1">
      <alignment horizontal="center"/>
    </xf>
    <xf numFmtId="166" fontId="10" fillId="0" borderId="2" xfId="3" applyNumberFormat="1" applyFont="1" applyFill="1" applyBorder="1" applyAlignment="1">
      <alignment horizontal="center"/>
    </xf>
    <xf numFmtId="166" fontId="10" fillId="0" borderId="83" xfId="3" applyNumberFormat="1" applyFont="1" applyFill="1" applyBorder="1" applyAlignment="1">
      <alignment horizontal="center"/>
    </xf>
    <xf numFmtId="166" fontId="10" fillId="0" borderId="10" xfId="3" applyNumberFormat="1" applyFont="1" applyFill="1" applyBorder="1" applyAlignment="1">
      <alignment horizontal="center"/>
    </xf>
    <xf numFmtId="166" fontId="10" fillId="0" borderId="4" xfId="3" applyNumberFormat="1" applyFont="1" applyFill="1" applyBorder="1" applyAlignment="1">
      <alignment horizontal="center"/>
    </xf>
    <xf numFmtId="166" fontId="10" fillId="0" borderId="0" xfId="3" applyNumberFormat="1" applyFont="1" applyFill="1" applyBorder="1" applyAlignment="1">
      <alignment horizontal="center"/>
    </xf>
    <xf numFmtId="166" fontId="10" fillId="0" borderId="11" xfId="3" applyNumberFormat="1" applyFont="1" applyFill="1" applyBorder="1" applyAlignment="1">
      <alignment horizontal="center"/>
    </xf>
    <xf numFmtId="1" fontId="10" fillId="0" borderId="12" xfId="4" applyNumberFormat="1" applyFont="1" applyFill="1" applyBorder="1" applyAlignment="1">
      <alignment horizontal="center" vertical="center" wrapText="1"/>
    </xf>
    <xf numFmtId="1" fontId="10" fillId="0" borderId="13" xfId="4" applyNumberFormat="1" applyFont="1" applyFill="1" applyBorder="1" applyAlignment="1">
      <alignment horizontal="center" vertical="center" wrapText="1"/>
    </xf>
    <xf numFmtId="1" fontId="10" fillId="0" borderId="14" xfId="4" applyNumberFormat="1" applyFont="1" applyFill="1" applyBorder="1" applyAlignment="1">
      <alignment horizontal="center" vertical="center"/>
    </xf>
    <xf numFmtId="166" fontId="10" fillId="0" borderId="3" xfId="0" applyNumberFormat="1" applyFont="1" applyFill="1" applyBorder="1" applyAlignment="1">
      <alignment horizontal="center" vertical="center" wrapText="1"/>
    </xf>
    <xf numFmtId="166" fontId="10" fillId="0" borderId="2" xfId="0" applyNumberFormat="1" applyFont="1" applyFill="1" applyBorder="1" applyAlignment="1">
      <alignment horizontal="center" vertical="center" wrapText="1"/>
    </xf>
    <xf numFmtId="166" fontId="10" fillId="0" borderId="83" xfId="0" applyNumberFormat="1" applyFont="1" applyFill="1" applyBorder="1" applyAlignment="1">
      <alignment horizontal="center" vertical="center" wrapText="1"/>
    </xf>
    <xf numFmtId="166" fontId="10" fillId="0" borderId="10" xfId="0" applyNumberFormat="1" applyFont="1" applyFill="1" applyBorder="1" applyAlignment="1">
      <alignment horizontal="center" vertical="center" wrapText="1"/>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9" fontId="11" fillId="0" borderId="4" xfId="4" applyNumberFormat="1" applyFont="1" applyFill="1" applyBorder="1" applyAlignment="1">
      <alignment horizontal="left" vertical="top" wrapText="1"/>
    </xf>
    <xf numFmtId="9" fontId="11" fillId="0" borderId="0" xfId="4" applyNumberFormat="1" applyFont="1" applyFill="1" applyBorder="1" applyAlignment="1">
      <alignment horizontal="left" vertical="top" wrapText="1"/>
    </xf>
    <xf numFmtId="0" fontId="50" fillId="7" borderId="43" xfId="0" applyFont="1" applyFill="1" applyBorder="1" applyAlignment="1" applyProtection="1">
      <alignment horizontal="center" vertical="center"/>
      <protection hidden="1"/>
    </xf>
    <xf numFmtId="0" fontId="50" fillId="7" borderId="57" xfId="0" applyFont="1" applyFill="1" applyBorder="1" applyAlignment="1" applyProtection="1">
      <alignment horizontal="center" vertical="center"/>
      <protection hidden="1"/>
    </xf>
    <xf numFmtId="14" fontId="54" fillId="7" borderId="53" xfId="0" applyNumberFormat="1" applyFont="1" applyFill="1" applyBorder="1" applyAlignment="1" applyProtection="1">
      <alignment horizontal="center" vertical="center"/>
      <protection hidden="1"/>
    </xf>
    <xf numFmtId="14" fontId="54" fillId="7" borderId="54" xfId="0" applyNumberFormat="1" applyFont="1" applyFill="1" applyBorder="1" applyAlignment="1" applyProtection="1">
      <alignment horizontal="center" vertical="center"/>
      <protection hidden="1"/>
    </xf>
    <xf numFmtId="14" fontId="54" fillId="7" borderId="55" xfId="0" applyNumberFormat="1" applyFont="1" applyFill="1" applyBorder="1" applyAlignment="1" applyProtection="1">
      <alignment horizontal="center" vertical="center"/>
      <protection hidden="1"/>
    </xf>
    <xf numFmtId="14" fontId="54" fillId="7" borderId="53" xfId="0" applyNumberFormat="1" applyFont="1" applyFill="1" applyBorder="1" applyAlignment="1" applyProtection="1">
      <alignment horizontal="center"/>
      <protection hidden="1"/>
    </xf>
    <xf numFmtId="0" fontId="54" fillId="7" borderId="54" xfId="0" applyFont="1" applyFill="1" applyBorder="1" applyAlignment="1" applyProtection="1">
      <alignment horizontal="center"/>
      <protection hidden="1"/>
    </xf>
    <xf numFmtId="0" fontId="54" fillId="7" borderId="56" xfId="0" applyFont="1" applyFill="1" applyBorder="1" applyAlignment="1" applyProtection="1">
      <alignment horizontal="center"/>
      <protection hidden="1"/>
    </xf>
    <xf numFmtId="0" fontId="80" fillId="7" borderId="9" xfId="0" applyFont="1" applyFill="1" applyBorder="1" applyAlignment="1">
      <alignment horizontal="center"/>
    </xf>
    <xf numFmtId="0" fontId="80" fillId="7" borderId="30" xfId="0" applyFont="1" applyFill="1" applyBorder="1" applyAlignment="1">
      <alignment horizontal="center"/>
    </xf>
    <xf numFmtId="166" fontId="126" fillId="0" borderId="0" xfId="3" applyNumberFormat="1" applyFont="1" applyFill="1" applyBorder="1" applyAlignment="1">
      <alignment horizontal="left"/>
    </xf>
    <xf numFmtId="0" fontId="2" fillId="0" borderId="6" xfId="0" applyFont="1" applyFill="1" applyBorder="1" applyAlignment="1">
      <alignment horizontal="left" vertical="center"/>
    </xf>
    <xf numFmtId="0" fontId="2" fillId="0" borderId="6" xfId="0" applyFont="1" applyFill="1" applyBorder="1" applyAlignment="1">
      <alignment horizontal="center"/>
    </xf>
    <xf numFmtId="167" fontId="87" fillId="0" borderId="0" xfId="39" applyFont="1" applyAlignment="1">
      <alignment horizontal="center" vertical="top"/>
    </xf>
    <xf numFmtId="167" fontId="87" fillId="0" borderId="0" xfId="39" applyFont="1" applyBorder="1" applyAlignment="1">
      <alignment horizontal="center" vertical="top"/>
    </xf>
    <xf numFmtId="167" fontId="90" fillId="0" borderId="0" xfId="39" applyFont="1" applyBorder="1" applyAlignment="1">
      <alignment horizontal="center" vertical="top"/>
    </xf>
    <xf numFmtId="167" fontId="91" fillId="0" borderId="64" xfId="39" applyFont="1" applyBorder="1" applyAlignment="1">
      <alignment horizontal="center" vertical="top" wrapText="1"/>
    </xf>
    <xf numFmtId="167" fontId="91" fillId="0" borderId="68" xfId="39" applyFont="1" applyBorder="1" applyAlignment="1">
      <alignment horizontal="center" vertical="top" wrapText="1"/>
    </xf>
    <xf numFmtId="167" fontId="91" fillId="0" borderId="65" xfId="39" applyFont="1" applyBorder="1" applyAlignment="1">
      <alignment horizontal="center" vertical="center"/>
    </xf>
    <xf numFmtId="167" fontId="91" fillId="0" borderId="69" xfId="39" applyFont="1" applyBorder="1" applyAlignment="1">
      <alignment horizontal="center" vertical="center"/>
    </xf>
    <xf numFmtId="167" fontId="91" fillId="0" borderId="33" xfId="39" applyFont="1" applyBorder="1" applyAlignment="1">
      <alignment horizontal="center"/>
    </xf>
    <xf numFmtId="167" fontId="91" fillId="0" borderId="34" xfId="39" applyFont="1" applyBorder="1" applyAlignment="1">
      <alignment horizontal="center"/>
    </xf>
    <xf numFmtId="167" fontId="91" fillId="0" borderId="35" xfId="39" applyFont="1" applyBorder="1" applyAlignment="1">
      <alignment horizontal="center"/>
    </xf>
    <xf numFmtId="167" fontId="91" fillId="0" borderId="66" xfId="39" applyFont="1" applyBorder="1" applyAlignment="1">
      <alignment horizontal="center"/>
    </xf>
    <xf numFmtId="167" fontId="91" fillId="0" borderId="67" xfId="39" applyFont="1" applyBorder="1" applyAlignment="1">
      <alignment horizontal="center"/>
    </xf>
    <xf numFmtId="43" fontId="2" fillId="0" borderId="33" xfId="1" applyFont="1" applyBorder="1" applyAlignment="1">
      <alignment horizontal="center"/>
    </xf>
    <xf numFmtId="43" fontId="2" fillId="0" borderId="34" xfId="1" applyFont="1" applyBorder="1" applyAlignment="1">
      <alignment horizontal="center"/>
    </xf>
    <xf numFmtId="43" fontId="2" fillId="0" borderId="35" xfId="1" applyFont="1" applyBorder="1" applyAlignment="1">
      <alignment horizontal="center"/>
    </xf>
    <xf numFmtId="0" fontId="2" fillId="0" borderId="53" xfId="0" applyFont="1" applyBorder="1" applyAlignment="1">
      <alignment horizontal="left" vertical="center"/>
    </xf>
    <xf numFmtId="0" fontId="2" fillId="0" borderId="75" xfId="0" applyFont="1" applyBorder="1" applyAlignment="1">
      <alignment horizontal="left" vertical="center"/>
    </xf>
    <xf numFmtId="43" fontId="2" fillId="0" borderId="67" xfId="1" applyFont="1" applyBorder="1" applyAlignment="1">
      <alignment horizontal="center"/>
    </xf>
    <xf numFmtId="0" fontId="2" fillId="0" borderId="43" xfId="0" applyFont="1" applyBorder="1" applyAlignment="1">
      <alignment horizontal="left" vertical="center"/>
    </xf>
    <xf numFmtId="0" fontId="2" fillId="0" borderId="57" xfId="0" applyFont="1" applyBorder="1" applyAlignment="1">
      <alignment horizontal="left" vertical="center"/>
    </xf>
    <xf numFmtId="0" fontId="8" fillId="0" borderId="4" xfId="17" applyFont="1" applyBorder="1" applyAlignment="1">
      <alignment horizontal="center"/>
    </xf>
    <xf numFmtId="0" fontId="8" fillId="0" borderId="0" xfId="17" applyFont="1" applyBorder="1" applyAlignment="1">
      <alignment horizontal="center"/>
    </xf>
    <xf numFmtId="0" fontId="8" fillId="0" borderId="11" xfId="17" applyFont="1" applyBorder="1" applyAlignment="1">
      <alignment horizontal="center"/>
    </xf>
    <xf numFmtId="0" fontId="8" fillId="0" borderId="5" xfId="17" applyFont="1" applyBorder="1" applyAlignment="1">
      <alignment horizontal="center"/>
    </xf>
    <xf numFmtId="0" fontId="8" fillId="0" borderId="1" xfId="17" applyFont="1" applyBorder="1" applyAlignment="1">
      <alignment horizontal="center"/>
    </xf>
    <xf numFmtId="0" fontId="8" fillId="0" borderId="17" xfId="17" applyFont="1" applyBorder="1" applyAlignment="1">
      <alignment horizontal="center"/>
    </xf>
    <xf numFmtId="0" fontId="8" fillId="0" borderId="3" xfId="17" applyFont="1" applyBorder="1" applyAlignment="1">
      <alignment horizontal="center"/>
    </xf>
    <xf numFmtId="0" fontId="8" fillId="0" borderId="83" xfId="17" applyFont="1" applyBorder="1" applyAlignment="1">
      <alignment horizontal="center"/>
    </xf>
    <xf numFmtId="0" fontId="8" fillId="0" borderId="10" xfId="17" applyFont="1" applyBorder="1" applyAlignment="1">
      <alignment horizontal="center"/>
    </xf>
    <xf numFmtId="0" fontId="58" fillId="0" borderId="4" xfId="18" applyFont="1" applyFill="1" applyBorder="1" applyAlignment="1" applyProtection="1">
      <alignment horizontal="center"/>
    </xf>
    <xf numFmtId="0" fontId="58" fillId="0" borderId="0" xfId="18" applyFont="1" applyFill="1" applyBorder="1" applyAlignment="1" applyProtection="1">
      <alignment horizontal="center"/>
    </xf>
    <xf numFmtId="0" fontId="58" fillId="0" borderId="11" xfId="18" applyFont="1" applyFill="1" applyBorder="1" applyAlignment="1" applyProtection="1">
      <alignment horizontal="center"/>
    </xf>
    <xf numFmtId="0" fontId="2" fillId="0" borderId="18" xfId="0" applyFont="1" applyFill="1" applyBorder="1" applyAlignment="1">
      <alignment horizontal="center"/>
    </xf>
    <xf numFmtId="0" fontId="2" fillId="0" borderId="7" xfId="0" applyFont="1" applyFill="1" applyBorder="1" applyAlignment="1">
      <alignment horizontal="center"/>
    </xf>
    <xf numFmtId="0" fontId="2" fillId="0" borderId="21" xfId="0" applyFont="1" applyFill="1" applyBorder="1" applyAlignment="1">
      <alignment horizontal="center"/>
    </xf>
    <xf numFmtId="0" fontId="0" fillId="0" borderId="18" xfId="0" applyFill="1" applyBorder="1" applyAlignment="1">
      <alignment horizontal="center"/>
    </xf>
    <xf numFmtId="0" fontId="0" fillId="0" borderId="7" xfId="0" applyFill="1" applyBorder="1" applyAlignment="1">
      <alignment horizontal="center"/>
    </xf>
    <xf numFmtId="0" fontId="0" fillId="0" borderId="21" xfId="0" applyFill="1" applyBorder="1" applyAlignment="1">
      <alignment horizont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left" vertical="center"/>
    </xf>
    <xf numFmtId="0" fontId="2" fillId="0" borderId="1" xfId="0" applyFont="1" applyFill="1" applyBorder="1" applyAlignment="1">
      <alignment horizontal="left" vertical="center"/>
    </xf>
    <xf numFmtId="0" fontId="2" fillId="0" borderId="17" xfId="0" applyFont="1" applyFill="1" applyBorder="1" applyAlignment="1">
      <alignment horizontal="left" vertical="center"/>
    </xf>
    <xf numFmtId="172" fontId="39" fillId="0" borderId="18" xfId="24" applyNumberFormat="1" applyFont="1" applyFill="1" applyBorder="1" applyAlignment="1">
      <alignment horizontal="center" vertical="top" wrapText="1"/>
    </xf>
    <xf numFmtId="172" fontId="39" fillId="0" borderId="7" xfId="24" applyNumberFormat="1" applyFont="1" applyFill="1" applyBorder="1" applyAlignment="1">
      <alignment horizontal="center" vertical="top" wrapText="1"/>
    </xf>
    <xf numFmtId="172" fontId="39" fillId="0" borderId="12" xfId="24" applyNumberFormat="1" applyFont="1" applyFill="1" applyBorder="1" applyAlignment="1">
      <alignment horizontal="center" vertical="top" wrapText="1"/>
    </xf>
    <xf numFmtId="175" fontId="39" fillId="0" borderId="14" xfId="25" applyNumberFormat="1" applyFont="1" applyFill="1" applyBorder="1" applyAlignment="1">
      <alignment horizontal="center"/>
    </xf>
    <xf numFmtId="167" fontId="39" fillId="0" borderId="4" xfId="25" applyNumberFormat="1" applyFont="1" applyFill="1" applyBorder="1" applyAlignment="1">
      <alignment horizontal="right"/>
    </xf>
    <xf numFmtId="167" fontId="39" fillId="0" borderId="0" xfId="25" applyNumberFormat="1" applyFont="1" applyFill="1" applyAlignment="1">
      <alignment horizontal="right"/>
    </xf>
    <xf numFmtId="167" fontId="39" fillId="0" borderId="11" xfId="25" applyNumberFormat="1" applyFont="1" applyFill="1" applyBorder="1" applyAlignment="1">
      <alignment horizontal="right"/>
    </xf>
    <xf numFmtId="0" fontId="2" fillId="0" borderId="0" xfId="0" applyFont="1" applyAlignment="1">
      <alignment horizontal="center"/>
    </xf>
    <xf numFmtId="172" fontId="43" fillId="0" borderId="0" xfId="12" applyNumberFormat="1" applyFont="1" applyAlignment="1">
      <alignment horizontal="center"/>
    </xf>
    <xf numFmtId="172" fontId="60" fillId="0" borderId="3" xfId="21" applyNumberFormat="1" applyFont="1" applyBorder="1" applyAlignment="1">
      <alignment horizontal="center"/>
    </xf>
    <xf numFmtId="172" fontId="60" fillId="0" borderId="2" xfId="21" applyNumberFormat="1" applyFont="1" applyBorder="1" applyAlignment="1">
      <alignment horizontal="center"/>
    </xf>
    <xf numFmtId="172" fontId="60" fillId="0" borderId="10" xfId="21" applyNumberFormat="1" applyFont="1" applyBorder="1" applyAlignment="1">
      <alignment horizontal="center"/>
    </xf>
    <xf numFmtId="172" fontId="60" fillId="0" borderId="4" xfId="21" applyNumberFormat="1" applyFont="1" applyBorder="1" applyAlignment="1">
      <alignment horizontal="center"/>
    </xf>
    <xf numFmtId="172" fontId="60" fillId="0" borderId="0" xfId="21" applyNumberFormat="1" applyFont="1" applyAlignment="1">
      <alignment horizontal="center"/>
    </xf>
    <xf numFmtId="172" fontId="60" fillId="0" borderId="11" xfId="21" applyNumberFormat="1" applyFont="1" applyBorder="1" applyAlignment="1">
      <alignment horizontal="center"/>
    </xf>
    <xf numFmtId="183" fontId="60" fillId="0" borderId="4" xfId="21" applyNumberFormat="1" applyFont="1" applyBorder="1" applyAlignment="1">
      <alignment horizontal="center"/>
    </xf>
    <xf numFmtId="183" fontId="60" fillId="0" borderId="0" xfId="21" applyNumberFormat="1" applyFont="1" applyAlignment="1">
      <alignment horizontal="center"/>
    </xf>
    <xf numFmtId="183" fontId="60" fillId="0" borderId="11" xfId="21" applyNumberFormat="1" applyFont="1" applyBorder="1" applyAlignment="1">
      <alignment horizontal="center"/>
    </xf>
    <xf numFmtId="175" fontId="71" fillId="0" borderId="12" xfId="31" applyNumberFormat="1" applyFont="1" applyFill="1" applyBorder="1" applyAlignment="1">
      <alignment horizontal="center" wrapText="1"/>
    </xf>
    <xf numFmtId="172" fontId="70" fillId="0" borderId="14" xfId="32" applyNumberFormat="1" applyFont="1" applyBorder="1" applyAlignment="1">
      <alignment horizontal="center" wrapText="1"/>
    </xf>
    <xf numFmtId="172" fontId="70" fillId="0" borderId="13" xfId="32" applyNumberFormat="1" applyFont="1" applyBorder="1" applyAlignment="1">
      <alignment horizontal="center" wrapText="1"/>
    </xf>
    <xf numFmtId="0" fontId="71" fillId="0" borderId="3" xfId="30" applyFont="1" applyBorder="1" applyAlignment="1">
      <alignment horizontal="center"/>
    </xf>
    <xf numFmtId="0" fontId="71" fillId="0" borderId="2" xfId="30" applyFont="1" applyBorder="1" applyAlignment="1">
      <alignment horizontal="center"/>
    </xf>
    <xf numFmtId="0" fontId="71" fillId="0" borderId="10" xfId="30" applyFont="1" applyBorder="1" applyAlignment="1">
      <alignment horizontal="center"/>
    </xf>
    <xf numFmtId="172" fontId="71" fillId="0" borderId="4" xfId="32" applyNumberFormat="1" applyFont="1" applyBorder="1" applyAlignment="1">
      <alignment horizontal="center"/>
    </xf>
    <xf numFmtId="172" fontId="71" fillId="0" borderId="0" xfId="32" applyNumberFormat="1" applyFont="1" applyAlignment="1">
      <alignment horizontal="center"/>
    </xf>
    <xf numFmtId="172" fontId="71" fillId="0" borderId="11" xfId="32" applyNumberFormat="1" applyFont="1" applyBorder="1" applyAlignment="1">
      <alignment horizontal="center"/>
    </xf>
    <xf numFmtId="0" fontId="73" fillId="0" borderId="4" xfId="33" applyFont="1" applyFill="1" applyBorder="1" applyAlignment="1" applyProtection="1">
      <alignment horizontal="center"/>
    </xf>
    <xf numFmtId="0" fontId="73" fillId="0" borderId="0" xfId="33" applyFont="1" applyFill="1" applyBorder="1" applyAlignment="1" applyProtection="1">
      <alignment horizontal="center"/>
    </xf>
    <xf numFmtId="0" fontId="73" fillId="0" borderId="11" xfId="33" applyFont="1" applyFill="1" applyBorder="1" applyAlignment="1" applyProtection="1">
      <alignment horizontal="center"/>
    </xf>
    <xf numFmtId="175" fontId="71" fillId="0" borderId="4" xfId="31" applyNumberFormat="1" applyFont="1" applyFill="1" applyBorder="1" applyAlignment="1">
      <alignment horizontal="center"/>
    </xf>
    <xf numFmtId="175" fontId="71" fillId="0" borderId="0" xfId="31" applyNumberFormat="1" applyFont="1" applyFill="1" applyBorder="1" applyAlignment="1">
      <alignment horizontal="center"/>
    </xf>
    <xf numFmtId="175" fontId="71" fillId="0" borderId="11" xfId="31" applyNumberFormat="1" applyFont="1" applyFill="1" applyBorder="1" applyAlignment="1">
      <alignment horizontal="center"/>
    </xf>
    <xf numFmtId="175" fontId="71" fillId="0" borderId="18" xfId="31" applyNumberFormat="1" applyFont="1" applyFill="1" applyBorder="1" applyAlignment="1">
      <alignment horizontal="center"/>
    </xf>
    <xf numFmtId="175" fontId="71" fillId="0" borderId="21" xfId="31" applyNumberFormat="1" applyFont="1" applyFill="1" applyBorder="1" applyAlignment="1">
      <alignment horizontal="center"/>
    </xf>
    <xf numFmtId="175" fontId="71" fillId="0" borderId="18" xfId="34" applyNumberFormat="1" applyFont="1" applyFill="1" applyBorder="1" applyAlignment="1">
      <alignment horizontal="center"/>
    </xf>
    <xf numFmtId="175" fontId="71" fillId="0" borderId="21" xfId="34" applyNumberFormat="1" applyFont="1" applyFill="1" applyBorder="1" applyAlignment="1">
      <alignment horizontal="center"/>
    </xf>
    <xf numFmtId="166" fontId="10" fillId="0" borderId="3" xfId="0" applyNumberFormat="1" applyFont="1" applyBorder="1" applyAlignment="1">
      <alignment horizontal="center" vertical="center" wrapText="1"/>
    </xf>
    <xf numFmtId="166" fontId="10" fillId="0" borderId="2"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left" vertical="center" wrapText="1"/>
    </xf>
    <xf numFmtId="171" fontId="10" fillId="0" borderId="6" xfId="1" applyNumberFormat="1" applyFont="1" applyFill="1" applyBorder="1" applyAlignment="1">
      <alignment horizontal="center" vertical="center" wrapText="1"/>
    </xf>
    <xf numFmtId="0" fontId="40" fillId="0" borderId="0" xfId="15" applyFont="1" applyAlignment="1">
      <alignment horizontal="center"/>
    </xf>
    <xf numFmtId="0" fontId="18" fillId="0" borderId="0" xfId="15" applyFont="1" applyAlignment="1">
      <alignment horizontal="center" vertical="center"/>
    </xf>
    <xf numFmtId="0" fontId="2" fillId="6" borderId="6" xfId="15" applyFont="1" applyFill="1" applyBorder="1" applyAlignment="1">
      <alignment horizontal="center" vertical="center"/>
    </xf>
    <xf numFmtId="0" fontId="2" fillId="6" borderId="12" xfId="15" applyFont="1" applyFill="1" applyBorder="1" applyAlignment="1">
      <alignment horizontal="center" vertical="center" wrapText="1" shrinkToFit="1"/>
    </xf>
    <xf numFmtId="0" fontId="2" fillId="6" borderId="13" xfId="15" applyFont="1" applyFill="1" applyBorder="1" applyAlignment="1">
      <alignment horizontal="center" vertical="center" wrapText="1" shrinkToFit="1"/>
    </xf>
    <xf numFmtId="0" fontId="2" fillId="6" borderId="6" xfId="15" applyFont="1" applyFill="1" applyBorder="1" applyAlignment="1">
      <alignment horizontal="center"/>
    </xf>
    <xf numFmtId="0" fontId="2" fillId="0" borderId="7" xfId="0" applyFont="1" applyBorder="1" applyAlignment="1">
      <alignment horizontal="center"/>
    </xf>
    <xf numFmtId="0" fontId="0" fillId="0" borderId="0" xfId="0" applyAlignment="1">
      <alignment horizontal="center" vertical="center" wrapText="1"/>
    </xf>
    <xf numFmtId="0" fontId="40" fillId="0" borderId="0" xfId="0" applyFont="1" applyAlignment="1">
      <alignment horizontal="center"/>
    </xf>
    <xf numFmtId="0" fontId="0" fillId="0" borderId="38" xfId="0" applyBorder="1" applyAlignment="1">
      <alignment horizontal="left" vertical="center" wrapText="1"/>
    </xf>
    <xf numFmtId="0" fontId="0" fillId="0" borderId="39" xfId="0" applyBorder="1" applyAlignment="1">
      <alignment horizontal="left" vertical="center" wrapText="1"/>
    </xf>
    <xf numFmtId="43" fontId="0" fillId="0" borderId="12" xfId="1" applyFont="1" applyBorder="1" applyAlignment="1">
      <alignment horizontal="center" vertical="center" shrinkToFit="1"/>
    </xf>
    <xf numFmtId="43" fontId="0" fillId="0" borderId="14" xfId="1" applyFont="1" applyBorder="1" applyAlignment="1">
      <alignment horizontal="center" vertical="center" shrinkToFit="1"/>
    </xf>
    <xf numFmtId="43" fontId="0" fillId="0" borderId="13" xfId="1" applyFont="1" applyBorder="1" applyAlignment="1">
      <alignment horizontal="center" vertical="center" shrinkToFit="1"/>
    </xf>
    <xf numFmtId="0" fontId="30" fillId="0" borderId="1" xfId="8" applyFont="1" applyBorder="1" applyAlignment="1">
      <alignment horizontal="left" vertical="center"/>
    </xf>
    <xf numFmtId="0" fontId="30" fillId="0" borderId="7" xfId="8" applyFont="1" applyBorder="1" applyAlignment="1">
      <alignment horizontal="center"/>
    </xf>
    <xf numFmtId="0" fontId="27" fillId="0" borderId="0" xfId="8" applyFont="1" applyAlignment="1">
      <alignment horizontal="center"/>
    </xf>
    <xf numFmtId="0" fontId="28" fillId="0" borderId="0" xfId="8" applyFont="1" applyAlignment="1">
      <alignment horizontal="center"/>
    </xf>
    <xf numFmtId="0" fontId="27" fillId="0" borderId="0" xfId="9" applyFont="1" applyAlignment="1">
      <alignment horizontal="center" wrapText="1"/>
    </xf>
    <xf numFmtId="0" fontId="37" fillId="0" borderId="4" xfId="0" applyFont="1" applyBorder="1" applyAlignment="1">
      <alignment horizontal="center"/>
    </xf>
    <xf numFmtId="0" fontId="37" fillId="0" borderId="11" xfId="0" applyFont="1" applyBorder="1" applyAlignment="1">
      <alignment horizontal="center"/>
    </xf>
    <xf numFmtId="0" fontId="36" fillId="0" borderId="0" xfId="0" applyFont="1" applyAlignment="1">
      <alignment horizontal="center"/>
    </xf>
    <xf numFmtId="0" fontId="30" fillId="0" borderId="0" xfId="0" applyFont="1" applyAlignment="1">
      <alignment horizontal="center"/>
    </xf>
    <xf numFmtId="0" fontId="37" fillId="0" borderId="18" xfId="0" applyFont="1" applyBorder="1" applyAlignment="1">
      <alignment horizontal="center"/>
    </xf>
    <xf numFmtId="0" fontId="37" fillId="0" borderId="7" xfId="0" applyFont="1" applyBorder="1" applyAlignment="1">
      <alignment horizontal="center"/>
    </xf>
    <xf numFmtId="0" fontId="37" fillId="0" borderId="21" xfId="0" applyFont="1" applyBorder="1" applyAlignment="1">
      <alignment horizontal="center"/>
    </xf>
    <xf numFmtId="0" fontId="37" fillId="0" borderId="3" xfId="0" applyFont="1" applyBorder="1" applyAlignment="1">
      <alignment horizontal="center"/>
    </xf>
    <xf numFmtId="0" fontId="37" fillId="0" borderId="10" xfId="0" applyFont="1" applyBorder="1" applyAlignment="1">
      <alignment horizontal="center"/>
    </xf>
    <xf numFmtId="0" fontId="37" fillId="0" borderId="23" xfId="0" applyFont="1" applyBorder="1" applyAlignment="1">
      <alignment horizontal="center"/>
    </xf>
    <xf numFmtId="0" fontId="37" fillId="0" borderId="24" xfId="0" applyFont="1" applyBorder="1" applyAlignment="1">
      <alignment horizontal="center"/>
    </xf>
    <xf numFmtId="0" fontId="39" fillId="0" borderId="19" xfId="0" applyFont="1" applyBorder="1" applyAlignment="1">
      <alignment horizontal="right"/>
    </xf>
    <xf numFmtId="0" fontId="39" fillId="0" borderId="32" xfId="0" applyFont="1" applyBorder="1" applyAlignment="1">
      <alignment horizontal="right"/>
    </xf>
    <xf numFmtId="0" fontId="39" fillId="0" borderId="15" xfId="0" applyFont="1" applyBorder="1" applyAlignment="1">
      <alignment horizontal="right"/>
    </xf>
    <xf numFmtId="0" fontId="23" fillId="2" borderId="0" xfId="0" applyFont="1" applyFill="1" applyAlignment="1">
      <alignment horizontal="left"/>
    </xf>
    <xf numFmtId="0" fontId="25" fillId="0" borderId="0" xfId="0" applyFont="1" applyAlignment="1">
      <alignment horizontal="center"/>
    </xf>
    <xf numFmtId="0" fontId="25" fillId="0" borderId="11" xfId="0" applyFont="1" applyBorder="1" applyAlignment="1">
      <alignment horizontal="center"/>
    </xf>
    <xf numFmtId="43" fontId="7" fillId="0" borderId="1" xfId="1" applyFont="1" applyBorder="1" applyAlignment="1">
      <alignment horizontal="center"/>
    </xf>
    <xf numFmtId="49" fontId="5" fillId="0" borderId="3" xfId="0" applyNumberFormat="1" applyFont="1" applyBorder="1" applyAlignment="1">
      <alignment horizontal="center" vertical="top" wrapText="1"/>
    </xf>
    <xf numFmtId="49" fontId="5" fillId="0" borderId="2" xfId="0" applyNumberFormat="1" applyFont="1" applyBorder="1" applyAlignment="1">
      <alignment horizontal="center" vertical="top" wrapText="1"/>
    </xf>
    <xf numFmtId="49" fontId="6" fillId="0" borderId="4" xfId="0" applyNumberFormat="1" applyFont="1" applyBorder="1" applyAlignment="1">
      <alignment horizontal="center" vertical="top" wrapText="1"/>
    </xf>
    <xf numFmtId="49" fontId="6" fillId="0" borderId="0" xfId="0" applyNumberFormat="1" applyFont="1" applyAlignment="1">
      <alignment horizontal="center" vertical="top" wrapText="1"/>
    </xf>
    <xf numFmtId="49" fontId="5" fillId="0" borderId="3" xfId="0" applyNumberFormat="1" applyFont="1" applyBorder="1" applyAlignment="1">
      <alignment horizontal="center" vertical="top"/>
    </xf>
    <xf numFmtId="49" fontId="5" fillId="0" borderId="2" xfId="0" applyNumberFormat="1" applyFont="1" applyBorder="1" applyAlignment="1">
      <alignment horizontal="center" vertical="top"/>
    </xf>
    <xf numFmtId="49" fontId="3" fillId="0" borderId="0" xfId="0" applyNumberFormat="1" applyFont="1" applyAlignment="1">
      <alignment vertical="top"/>
    </xf>
    <xf numFmtId="49" fontId="4" fillId="0" borderId="0" xfId="0" applyNumberFormat="1" applyFont="1" applyAlignment="1">
      <alignment vertical="top"/>
    </xf>
    <xf numFmtId="49" fontId="4" fillId="0" borderId="1" xfId="0" applyNumberFormat="1" applyFont="1" applyBorder="1" applyAlignment="1">
      <alignment vertical="top"/>
    </xf>
    <xf numFmtId="49" fontId="3" fillId="0" borderId="2" xfId="0" applyNumberFormat="1" applyFont="1" applyBorder="1" applyAlignment="1">
      <alignment vertical="top"/>
    </xf>
  </cellXfs>
  <cellStyles count="63">
    <cellStyle name="20% - Accent6 2" xfId="45"/>
    <cellStyle name="Comma" xfId="1" builtinId="3"/>
    <cellStyle name="Comma 10 10" xfId="26"/>
    <cellStyle name="Comma 11 2 2" xfId="43"/>
    <cellStyle name="Comma 11 2 2 2" xfId="58"/>
    <cellStyle name="Comma 13" xfId="13"/>
    <cellStyle name="Comma 16" xfId="31"/>
    <cellStyle name="Comma 2" xfId="11"/>
    <cellStyle name="Comma 2 2" xfId="10"/>
    <cellStyle name="Comma 2 3" xfId="46"/>
    <cellStyle name="Comma 2 4" xfId="56"/>
    <cellStyle name="Comma 2 8 6" xfId="29"/>
    <cellStyle name="Comma 20" xfId="25"/>
    <cellStyle name="Comma 21 6" xfId="54"/>
    <cellStyle name="Comma 26" xfId="22"/>
    <cellStyle name="Comma 3" xfId="39"/>
    <cellStyle name="Comma 3 2" xfId="41"/>
    <cellStyle name="Comma 3 29" xfId="23"/>
    <cellStyle name="Comma 34" xfId="20"/>
    <cellStyle name="Comma 38" xfId="7"/>
    <cellStyle name="Comma 4" xfId="49"/>
    <cellStyle name="Comma 9 6" xfId="61"/>
    <cellStyle name="Comma_BALANCE SHEET 240605 SUSHIL" xfId="34"/>
    <cellStyle name="Hyperlink 2" xfId="33"/>
    <cellStyle name="Hyperlink 3" xfId="18"/>
    <cellStyle name="Hyperlink 4" xfId="38"/>
    <cellStyle name="Normal" xfId="0" builtinId="0"/>
    <cellStyle name="Normal 10" xfId="14"/>
    <cellStyle name="Normal 10 2" xfId="15"/>
    <cellStyle name="Normal 10 2 2" xfId="52"/>
    <cellStyle name="Normal 10 3" xfId="60"/>
    <cellStyle name="Normal 13" xfId="32"/>
    <cellStyle name="Normal 16" xfId="51"/>
    <cellStyle name="Normal 18" xfId="24"/>
    <cellStyle name="Normal 19 6" xfId="53"/>
    <cellStyle name="Normal 2" xfId="8"/>
    <cellStyle name="Normal 2 2" xfId="9"/>
    <cellStyle name="Normal 2 3" xfId="44"/>
    <cellStyle name="Normal 2 4" xfId="57"/>
    <cellStyle name="Normal 22" xfId="21"/>
    <cellStyle name="Normal 25" xfId="19"/>
    <cellStyle name="Normal 3" xfId="40"/>
    <cellStyle name="Normal 3 2" xfId="47"/>
    <cellStyle name="Normal 4" xfId="16"/>
    <cellStyle name="Normal 4 2" xfId="48"/>
    <cellStyle name="Normal 4 8" xfId="50"/>
    <cellStyle name="Normal 6" xfId="4"/>
    <cellStyle name="Normal 6 12" xfId="62"/>
    <cellStyle name="Normal 6 25" xfId="6"/>
    <cellStyle name="Normal 7" xfId="59"/>
    <cellStyle name="Normal 8 9" xfId="42"/>
    <cellStyle name="Normal 81" xfId="36"/>
    <cellStyle name="Normal_BAL30.9-1" xfId="35"/>
    <cellStyle name="Normal_BALANCE SHEET 240605 SUSHIL (FINAL)" xfId="12"/>
    <cellStyle name="Normal_BALANCESHEET 31.03.2003(FINAL)" xfId="30"/>
    <cellStyle name="Normal_Final Balance Sheet 25.10.04" xfId="28"/>
    <cellStyle name="Normal_HPML TA" xfId="17"/>
    <cellStyle name="Normal_Kaygaon revised 310307sushil-1507071" xfId="27"/>
    <cellStyle name="Percent" xfId="2" builtinId="5"/>
    <cellStyle name="Percent 11" xfId="37"/>
    <cellStyle name="Percent 2 2" xfId="3"/>
    <cellStyle name="Percent 2 2 2" xfId="55"/>
    <cellStyle name="Percent 3" xfId="5"/>
  </cellStyles>
  <dxfs count="39">
    <dxf>
      <font>
        <color rgb="FFFF0000"/>
      </font>
    </dxf>
    <dxf>
      <font>
        <color rgb="FF9C0006"/>
      </font>
      <fill>
        <patternFill>
          <bgColor rgb="FFFFC7CE"/>
        </patternFill>
      </fill>
    </dxf>
    <dxf>
      <font>
        <color rgb="FFFF0000"/>
      </font>
    </dxf>
    <dxf>
      <font>
        <color rgb="FFFF0000"/>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wrapText="1"/>
    </dxf>
    <dxf>
      <alignment wrapText="1"/>
    </dxf>
    <dxf>
      <alignment wrapText="1"/>
    </dxf>
    <dxf>
      <alignment wrapText="1"/>
    </dxf>
    <dxf>
      <alignment wrapText="1"/>
    </dxf>
    <dxf>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ill>
        <patternFill>
          <bgColor theme="5" tint="0.39994506668294322"/>
        </patternFill>
      </fill>
    </dxf>
    <dxf>
      <font>
        <b val="0"/>
        <i val="0"/>
        <strike val="0"/>
        <condense val="0"/>
        <extend val="0"/>
        <outline val="0"/>
        <shadow val="0"/>
        <u val="none"/>
        <vertAlign val="baseline"/>
        <sz val="14"/>
        <color auto="1"/>
        <name val="Calibri"/>
        <scheme val="minor"/>
      </font>
      <numFmt numFmtId="171" formatCode="_ * #,##0_ ;_ * \-#,##0_ ;_ * &quot;-&quot;??_ ;_ @_ "/>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auto="1"/>
        </top>
        <bottom style="thin">
          <color auto="1"/>
        </bottom>
      </border>
    </dxf>
    <dxf>
      <font>
        <b val="0"/>
        <i val="0"/>
        <strike val="0"/>
        <condense val="0"/>
        <extend val="0"/>
        <outline val="0"/>
        <shadow val="0"/>
        <u val="none"/>
        <vertAlign val="baseline"/>
        <sz val="14"/>
        <color auto="1"/>
        <name val="Calibri"/>
        <scheme val="minor"/>
      </font>
      <numFmt numFmtId="13" formatCode="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4"/>
        <color auto="1"/>
        <name val="Calibri"/>
        <scheme val="minor"/>
      </font>
      <numFmt numFmtId="2" formatCode="0.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4"/>
        <color auto="1"/>
        <name val="Calibri"/>
        <scheme val="minor"/>
      </font>
      <numFmt numFmtId="2" formatCode="0.0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auto="1"/>
        </top>
        <bottom style="thin">
          <color auto="1"/>
        </bottom>
      </border>
    </dxf>
    <dxf>
      <border diagonalUp="0" diagonalDown="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63" Type="http://schemas.openxmlformats.org/officeDocument/2006/relationships/externalLink" Target="externalLinks/externalLink28.xml"/><Relationship Id="rId68" Type="http://schemas.openxmlformats.org/officeDocument/2006/relationships/externalLink" Target="externalLinks/externalLink33.xml"/><Relationship Id="rId84" Type="http://schemas.openxmlformats.org/officeDocument/2006/relationships/externalLink" Target="externalLinks/externalLink49.xml"/><Relationship Id="rId89" Type="http://schemas.openxmlformats.org/officeDocument/2006/relationships/externalLink" Target="externalLinks/externalLink54.xml"/><Relationship Id="rId112" Type="http://schemas.openxmlformats.org/officeDocument/2006/relationships/externalLink" Target="externalLinks/externalLink77.xml"/><Relationship Id="rId16" Type="http://schemas.openxmlformats.org/officeDocument/2006/relationships/worksheet" Target="worksheets/sheet16.xml"/><Relationship Id="rId107" Type="http://schemas.openxmlformats.org/officeDocument/2006/relationships/externalLink" Target="externalLinks/externalLink7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externalLink" Target="externalLinks/externalLink31.xml"/><Relationship Id="rId74" Type="http://schemas.openxmlformats.org/officeDocument/2006/relationships/externalLink" Target="externalLinks/externalLink39.xml"/><Relationship Id="rId79" Type="http://schemas.openxmlformats.org/officeDocument/2006/relationships/externalLink" Target="externalLinks/externalLink44.xml"/><Relationship Id="rId87" Type="http://schemas.openxmlformats.org/officeDocument/2006/relationships/externalLink" Target="externalLinks/externalLink52.xml"/><Relationship Id="rId102" Type="http://schemas.openxmlformats.org/officeDocument/2006/relationships/externalLink" Target="externalLinks/externalLink67.xml"/><Relationship Id="rId110" Type="http://schemas.openxmlformats.org/officeDocument/2006/relationships/externalLink" Target="externalLinks/externalLink75.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6.xml"/><Relationship Id="rId82" Type="http://schemas.openxmlformats.org/officeDocument/2006/relationships/externalLink" Target="externalLinks/externalLink47.xml"/><Relationship Id="rId90" Type="http://schemas.openxmlformats.org/officeDocument/2006/relationships/externalLink" Target="externalLinks/externalLink55.xml"/><Relationship Id="rId95" Type="http://schemas.openxmlformats.org/officeDocument/2006/relationships/externalLink" Target="externalLinks/externalLink6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externalLink" Target="externalLinks/externalLink34.xml"/><Relationship Id="rId77" Type="http://schemas.openxmlformats.org/officeDocument/2006/relationships/externalLink" Target="externalLinks/externalLink42.xml"/><Relationship Id="rId100" Type="http://schemas.openxmlformats.org/officeDocument/2006/relationships/externalLink" Target="externalLinks/externalLink65.xml"/><Relationship Id="rId105" Type="http://schemas.openxmlformats.org/officeDocument/2006/relationships/externalLink" Target="externalLinks/externalLink70.xml"/><Relationship Id="rId113" Type="http://schemas.openxmlformats.org/officeDocument/2006/relationships/pivotCacheDefinition" Target="pivotCache/pivotCacheDefinition1.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80" Type="http://schemas.openxmlformats.org/officeDocument/2006/relationships/externalLink" Target="externalLinks/externalLink45.xml"/><Relationship Id="rId85" Type="http://schemas.openxmlformats.org/officeDocument/2006/relationships/externalLink" Target="externalLinks/externalLink50.xml"/><Relationship Id="rId93" Type="http://schemas.openxmlformats.org/officeDocument/2006/relationships/externalLink" Target="externalLinks/externalLink58.xml"/><Relationship Id="rId98" Type="http://schemas.openxmlformats.org/officeDocument/2006/relationships/externalLink" Target="externalLinks/externalLink6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externalLink" Target="externalLinks/externalLink32.xml"/><Relationship Id="rId103" Type="http://schemas.openxmlformats.org/officeDocument/2006/relationships/externalLink" Target="externalLinks/externalLink68.xml"/><Relationship Id="rId108" Type="http://schemas.openxmlformats.org/officeDocument/2006/relationships/externalLink" Target="externalLinks/externalLink73.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83" Type="http://schemas.openxmlformats.org/officeDocument/2006/relationships/externalLink" Target="externalLinks/externalLink48.xml"/><Relationship Id="rId88" Type="http://schemas.openxmlformats.org/officeDocument/2006/relationships/externalLink" Target="externalLinks/externalLink53.xml"/><Relationship Id="rId91" Type="http://schemas.openxmlformats.org/officeDocument/2006/relationships/externalLink" Target="externalLinks/externalLink56.xml"/><Relationship Id="rId96" Type="http://schemas.openxmlformats.org/officeDocument/2006/relationships/externalLink" Target="externalLinks/externalLink61.xml"/><Relationship Id="rId111" Type="http://schemas.openxmlformats.org/officeDocument/2006/relationships/externalLink" Target="externalLinks/externalLink7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6" Type="http://schemas.openxmlformats.org/officeDocument/2006/relationships/externalLink" Target="externalLinks/externalLink71.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73" Type="http://schemas.openxmlformats.org/officeDocument/2006/relationships/externalLink" Target="externalLinks/externalLink38.xml"/><Relationship Id="rId78" Type="http://schemas.openxmlformats.org/officeDocument/2006/relationships/externalLink" Target="externalLinks/externalLink43.xml"/><Relationship Id="rId81" Type="http://schemas.openxmlformats.org/officeDocument/2006/relationships/externalLink" Target="externalLinks/externalLink46.xml"/><Relationship Id="rId86" Type="http://schemas.openxmlformats.org/officeDocument/2006/relationships/externalLink" Target="externalLinks/externalLink51.xml"/><Relationship Id="rId94" Type="http://schemas.openxmlformats.org/officeDocument/2006/relationships/externalLink" Target="externalLinks/externalLink59.xml"/><Relationship Id="rId99" Type="http://schemas.openxmlformats.org/officeDocument/2006/relationships/externalLink" Target="externalLinks/externalLink64.xml"/><Relationship Id="rId101" Type="http://schemas.openxmlformats.org/officeDocument/2006/relationships/externalLink" Target="externalLinks/externalLink6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109" Type="http://schemas.openxmlformats.org/officeDocument/2006/relationships/externalLink" Target="externalLinks/externalLink7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6" Type="http://schemas.openxmlformats.org/officeDocument/2006/relationships/externalLink" Target="externalLinks/externalLink41.xml"/><Relationship Id="rId97" Type="http://schemas.openxmlformats.org/officeDocument/2006/relationships/externalLink" Target="externalLinks/externalLink62.xml"/><Relationship Id="rId104" Type="http://schemas.openxmlformats.org/officeDocument/2006/relationships/externalLink" Target="externalLinks/externalLink69.xml"/><Relationship Id="rId7" Type="http://schemas.openxmlformats.org/officeDocument/2006/relationships/worksheet" Target="worksheets/sheet7.xml"/><Relationship Id="rId71" Type="http://schemas.openxmlformats.org/officeDocument/2006/relationships/externalLink" Target="externalLinks/externalLink36.xml"/><Relationship Id="rId92" Type="http://schemas.openxmlformats.org/officeDocument/2006/relationships/externalLink" Target="externalLinks/externalLink57.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nil\c\My%20Documents\wellknown\6YrAnly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URAV\DATA\WINDOWS\TEMP\WINDOWS\TEMP\BAL59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ternet\c\Audit-2007\Navratna-2007\Navratna%20Sushil%20Final\Navratna%20BS%20prov%20sushi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spl\c\WINDOWS\TEMP\Bal-sh-31.03.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avi\c\FIN2\RAVI\TAXAUDIT\DEPIT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rak-pc\word\Documents%20and%20Settings\administrator\Local%20Settings\Temporary%20Internet%20Files\Content.IE5\7C88GHDK\march2002-tax%20accoun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gfl\DATA1\Audit-F.Y.2003-04\24a%20&amp;%2024b%20-%20Site%20-%2014.08.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rak-pc\word\Documents%20and%20Settings\Praveen\Desktop\FINANCIALS%20-%20APR02-MAR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rak-pc\word\Backup\Balance%20Sheet%202006-07\WINDOWS\Temporary%20Internet%20Files\OLKB086\P_SEG_C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de1\c\Audit-2002\BS%20sept,%2001\Amol\AMOL%20-%20sept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uditor\D\BACKUP%20OF%20SANJAY%20SIR%20AS%20ON%2019-7-06\My%20Documents\BS%202005-2006\Lucky\Audits\Par%20Computer%20Sciences%20Ltd%20New\Par%20Computer%20Sciences%20Ltd\Capital%20Gain%20She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KSP-2006/FA2006/FAINDIAN/AUG'06/FA_INDIAN_CCCO-31.12.2005/Indian%20FA%20Books%2031-12-%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e\KSP-2006\FA2006\FAINDIAN\AUG'06\FA_INDIAN_CCCO-31.12.2005\Indian%20FA%20Books%2031-12-%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rak-pc\KSP-2006\FA2006\FAINDIAN\AUG'06\FA_INDIAN_CCCO-31.12.2005\Indian%20FA%20Books%2031-12-%2020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4.71.78\c\Documents%20and%20Settings\Praveen\Desktop\FINANCIALS%20-%20APR02-MAR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rak-pc\word\Documents%20and%20Settings\deepakjain\Desktop\FSD\BGFL%20financial%20stat%20Marchr%20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finalisation07\ABNL%2007\BGFL%20financial%20stat%20March%202007-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finalisation07\ABNL%2007\BSHEETMarch%2007%20(Worl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udit%20Year%20Wise/Audit%202012/Amol%20Group/March%202012/Balance%20sheet%20(amol%20group)with%20workings/Amol/Working/Working/shyam/shyam/TDS%202006-07/eTDSRPUForm26Q_ver3.22Oct_De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rak-pc\Audit%20Year%20Wise\Audit%202012\Amol%20Group\March%202012\Balance%20sheet%20(amol%20group)with%20workings\Amol\Working\Working\shyam\shyam\TDS%202006-07\eTDSRPUForm26Q_ver3.22Oct_Dec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rchana\c\My%20Documents\archana\BKL\B2-039A%20Mann's%20Project%20Management%20Services%20Ltd\Datat%20Sent%20by%20Client\M758%20records\BRP\BRP2%2031%20MPMS%202004-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14.71.78\c\Documents%20and%20Settings\sivaguru\Local%20Settings\Temporary%20Internet%20Files\Content.IE5\OFXNYAJL\PP_Master%20Templat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enith\Malpani%20Auditor\WINDOWS\Temporary%20Internet%20Files\Content.IE5\6Y3HDB9J\Finalisation%20in%20excel_22-09-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eetu\PURU\Documents%20and%20Settings\Administrator\Desktop\Ernst%20&amp;Young\Financials\Purushothaman%20K%20.%20Gopalakrishnan\Andersen%20India%20Data\Client\Dystar\Financials\GRP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server\client%20data\Sturgess%20Hutchinson%20H2\H2-098%20E%20Taylor%20Skip%20Hire%20&amp;%20Recylcing%20Ltd\Final%20Repo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ommon/Users/acer/Favorites/Downloads/client%20data/Sturgess%20Hutchinson%20H2/H2-098%20E%20Taylor%20Skip%20Hire%20&amp;%20Recylcing%20Ltd/Final%20Repor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rak-pc\Common\Users\acer\Favorites\Downloads\client%20data\Sturgess%20Hutchinson%20H2\H2-098%20E%20Taylor%20Skip%20Hire%20&amp;%20Recylcing%20Ltd\Final%20Repor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rchana\c\My%20Documents\archana\B2-032%20Cassel%20Consulting%20Ltd\workings%202004-05\data%20sent%20by%20client\BRP2.31%20Cassel%208.1.04%20to%2031.12.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server\client%20data\My%20Documents\archana\B2-036%20R280%20Rick%20Smith%20Associates%20Limited\Data%20sent%20by%20client\r280%20brp\BRP%201.5.04%20to%2030.4.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ommon/Users/acer/Favorites/Downloads/client%20data/My%20Documents/archana/B2-036%20R280%20Rick%20Smith%20Associates%20Limited/Data%20sent%20by%20client/r280%20brp/BRP%201.5.04%20to%2030.4.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rak-pc\Common\Users\acer\Favorites\Downloads\client%20data\My%20Documents\archana\B2-036%20R280%20Rick%20Smith%20Associates%20Limited\Data%20sent%20by%20client\r280%20brp\BRP%201.5.04%20to%2030.4.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is-ddc\c\Emails\Dipak\CarbonblackMi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nil\FORMATS\Report%20Format-0506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Vinod\C\Documents%20and%20Settings\Administrator\Desktop\ETDS\ETDS%202007\Q3\BALAN\BALAN%2026Q.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nternet\C\Audit%20Folder%2031.03.2008\Audit%20March%202008\Pradeep%20Audit\TDS%20ANNEXTURE%20FINAL\eTDS%2007-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ppl\HAT\Documents%20and%20Settings\Administrator\Desktop\Ashish%20Dec05\Exlpla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BACKUP\DEEPAK%20JAIN\FSD\BGFL%20financial%20stat%20Marchr%2020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AMLESHVIKAMSEY\Data\DATA\EXCEL\ST\ST99\GAUTA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nance/finance%20data/NA%20-%20ASKA/MIS_%20JAN%202017%20ONWARDS/MIS%20REPORT%20April%2016%20~DEC%2016.xls_%20ASD.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rak-pc\finance\finance%20data\NA%20-%20ASKA\MIS_%20JAN%202017%20ONWARDS\MIS%20REPORT%20April%2016%20~DEC%2016.xls_%20ASD.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gfl\data1\user\manish\june2003qtrly\deftax.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Z:\user\manish\December%2004\Dec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0607/canara%20bank/Loan%20amortization-c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rak-pc\0607\canara%20bank\Loan%20amortization-c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JMERA\DATA\My%20Documents\Finalisation\BS%20WORKING.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AURAV\DATA\WINDOWS\DESKTOP\HLL-FILTER-gaurav.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JMERA\DATA\DATA\Audit-2001\Ajit\AMOL\FINAL%20FOLDER\amol-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JMERA\DATA\DATA\Audit-2001\Ajit\AMOL\FINAL%20FOLDER\mai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omp1\c\WINDOWS\TEMP\prov.%20balsheet31.3.03%20uw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Fixed-Asset-Register_CA2013-V3.0-TAXGURU.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ct-old\d\Audit\Tax%20Audit%202006\P&amp;%20Q.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omp1\c\backup%20c\Annual%20Report\Audit\Stock\Copy%20of%20stock%20working.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Rspl\c\CHANVIM%20GROUP\CHANVIM%20PLASTICS\Audit%202003\Annual%20Report\prov.%20balsheet31.3.03%20uwb.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AILSERVER\Mahesh\Audit\audit_01-02\BS_PL_rep\TB_01_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Documents%20and%20Settings\mhnh\My%20Documents\2001\Asia%20Pacific\Plan\5Y_v2.1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92.168.1.4\kdocicai$\SHAILENDRA%20Dwivedi\block\Annual%20Report\2006-2007\NUVO\New%20Folder\BS%20March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achine2\d\Documents%20and%20Settings\abc\Local%20Settings\Temporary%20Internet%20Files\Content.IE5\87U5HPI7\N%20Backup\Audit-2006\Amol\AUDIT310306\AMOL\BALANCE_SHEET_3132006-FIN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rathmes\d\J%20VISH\Documents%20and%20Settings\deepali\Local%20Settings\Temporary%20Internet%20Files\Content.IE5\EFQJADAR\Documents%20and%20Settings\oprater\Local%20Settings\Temporary%20Internet%20Files\Content.IE5\A1GJI501\Documents%20"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spl\c\Audit-2003\Ramanuj\Annual%20Report\final%20balsheet%20ramanuj.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erver\data\Documents%20and%20Settings\administrator\Local%20Settings\Temporary%20Internet%20Files\Content.IE5\7C88GHDK\march2002-tax%20account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rak-pc\Audit%20Year%20Wise\Audit%202012\Annapurna\WORKINGS\audit%202012\Annual%20report\Annapurna_Final_March_2012%202209201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server\Audit%20Year%20Wise\Audit%202013\Annapurna\Annapurna%20New\MARCH%202013\FINAL%20SET\Final%20Set\Annapurna%20%20BS%20Final%2016.08.13%20fin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Audit%20Reports/2021-22/Hardoli%20Paper%20Mills%20Ltd/Q2/Draft%20BS%20PL%20HY%20-%20Hardoli.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Audit%20Reports/2021-22/Hardoli%20Paper%20Mills%20Ltd/Q3/Q3%20results%20final.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udit%20Reports\2019-20\Hardoli%20Paper%20Mills%20Limited\Final%201920\Bsheet\BS30062020%20Final.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Audit%20Reports/2020-21/Hardoli%20Paper%20Mills%20Pvt%20Ltd/Audit%202021/FInal/FInal%20BS202021.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Q4%20FInal/BSPL/Fixed%20Asset%20Register%20Final.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Q4%20FInal/Working/Division%20I%20Amended%20Sch%20III%20to%20CA%202013.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rak-pc\Hardoli%20Paper%20Mills%20Ltd%20Final\BS\FINAL%20BAL%20SHEET%20HARDOLI.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Q4%20FInal/Quarterly%20Closing%20Stock.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rak-pc\Hardoli%20Paper%20Mills%20Ltd%20Final\Final%20_HPML%20BS%20March%202017.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Q4%20FInal/Working/Format%20from%20COmpany/STOCK%20STATEMENTS/PACKING%20&amp;%20CHEMICAL%20CLOSING%20STOCK%2021-22.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Users/Acer/Downloads/HPML%20BS%20new%20(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rak-pc\d\Audit%20Reports\2020-21\Hardoli%20Paper%20Mills%20Pvt%20Ltd\Audit%202021\FInal\Ratios09.06.21.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Users/Amit/Downloads/BS%2024062021.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Q4%20FInal/Working/Format%20from%20COmpany/SALARY-PF-PRE-PAID/BG-Ins-Pf-Sal-ESIC-31-03-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s"/>
      <sheetName val="wpl"/>
      <sheetName val="wtil"/>
      <sheetName val="combined"/>
      <sheetName val="Bal Sht &amp; P&amp;L"/>
      <sheetName val="Challan"/>
      <sheetName val="Bal_Sht_&amp;_P&amp;L1"/>
      <sheetName val="Bal_Sht_&amp;_P&amp;L"/>
      <sheetName val="Bal_Sht_&amp;_P&amp;L2"/>
    </sheetNames>
    <sheetDataSet>
      <sheetData sheetId="0" refreshError="1"/>
      <sheetData sheetId="1" refreshError="1">
        <row r="2">
          <cell r="B2" t="str">
            <v>WELLKNOWN  POLYESTERS LTD.</v>
          </cell>
        </row>
        <row r="3">
          <cell r="B3" t="str">
            <v>-</v>
          </cell>
          <cell r="C3" t="str">
            <v>-</v>
          </cell>
          <cell r="D3" t="str">
            <v>-</v>
          </cell>
          <cell r="E3">
            <v>0</v>
          </cell>
          <cell r="F3">
            <v>0</v>
          </cell>
          <cell r="G3">
            <v>0</v>
          </cell>
          <cell r="H3">
            <v>0</v>
          </cell>
        </row>
        <row r="4">
          <cell r="B4" t="str">
            <v>BALANCE    SHEET     FOR    LAST    SIX  YEARS</v>
          </cell>
        </row>
        <row r="6">
          <cell r="B6" t="str">
            <v>-</v>
          </cell>
          <cell r="C6" t="str">
            <v>-</v>
          </cell>
          <cell r="D6" t="str">
            <v>-</v>
          </cell>
          <cell r="E6" t="str">
            <v>-</v>
          </cell>
          <cell r="F6" t="str">
            <v>-</v>
          </cell>
          <cell r="G6" t="str">
            <v>-</v>
          </cell>
          <cell r="H6" t="str">
            <v>-</v>
          </cell>
        </row>
        <row r="7">
          <cell r="B7" t="str">
            <v>PARTICULARS</v>
          </cell>
          <cell r="C7" t="str">
            <v>1997-98</v>
          </cell>
          <cell r="D7" t="str">
            <v>1998-99</v>
          </cell>
          <cell r="E7" t="str">
            <v>1999-00</v>
          </cell>
          <cell r="F7" t="str">
            <v>2000-01</v>
          </cell>
          <cell r="G7" t="str">
            <v>2001-02</v>
          </cell>
          <cell r="H7" t="str">
            <v>2002-03</v>
          </cell>
        </row>
        <row r="8">
          <cell r="B8" t="str">
            <v>-</v>
          </cell>
          <cell r="C8" t="str">
            <v>-</v>
          </cell>
          <cell r="D8" t="str">
            <v>-</v>
          </cell>
          <cell r="E8" t="str">
            <v>-</v>
          </cell>
          <cell r="F8" t="str">
            <v>-</v>
          </cell>
          <cell r="G8" t="str">
            <v>-</v>
          </cell>
          <cell r="H8" t="str">
            <v>-</v>
          </cell>
        </row>
        <row r="9">
          <cell r="B9" t="str">
            <v>SOURCES OF  FUNDS</v>
          </cell>
        </row>
        <row r="11">
          <cell r="B11" t="str">
            <v>Shareholders' Funds</v>
          </cell>
        </row>
        <row r="13">
          <cell r="B13" t="str">
            <v>a. Share  Capital</v>
          </cell>
          <cell r="C13">
            <v>32.729999999999997</v>
          </cell>
          <cell r="D13">
            <v>35.229999999999997</v>
          </cell>
          <cell r="E13">
            <v>35.229999999999997</v>
          </cell>
          <cell r="F13">
            <v>32.729999999999997</v>
          </cell>
          <cell r="G13">
            <v>32.729999999999997</v>
          </cell>
          <cell r="H13">
            <v>50.73</v>
          </cell>
        </row>
        <row r="14">
          <cell r="B14" t="str">
            <v xml:space="preserve">    Growth  %</v>
          </cell>
          <cell r="D14">
            <v>7.6382523678582351E-2</v>
          </cell>
          <cell r="E14">
            <v>0</v>
          </cell>
          <cell r="F14">
            <v>-7.0962248084019311E-2</v>
          </cell>
          <cell r="G14">
            <v>0</v>
          </cell>
          <cell r="H14">
            <v>0.54995417048579287</v>
          </cell>
        </row>
        <row r="16">
          <cell r="B16" t="str">
            <v>b. Share Application  Money</v>
          </cell>
          <cell r="C16">
            <v>0</v>
          </cell>
          <cell r="D16">
            <v>0</v>
          </cell>
          <cell r="E16">
            <v>0</v>
          </cell>
          <cell r="F16">
            <v>0</v>
          </cell>
          <cell r="G16">
            <v>0</v>
          </cell>
          <cell r="H16">
            <v>0</v>
          </cell>
        </row>
        <row r="17">
          <cell r="C17">
            <v>0</v>
          </cell>
          <cell r="D17">
            <v>0</v>
          </cell>
          <cell r="E17">
            <v>0</v>
          </cell>
          <cell r="F17">
            <v>0</v>
          </cell>
          <cell r="G17">
            <v>0</v>
          </cell>
          <cell r="H17">
            <v>0</v>
          </cell>
        </row>
        <row r="18">
          <cell r="B18" t="str">
            <v>c. Reserves and Surplus</v>
          </cell>
          <cell r="C18">
            <v>138.5</v>
          </cell>
          <cell r="D18">
            <v>219.18</v>
          </cell>
          <cell r="E18">
            <v>282.08999999999997</v>
          </cell>
          <cell r="F18">
            <v>258.01</v>
          </cell>
          <cell r="G18">
            <v>367.36700000000002</v>
          </cell>
          <cell r="H18">
            <v>868.21699999999998</v>
          </cell>
        </row>
        <row r="19">
          <cell r="B19" t="str">
            <v xml:space="preserve">    Growth  %</v>
          </cell>
          <cell r="D19">
            <v>0.58252707581227436</v>
          </cell>
          <cell r="E19">
            <v>0.28702436353681887</v>
          </cell>
          <cell r="F19">
            <v>-8.5362827466411384E-2</v>
          </cell>
          <cell r="G19">
            <v>0.42384791287159423</v>
          </cell>
          <cell r="H19">
            <v>1.3633505459118536</v>
          </cell>
        </row>
        <row r="21">
          <cell r="C21" t="str">
            <v>-</v>
          </cell>
          <cell r="D21" t="str">
            <v>-</v>
          </cell>
          <cell r="E21" t="str">
            <v>-</v>
          </cell>
          <cell r="F21" t="str">
            <v>-</v>
          </cell>
          <cell r="G21" t="str">
            <v>-</v>
          </cell>
          <cell r="H21" t="str">
            <v>-</v>
          </cell>
        </row>
        <row r="22">
          <cell r="C22">
            <v>171.23</v>
          </cell>
          <cell r="D22">
            <v>254.41</v>
          </cell>
          <cell r="E22">
            <v>317.32</v>
          </cell>
          <cell r="F22">
            <v>290.74</v>
          </cell>
          <cell r="G22">
            <v>400.09700000000004</v>
          </cell>
          <cell r="H22">
            <v>918.947</v>
          </cell>
        </row>
        <row r="23">
          <cell r="C23" t="str">
            <v>-</v>
          </cell>
          <cell r="D23" t="str">
            <v>-</v>
          </cell>
          <cell r="E23" t="str">
            <v>-</v>
          </cell>
          <cell r="F23" t="str">
            <v>-</v>
          </cell>
          <cell r="G23" t="str">
            <v>-</v>
          </cell>
          <cell r="H23" t="str">
            <v>-</v>
          </cell>
        </row>
        <row r="24">
          <cell r="B24" t="str">
            <v>Loan  Funds</v>
          </cell>
          <cell r="C24">
            <v>0</v>
          </cell>
          <cell r="D24">
            <v>0</v>
          </cell>
          <cell r="E24">
            <v>0</v>
          </cell>
          <cell r="F24">
            <v>0</v>
          </cell>
          <cell r="G24">
            <v>0</v>
          </cell>
          <cell r="H24">
            <v>0</v>
          </cell>
        </row>
        <row r="26">
          <cell r="B26" t="str">
            <v>a. Secured  Loans</v>
          </cell>
          <cell r="C26">
            <v>312.99</v>
          </cell>
          <cell r="D26">
            <v>373.2</v>
          </cell>
          <cell r="E26">
            <v>445.56</v>
          </cell>
          <cell r="F26">
            <v>184.79</v>
          </cell>
          <cell r="G26">
            <v>395.6</v>
          </cell>
          <cell r="H26">
            <v>852.10500000000002</v>
          </cell>
        </row>
        <row r="27">
          <cell r="B27" t="str">
            <v xml:space="preserve">    Growth  %</v>
          </cell>
          <cell r="D27">
            <v>0.19237036327039195</v>
          </cell>
          <cell r="E27">
            <v>0.19389067524115761</v>
          </cell>
          <cell r="F27">
            <v>-0.58526348864350475</v>
          </cell>
          <cell r="G27">
            <v>1.1408084853076468</v>
          </cell>
          <cell r="H27">
            <v>1.1539560161779574</v>
          </cell>
        </row>
        <row r="29">
          <cell r="B29" t="str">
            <v>b.  Unsecured  Loans</v>
          </cell>
          <cell r="C29">
            <v>18.25</v>
          </cell>
          <cell r="D29">
            <v>115.25</v>
          </cell>
          <cell r="E29">
            <v>30.5</v>
          </cell>
          <cell r="F29">
            <v>0</v>
          </cell>
          <cell r="G29">
            <v>0</v>
          </cell>
          <cell r="H29">
            <v>13.885</v>
          </cell>
        </row>
        <row r="30">
          <cell r="C30" t="str">
            <v>-</v>
          </cell>
          <cell r="D30" t="str">
            <v>-</v>
          </cell>
          <cell r="E30" t="str">
            <v>-</v>
          </cell>
          <cell r="F30" t="str">
            <v>-</v>
          </cell>
          <cell r="G30" t="str">
            <v>-</v>
          </cell>
          <cell r="H30" t="str">
            <v>-</v>
          </cell>
        </row>
        <row r="31">
          <cell r="C31">
            <v>331.24</v>
          </cell>
          <cell r="D31">
            <v>488.45</v>
          </cell>
          <cell r="E31">
            <v>476.06</v>
          </cell>
          <cell r="F31">
            <v>184.79</v>
          </cell>
          <cell r="G31">
            <v>395.6</v>
          </cell>
          <cell r="H31">
            <v>865.99</v>
          </cell>
        </row>
        <row r="32">
          <cell r="C32" t="str">
            <v>-</v>
          </cell>
          <cell r="D32" t="str">
            <v>-</v>
          </cell>
          <cell r="E32" t="str">
            <v>-</v>
          </cell>
          <cell r="F32" t="str">
            <v>-</v>
          </cell>
          <cell r="G32" t="str">
            <v>-</v>
          </cell>
          <cell r="H32" t="str">
            <v>-</v>
          </cell>
        </row>
        <row r="34">
          <cell r="C34" t="str">
            <v>-</v>
          </cell>
          <cell r="D34" t="str">
            <v>-</v>
          </cell>
          <cell r="E34" t="str">
            <v>-</v>
          </cell>
          <cell r="F34" t="str">
            <v>-</v>
          </cell>
          <cell r="G34" t="str">
            <v>-</v>
          </cell>
          <cell r="H34" t="str">
            <v>-</v>
          </cell>
        </row>
        <row r="35">
          <cell r="B35" t="str">
            <v>TOTAL</v>
          </cell>
          <cell r="C35">
            <v>502.47</v>
          </cell>
          <cell r="D35">
            <v>742.86</v>
          </cell>
          <cell r="E35">
            <v>793.38</v>
          </cell>
          <cell r="F35">
            <v>475.53</v>
          </cell>
          <cell r="G35">
            <v>795.69700000000012</v>
          </cell>
          <cell r="H35">
            <v>1784.9369999999999</v>
          </cell>
        </row>
        <row r="36">
          <cell r="C36" t="str">
            <v>=</v>
          </cell>
          <cell r="D36" t="str">
            <v>=</v>
          </cell>
          <cell r="E36" t="str">
            <v>=</v>
          </cell>
          <cell r="F36" t="str">
            <v>=</v>
          </cell>
          <cell r="G36" t="str">
            <v>=</v>
          </cell>
          <cell r="H36" t="str">
            <v>=</v>
          </cell>
        </row>
        <row r="38">
          <cell r="B38" t="str">
            <v>APPLICATION  OF  FUNDS</v>
          </cell>
        </row>
        <row r="40">
          <cell r="B40" t="str">
            <v>Fixed  Assets</v>
          </cell>
        </row>
        <row r="42">
          <cell r="B42" t="str">
            <v>Gross  Block</v>
          </cell>
          <cell r="C42">
            <v>314.74</v>
          </cell>
          <cell r="D42">
            <v>452.29</v>
          </cell>
          <cell r="E42">
            <v>453.95</v>
          </cell>
          <cell r="F42">
            <v>460.74</v>
          </cell>
          <cell r="G42">
            <v>813.14</v>
          </cell>
          <cell r="H42">
            <v>1436.258</v>
          </cell>
        </row>
        <row r="43">
          <cell r="B43" t="str">
            <v>Growth  %</v>
          </cell>
          <cell r="D43">
            <v>0.43702738768507343</v>
          </cell>
          <cell r="E43">
            <v>3.6702115899090587E-3</v>
          </cell>
          <cell r="F43">
            <v>1.4957594448727879E-2</v>
          </cell>
          <cell r="G43">
            <v>0.76485653513912399</v>
          </cell>
          <cell r="H43">
            <v>0.76631084438104147</v>
          </cell>
        </row>
        <row r="44">
          <cell r="B44">
            <v>0</v>
          </cell>
        </row>
        <row r="45">
          <cell r="B45" t="str">
            <v>Less: Depreciation</v>
          </cell>
          <cell r="C45">
            <v>15.99</v>
          </cell>
          <cell r="D45">
            <v>33.44</v>
          </cell>
          <cell r="E45">
            <v>57.4</v>
          </cell>
          <cell r="F45">
            <v>190.97</v>
          </cell>
          <cell r="G45">
            <v>265.17</v>
          </cell>
          <cell r="H45">
            <v>325.17399999999998</v>
          </cell>
        </row>
        <row r="46">
          <cell r="C46" t="str">
            <v>-</v>
          </cell>
          <cell r="D46" t="str">
            <v>-</v>
          </cell>
          <cell r="E46" t="str">
            <v>-</v>
          </cell>
          <cell r="F46" t="str">
            <v>-</v>
          </cell>
          <cell r="G46" t="str">
            <v>-</v>
          </cell>
          <cell r="H46" t="str">
            <v>-</v>
          </cell>
        </row>
        <row r="47">
          <cell r="B47" t="str">
            <v>Net  Block</v>
          </cell>
          <cell r="C47">
            <v>298.75</v>
          </cell>
          <cell r="D47">
            <v>418.85</v>
          </cell>
          <cell r="E47">
            <v>396.55</v>
          </cell>
          <cell r="F47">
            <v>269.77</v>
          </cell>
          <cell r="G47">
            <v>547.97</v>
          </cell>
          <cell r="H47">
            <v>1111.0840000000001</v>
          </cell>
        </row>
        <row r="49">
          <cell r="B49" t="str">
            <v>Investments</v>
          </cell>
          <cell r="C49">
            <v>44.5</v>
          </cell>
          <cell r="D49">
            <v>56.4</v>
          </cell>
          <cell r="E49">
            <v>0.4</v>
          </cell>
          <cell r="F49">
            <v>0.4</v>
          </cell>
          <cell r="G49">
            <v>0.4</v>
          </cell>
          <cell r="H49">
            <v>173</v>
          </cell>
        </row>
        <row r="50">
          <cell r="B50" t="str">
            <v>Growth  %</v>
          </cell>
          <cell r="D50">
            <v>0.26741573033707861</v>
          </cell>
          <cell r="E50">
            <v>-0.99290780141843971</v>
          </cell>
          <cell r="F50">
            <v>0</v>
          </cell>
          <cell r="G50">
            <v>0</v>
          </cell>
          <cell r="H50">
            <v>431.49999999999994</v>
          </cell>
        </row>
        <row r="52">
          <cell r="B52" t="str">
            <v>Current Assets, Loans &amp; Advances</v>
          </cell>
        </row>
        <row r="54">
          <cell r="B54" t="str">
            <v>a. Inventories</v>
          </cell>
          <cell r="C54">
            <v>45.33</v>
          </cell>
          <cell r="D54">
            <v>53.25</v>
          </cell>
          <cell r="E54">
            <v>41.57</v>
          </cell>
          <cell r="F54">
            <v>58.55</v>
          </cell>
          <cell r="G54">
            <v>130.61000000000001</v>
          </cell>
          <cell r="H54">
            <v>288.3</v>
          </cell>
        </row>
        <row r="56">
          <cell r="B56" t="str">
            <v>b. Sundry  Debtors</v>
          </cell>
          <cell r="C56">
            <v>52.62</v>
          </cell>
          <cell r="D56">
            <v>41.46</v>
          </cell>
          <cell r="E56">
            <v>105.17</v>
          </cell>
          <cell r="F56">
            <v>100.47</v>
          </cell>
          <cell r="G56">
            <v>87.53</v>
          </cell>
          <cell r="H56">
            <v>95.6</v>
          </cell>
        </row>
        <row r="58">
          <cell r="B58" t="str">
            <v>c.  Cash &amp; Bank Balances</v>
          </cell>
          <cell r="C58">
            <v>25.15</v>
          </cell>
          <cell r="D58">
            <v>37.33</v>
          </cell>
          <cell r="E58">
            <v>23.84</v>
          </cell>
          <cell r="F58">
            <v>11.56</v>
          </cell>
          <cell r="G58">
            <v>1.54</v>
          </cell>
          <cell r="H58">
            <v>2.4700000000000002</v>
          </cell>
        </row>
        <row r="60">
          <cell r="B60" t="str">
            <v>d.  Loans &amp;  Advances</v>
          </cell>
          <cell r="C60">
            <v>40.089999999999996</v>
          </cell>
          <cell r="D60">
            <v>135.42000000000002</v>
          </cell>
          <cell r="E60">
            <v>257.35000000000002</v>
          </cell>
          <cell r="F60">
            <v>61.674999999999997</v>
          </cell>
          <cell r="G60">
            <v>112.2</v>
          </cell>
          <cell r="H60">
            <v>75.19</v>
          </cell>
        </row>
        <row r="62">
          <cell r="B62" t="str">
            <v>e.  Deposits</v>
          </cell>
          <cell r="C62">
            <v>31.54</v>
          </cell>
          <cell r="D62">
            <v>31.63</v>
          </cell>
          <cell r="E62">
            <v>1.63</v>
          </cell>
          <cell r="F62">
            <v>1.645</v>
          </cell>
          <cell r="G62">
            <v>1.81</v>
          </cell>
          <cell r="H62">
            <v>106.12</v>
          </cell>
        </row>
        <row r="64">
          <cell r="B64" t="str">
            <v>f. Trade  Investments</v>
          </cell>
          <cell r="C64">
            <v>0</v>
          </cell>
          <cell r="D64">
            <v>0</v>
          </cell>
          <cell r="E64">
            <v>0</v>
          </cell>
          <cell r="F64">
            <v>0</v>
          </cell>
          <cell r="G64">
            <v>0</v>
          </cell>
          <cell r="H64">
            <v>0</v>
          </cell>
        </row>
        <row r="65">
          <cell r="C65" t="str">
            <v>-</v>
          </cell>
          <cell r="D65" t="str">
            <v>-</v>
          </cell>
          <cell r="E65" t="str">
            <v>-</v>
          </cell>
          <cell r="F65" t="str">
            <v>-</v>
          </cell>
          <cell r="G65" t="str">
            <v>-</v>
          </cell>
          <cell r="H65" t="str">
            <v>-</v>
          </cell>
        </row>
        <row r="66">
          <cell r="C66">
            <v>194.73</v>
          </cell>
          <cell r="D66">
            <v>299.09000000000003</v>
          </cell>
          <cell r="E66">
            <v>429.56000000000006</v>
          </cell>
          <cell r="F66">
            <v>233.9</v>
          </cell>
          <cell r="G66">
            <v>333.69</v>
          </cell>
          <cell r="H66">
            <v>567.68000000000006</v>
          </cell>
        </row>
        <row r="68">
          <cell r="B68" t="str">
            <v>Less: Current  Liabilities</v>
          </cell>
          <cell r="C68">
            <v>35.5</v>
          </cell>
          <cell r="D68">
            <v>31.48</v>
          </cell>
          <cell r="E68">
            <v>33.119999999999997</v>
          </cell>
          <cell r="F68">
            <v>28.53</v>
          </cell>
          <cell r="G68">
            <v>86.375</v>
          </cell>
          <cell r="H68">
            <v>66.83</v>
          </cell>
        </row>
        <row r="69">
          <cell r="C69" t="str">
            <v>-</v>
          </cell>
          <cell r="D69" t="str">
            <v>-</v>
          </cell>
          <cell r="E69" t="str">
            <v>-</v>
          </cell>
          <cell r="F69" t="str">
            <v>-</v>
          </cell>
          <cell r="G69" t="str">
            <v>-</v>
          </cell>
          <cell r="H69" t="str">
            <v>-</v>
          </cell>
        </row>
        <row r="70">
          <cell r="B70" t="str">
            <v>Net  Current  Assets</v>
          </cell>
          <cell r="C70">
            <v>159.22999999999999</v>
          </cell>
          <cell r="D70">
            <v>267.61</v>
          </cell>
          <cell r="E70">
            <v>396.44000000000005</v>
          </cell>
          <cell r="F70">
            <v>205.37</v>
          </cell>
          <cell r="G70">
            <v>247.315</v>
          </cell>
          <cell r="H70">
            <v>500.85000000000008</v>
          </cell>
        </row>
        <row r="72">
          <cell r="B72" t="str">
            <v>Miscellaneous Expenditure</v>
          </cell>
          <cell r="C72">
            <v>0</v>
          </cell>
          <cell r="D72">
            <v>0</v>
          </cell>
          <cell r="E72">
            <v>0</v>
          </cell>
          <cell r="F72">
            <v>0</v>
          </cell>
          <cell r="G72">
            <v>0</v>
          </cell>
          <cell r="H72">
            <v>0</v>
          </cell>
        </row>
        <row r="74">
          <cell r="B74" t="str">
            <v>(to the extent not written off or adjusted)</v>
          </cell>
        </row>
        <row r="76">
          <cell r="B76" t="str">
            <v>Preliminary  Expenses</v>
          </cell>
          <cell r="C76">
            <v>0</v>
          </cell>
          <cell r="D76">
            <v>0</v>
          </cell>
          <cell r="E76">
            <v>0</v>
          </cell>
          <cell r="F76">
            <v>0</v>
          </cell>
          <cell r="G76">
            <v>0</v>
          </cell>
          <cell r="H76">
            <v>0</v>
          </cell>
        </row>
        <row r="78">
          <cell r="B78" t="str">
            <v>Deferred  Revenue  Expenditure</v>
          </cell>
          <cell r="C78">
            <v>0</v>
          </cell>
          <cell r="D78">
            <v>0</v>
          </cell>
          <cell r="E78">
            <v>0</v>
          </cell>
          <cell r="F78">
            <v>0</v>
          </cell>
          <cell r="G78">
            <v>0</v>
          </cell>
          <cell r="H78">
            <v>0</v>
          </cell>
        </row>
        <row r="80">
          <cell r="C80" t="str">
            <v>-</v>
          </cell>
          <cell r="D80" t="str">
            <v>-</v>
          </cell>
          <cell r="E80" t="str">
            <v>-</v>
          </cell>
          <cell r="F80" t="str">
            <v>-</v>
          </cell>
          <cell r="G80" t="str">
            <v>-</v>
          </cell>
          <cell r="H80" t="str">
            <v>-</v>
          </cell>
        </row>
        <row r="81">
          <cell r="B81" t="str">
            <v>TOTAL….</v>
          </cell>
          <cell r="C81">
            <v>502.48</v>
          </cell>
          <cell r="D81">
            <v>742.86</v>
          </cell>
          <cell r="E81">
            <v>793.3900000000001</v>
          </cell>
          <cell r="F81">
            <v>475.53999999999996</v>
          </cell>
          <cell r="G81">
            <v>795.68499999999995</v>
          </cell>
          <cell r="H81">
            <v>1784.9340000000002</v>
          </cell>
        </row>
        <row r="82">
          <cell r="C82" t="str">
            <v>=</v>
          </cell>
          <cell r="D82" t="str">
            <v>=</v>
          </cell>
          <cell r="E82" t="str">
            <v>=</v>
          </cell>
          <cell r="F82" t="str">
            <v>=</v>
          </cell>
          <cell r="G82" t="str">
            <v>=</v>
          </cell>
          <cell r="H82" t="str">
            <v>=</v>
          </cell>
        </row>
        <row r="87">
          <cell r="B87" t="str">
            <v>PROFIT  AND  LOSS  ACCOUNT  FOR  LAST SIX YEARS</v>
          </cell>
        </row>
        <row r="89">
          <cell r="B89" t="str">
            <v>-</v>
          </cell>
          <cell r="C89" t="str">
            <v>-</v>
          </cell>
          <cell r="D89" t="str">
            <v>-</v>
          </cell>
          <cell r="E89" t="str">
            <v>-</v>
          </cell>
          <cell r="F89" t="str">
            <v>-</v>
          </cell>
          <cell r="G89" t="str">
            <v>-</v>
          </cell>
          <cell r="H89" t="str">
            <v>-</v>
          </cell>
          <cell r="I89" t="str">
            <v>-</v>
          </cell>
          <cell r="J89" t="str">
            <v>-</v>
          </cell>
          <cell r="K89" t="str">
            <v>-</v>
          </cell>
          <cell r="L89" t="str">
            <v>-</v>
          </cell>
          <cell r="M89" t="str">
            <v>-</v>
          </cell>
          <cell r="N89" t="str">
            <v>-</v>
          </cell>
        </row>
        <row r="90">
          <cell r="B90" t="str">
            <v>PARTICULARS</v>
          </cell>
          <cell r="C90" t="str">
            <v>%</v>
          </cell>
          <cell r="D90" t="str">
            <v>1997-98</v>
          </cell>
          <cell r="E90" t="str">
            <v>%</v>
          </cell>
          <cell r="F90" t="str">
            <v>1998-99</v>
          </cell>
          <cell r="G90" t="str">
            <v>%</v>
          </cell>
          <cell r="H90" t="str">
            <v>1999-00</v>
          </cell>
          <cell r="I90" t="str">
            <v>%</v>
          </cell>
          <cell r="J90" t="str">
            <v>2000-01</v>
          </cell>
          <cell r="K90" t="str">
            <v>%</v>
          </cell>
          <cell r="L90" t="str">
            <v>2001-02</v>
          </cell>
          <cell r="M90" t="str">
            <v>%</v>
          </cell>
          <cell r="N90" t="str">
            <v>2002-03</v>
          </cell>
        </row>
        <row r="91">
          <cell r="B91" t="str">
            <v>-</v>
          </cell>
          <cell r="C91" t="str">
            <v>-</v>
          </cell>
          <cell r="D91" t="str">
            <v>-</v>
          </cell>
          <cell r="E91" t="str">
            <v>-</v>
          </cell>
          <cell r="F91" t="str">
            <v>-</v>
          </cell>
          <cell r="G91" t="str">
            <v>-</v>
          </cell>
          <cell r="H91" t="str">
            <v>-</v>
          </cell>
          <cell r="I91" t="str">
            <v>-</v>
          </cell>
          <cell r="J91" t="str">
            <v>-</v>
          </cell>
          <cell r="K91" t="str">
            <v>-</v>
          </cell>
          <cell r="L91" t="str">
            <v>-</v>
          </cell>
          <cell r="M91" t="str">
            <v>-</v>
          </cell>
          <cell r="N91" t="str">
            <v>-</v>
          </cell>
        </row>
        <row r="92">
          <cell r="B92" t="str">
            <v>INCOME</v>
          </cell>
        </row>
        <row r="94">
          <cell r="B94" t="str">
            <v>Sales</v>
          </cell>
          <cell r="D94">
            <v>1364.28</v>
          </cell>
          <cell r="F94">
            <v>1093.98</v>
          </cell>
          <cell r="H94">
            <v>2217.7800000000002</v>
          </cell>
          <cell r="J94">
            <v>2628.58</v>
          </cell>
          <cell r="L94">
            <v>3089.9</v>
          </cell>
          <cell r="N94">
            <v>4555.9579999999996</v>
          </cell>
        </row>
        <row r="96">
          <cell r="B96" t="str">
            <v xml:space="preserve">Other  Income </v>
          </cell>
          <cell r="D96">
            <v>0</v>
          </cell>
          <cell r="F96">
            <v>0.04</v>
          </cell>
          <cell r="H96">
            <v>3.14</v>
          </cell>
          <cell r="J96">
            <v>0.33</v>
          </cell>
          <cell r="L96">
            <v>0.09</v>
          </cell>
          <cell r="N96">
            <v>0.09</v>
          </cell>
        </row>
        <row r="98">
          <cell r="B98" t="str">
            <v>Increase/(Decrease)  in Stocks</v>
          </cell>
          <cell r="D98">
            <v>15.22</v>
          </cell>
          <cell r="F98">
            <v>12.21</v>
          </cell>
          <cell r="H98">
            <v>1.32</v>
          </cell>
          <cell r="J98">
            <v>8.74</v>
          </cell>
          <cell r="L98">
            <v>21.32</v>
          </cell>
          <cell r="N98">
            <v>210.63900000000001</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row>
        <row r="100">
          <cell r="B100" t="str">
            <v>TOTAL  INCOME</v>
          </cell>
          <cell r="C100">
            <v>1</v>
          </cell>
          <cell r="D100">
            <v>1379.5</v>
          </cell>
          <cell r="E100">
            <v>1</v>
          </cell>
          <cell r="F100">
            <v>1106.23</v>
          </cell>
          <cell r="G100">
            <v>1</v>
          </cell>
          <cell r="H100">
            <v>2222.2400000000002</v>
          </cell>
          <cell r="I100">
            <v>1</v>
          </cell>
          <cell r="J100">
            <v>2637.6499999999996</v>
          </cell>
          <cell r="K100">
            <v>1</v>
          </cell>
          <cell r="L100">
            <v>3111.3100000000004</v>
          </cell>
          <cell r="M100">
            <v>1</v>
          </cell>
          <cell r="N100">
            <v>4766.6869999999999</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row>
        <row r="103">
          <cell r="B103" t="str">
            <v>EXPENDITURE</v>
          </cell>
        </row>
        <row r="105">
          <cell r="B105" t="str">
            <v>Raw  Material  Consumed   Including</v>
          </cell>
          <cell r="C105">
            <v>0.7819479159115621</v>
          </cell>
          <cell r="D105">
            <v>1078.69715</v>
          </cell>
          <cell r="E105">
            <v>0.75757842401670539</v>
          </cell>
          <cell r="F105">
            <v>838.05597999999998</v>
          </cell>
          <cell r="G105">
            <v>0.81363849089207274</v>
          </cell>
          <cell r="H105">
            <v>1808.1</v>
          </cell>
          <cell r="I105">
            <v>0.81777339677364336</v>
          </cell>
          <cell r="J105">
            <v>2157</v>
          </cell>
          <cell r="K105">
            <v>0.81512610443832323</v>
          </cell>
          <cell r="L105">
            <v>2536.1099999999997</v>
          </cell>
          <cell r="M105">
            <v>0.81766371486107647</v>
          </cell>
          <cell r="N105">
            <v>3897.547</v>
          </cell>
        </row>
        <row r="106">
          <cell r="B106" t="str">
            <v>Excise  Duty</v>
          </cell>
        </row>
        <row r="107">
          <cell r="C107">
            <v>0</v>
          </cell>
          <cell r="E107">
            <v>0</v>
          </cell>
          <cell r="G107">
            <v>0</v>
          </cell>
          <cell r="I107">
            <v>0</v>
          </cell>
          <cell r="K107">
            <v>0</v>
          </cell>
          <cell r="M107">
            <v>0</v>
          </cell>
        </row>
        <row r="108">
          <cell r="B108" t="str">
            <v>Power &amp; Fuel</v>
          </cell>
          <cell r="C108">
            <v>4.4102935846321134E-2</v>
          </cell>
          <cell r="D108">
            <v>60.84</v>
          </cell>
          <cell r="E108">
            <v>5.2819034016434195E-2</v>
          </cell>
          <cell r="F108">
            <v>58.43</v>
          </cell>
          <cell r="G108">
            <v>5.3342573259413925E-2</v>
          </cell>
          <cell r="H108">
            <v>118.54</v>
          </cell>
          <cell r="I108">
            <v>4.1286751464371704E-2</v>
          </cell>
          <cell r="J108">
            <v>108.9</v>
          </cell>
          <cell r="K108">
            <v>5.245378956131018E-2</v>
          </cell>
          <cell r="L108">
            <v>163.19999999999999</v>
          </cell>
          <cell r="M108">
            <v>4.1888632503036177E-2</v>
          </cell>
          <cell r="N108">
            <v>199.67</v>
          </cell>
        </row>
        <row r="109">
          <cell r="G109">
            <v>0</v>
          </cell>
          <cell r="I109">
            <v>0</v>
          </cell>
          <cell r="K109">
            <v>0</v>
          </cell>
          <cell r="M109">
            <v>0</v>
          </cell>
        </row>
        <row r="110">
          <cell r="B110" t="str">
            <v>Other  Manufacturing   Expenses</v>
          </cell>
          <cell r="C110">
            <v>2.0674157303370782E-2</v>
          </cell>
          <cell r="D110">
            <v>28.519999999999996</v>
          </cell>
          <cell r="E110">
            <v>3.52458349529483E-2</v>
          </cell>
          <cell r="F110">
            <v>38.99</v>
          </cell>
          <cell r="G110">
            <v>4.5868133054935555E-2</v>
          </cell>
          <cell r="H110">
            <v>101.92999999999999</v>
          </cell>
          <cell r="I110">
            <v>5.6815726119841529E-2</v>
          </cell>
          <cell r="J110">
            <v>149.85999999999999</v>
          </cell>
          <cell r="K110">
            <v>3.9562113707730835E-2</v>
          </cell>
          <cell r="L110">
            <v>123.09000000000003</v>
          </cell>
          <cell r="M110">
            <v>5.1957680460244196E-2</v>
          </cell>
          <cell r="N110">
            <v>247.66600000000003</v>
          </cell>
        </row>
        <row r="111">
          <cell r="C111">
            <v>0</v>
          </cell>
          <cell r="E111">
            <v>0</v>
          </cell>
          <cell r="G111">
            <v>0</v>
          </cell>
          <cell r="I111">
            <v>0</v>
          </cell>
          <cell r="K111">
            <v>0</v>
          </cell>
          <cell r="M111">
            <v>0</v>
          </cell>
        </row>
        <row r="112">
          <cell r="B112" t="str">
            <v>Payment  To  Employees</v>
          </cell>
          <cell r="C112">
            <v>1.1888365349764406E-2</v>
          </cell>
          <cell r="D112">
            <v>16.399999999999999</v>
          </cell>
          <cell r="E112">
            <v>1.317085958616201E-2</v>
          </cell>
          <cell r="F112">
            <v>14.57</v>
          </cell>
          <cell r="G112">
            <v>5.1524587803297569E-3</v>
          </cell>
          <cell r="H112">
            <v>11.45</v>
          </cell>
          <cell r="I112">
            <v>5.5124827024055512E-3</v>
          </cell>
          <cell r="J112">
            <v>14.54</v>
          </cell>
          <cell r="K112">
            <v>6.6885009851155933E-3</v>
          </cell>
          <cell r="L112">
            <v>20.81</v>
          </cell>
          <cell r="M112">
            <v>1.1678971159633516E-2</v>
          </cell>
          <cell r="N112">
            <v>55.67</v>
          </cell>
        </row>
        <row r="113">
          <cell r="C113">
            <v>0</v>
          </cell>
          <cell r="E113">
            <v>0</v>
          </cell>
          <cell r="G113">
            <v>0</v>
          </cell>
          <cell r="I113">
            <v>0</v>
          </cell>
          <cell r="K113">
            <v>0</v>
          </cell>
          <cell r="M113">
            <v>0</v>
          </cell>
        </row>
        <row r="114">
          <cell r="B114" t="str">
            <v xml:space="preserve"> Administration   Exp.</v>
          </cell>
          <cell r="C114">
            <v>8.4475824574121051E-3</v>
          </cell>
          <cell r="D114">
            <v>11.65344</v>
          </cell>
          <cell r="E114">
            <v>8.2442168445983188E-3</v>
          </cell>
          <cell r="F114">
            <v>9.1199999999999992</v>
          </cell>
          <cell r="G114">
            <v>3.3344733242134062E-3</v>
          </cell>
          <cell r="H114">
            <v>7.410000000000001</v>
          </cell>
          <cell r="I114">
            <v>7.0289841336037768E-3</v>
          </cell>
          <cell r="J114">
            <v>18.54</v>
          </cell>
          <cell r="K114">
            <v>8.7165856182765452E-3</v>
          </cell>
          <cell r="L114">
            <v>27.12</v>
          </cell>
          <cell r="M114">
            <v>5.0683000583004508E-3</v>
          </cell>
          <cell r="N114">
            <v>24.158999999999999</v>
          </cell>
        </row>
        <row r="115">
          <cell r="G115">
            <v>0</v>
          </cell>
          <cell r="I115">
            <v>0</v>
          </cell>
          <cell r="K115">
            <v>0</v>
          </cell>
          <cell r="M115">
            <v>0</v>
          </cell>
        </row>
        <row r="116">
          <cell r="B116" t="str">
            <v>Selling  &amp;  Distribution   Exp.</v>
          </cell>
          <cell r="C116">
            <v>6.1664081188836537E-3</v>
          </cell>
          <cell r="D116">
            <v>8.5065600000000003</v>
          </cell>
          <cell r="E116">
            <v>7.1775308932138879E-3</v>
          </cell>
          <cell r="F116">
            <v>7.9399999999999995</v>
          </cell>
          <cell r="G116">
            <v>5.1749586003311968E-4</v>
          </cell>
          <cell r="H116">
            <v>1.1499999999999999</v>
          </cell>
          <cell r="I116">
            <v>0</v>
          </cell>
          <cell r="J116">
            <v>0</v>
          </cell>
          <cell r="K116">
            <v>0</v>
          </cell>
          <cell r="L116">
            <v>0</v>
          </cell>
          <cell r="M116">
            <v>0</v>
          </cell>
          <cell r="N116">
            <v>0</v>
          </cell>
        </row>
        <row r="117">
          <cell r="C117">
            <v>0</v>
          </cell>
          <cell r="E117">
            <v>0</v>
          </cell>
          <cell r="G117">
            <v>0</v>
          </cell>
          <cell r="I117">
            <v>0</v>
          </cell>
          <cell r="K117">
            <v>0</v>
          </cell>
          <cell r="M117">
            <v>0</v>
          </cell>
        </row>
        <row r="118">
          <cell r="B118" t="str">
            <v>Interest &amp; Finance Expenses</v>
          </cell>
          <cell r="C118">
            <v>4.29720913374411E-2</v>
          </cell>
          <cell r="D118">
            <v>59.28</v>
          </cell>
          <cell r="E118">
            <v>4.2757835169901372E-2</v>
          </cell>
          <cell r="F118">
            <v>47.3</v>
          </cell>
          <cell r="G118">
            <v>3.2512239902080776E-2</v>
          </cell>
          <cell r="H118">
            <v>72.25</v>
          </cell>
          <cell r="I118">
            <v>1.9987488863192616E-2</v>
          </cell>
          <cell r="J118">
            <v>52.72</v>
          </cell>
          <cell r="K118">
            <v>1.4428006209603028E-2</v>
          </cell>
          <cell r="L118">
            <v>44.89</v>
          </cell>
          <cell r="M118">
            <v>1.3872528236068365E-2</v>
          </cell>
          <cell r="N118">
            <v>66.126000000000005</v>
          </cell>
        </row>
        <row r="119">
          <cell r="C119">
            <v>0</v>
          </cell>
          <cell r="E119">
            <v>0</v>
          </cell>
          <cell r="G119">
            <v>0</v>
          </cell>
          <cell r="I119">
            <v>0</v>
          </cell>
          <cell r="K119">
            <v>0</v>
          </cell>
          <cell r="M119">
            <v>0</v>
          </cell>
        </row>
        <row r="120">
          <cell r="B120" t="str">
            <v>Depreciation</v>
          </cell>
          <cell r="C120">
            <v>1.1591156216020297E-2</v>
          </cell>
          <cell r="D120">
            <v>15.99</v>
          </cell>
          <cell r="E120">
            <v>1.5774296484456215E-2</v>
          </cell>
          <cell r="F120">
            <v>17.45</v>
          </cell>
          <cell r="G120">
            <v>1.0781913744690041E-2</v>
          </cell>
          <cell r="H120">
            <v>23.96</v>
          </cell>
          <cell r="I120">
            <v>1.7832161204102137E-2</v>
          </cell>
          <cell r="J120">
            <v>47.034999999999997</v>
          </cell>
          <cell r="K120">
            <v>2.3851368073255316E-2</v>
          </cell>
          <cell r="L120">
            <v>74.209000000000003</v>
          </cell>
          <cell r="M120">
            <v>1.2587358893084443E-2</v>
          </cell>
          <cell r="N120">
            <v>60</v>
          </cell>
        </row>
        <row r="121">
          <cell r="C121">
            <v>0</v>
          </cell>
          <cell r="E121">
            <v>0</v>
          </cell>
          <cell r="G121">
            <v>0</v>
          </cell>
          <cell r="I121">
            <v>0</v>
          </cell>
          <cell r="K121">
            <v>0</v>
          </cell>
          <cell r="M121">
            <v>0</v>
          </cell>
        </row>
        <row r="122">
          <cell r="B122" t="str">
            <v>Preliminary Expenses w/off</v>
          </cell>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E123">
            <v>0</v>
          </cell>
          <cell r="G123">
            <v>0</v>
          </cell>
          <cell r="I123">
            <v>0</v>
          </cell>
          <cell r="K123">
            <v>0</v>
          </cell>
          <cell r="M123">
            <v>0</v>
          </cell>
        </row>
        <row r="124">
          <cell r="C124">
            <v>0</v>
          </cell>
          <cell r="D124" t="str">
            <v>-</v>
          </cell>
          <cell r="E124">
            <v>0</v>
          </cell>
          <cell r="F124" t="str">
            <v>-</v>
          </cell>
          <cell r="G124">
            <v>0</v>
          </cell>
          <cell r="H124" t="str">
            <v>-</v>
          </cell>
          <cell r="I124">
            <v>0</v>
          </cell>
          <cell r="J124" t="str">
            <v>-</v>
          </cell>
          <cell r="K124">
            <v>0</v>
          </cell>
          <cell r="L124" t="str">
            <v>-</v>
          </cell>
          <cell r="M124">
            <v>0</v>
          </cell>
          <cell r="N124" t="str">
            <v>-</v>
          </cell>
        </row>
        <row r="125">
          <cell r="B125" t="str">
            <v>TOTAL  EXPENDITURE</v>
          </cell>
          <cell r="C125">
            <v>0.92779061254077566</v>
          </cell>
          <cell r="D125">
            <v>1279.88715</v>
          </cell>
          <cell r="E125">
            <v>0.93276803196441971</v>
          </cell>
          <cell r="F125">
            <v>1031.85598</v>
          </cell>
          <cell r="G125">
            <v>0.96514777881776936</v>
          </cell>
          <cell r="H125">
            <v>2144.79</v>
          </cell>
          <cell r="I125">
            <v>0.96623699126116058</v>
          </cell>
          <cell r="J125">
            <v>2548.5949999999998</v>
          </cell>
          <cell r="K125">
            <v>0.96082646859361454</v>
          </cell>
          <cell r="L125">
            <v>2989.4289999999992</v>
          </cell>
          <cell r="M125">
            <v>0.95471718617144352</v>
          </cell>
          <cell r="N125">
            <v>4550.8379999999997</v>
          </cell>
        </row>
        <row r="126">
          <cell r="C126">
            <v>0</v>
          </cell>
          <cell r="D126" t="str">
            <v>-</v>
          </cell>
          <cell r="E126">
            <v>0</v>
          </cell>
          <cell r="F126" t="str">
            <v>-</v>
          </cell>
          <cell r="G126">
            <v>0</v>
          </cell>
          <cell r="H126" t="str">
            <v>-</v>
          </cell>
          <cell r="I126">
            <v>0</v>
          </cell>
          <cell r="J126" t="str">
            <v>-</v>
          </cell>
          <cell r="K126">
            <v>0</v>
          </cell>
          <cell r="L126" t="str">
            <v>-</v>
          </cell>
          <cell r="M126">
            <v>0</v>
          </cell>
          <cell r="N126" t="str">
            <v>-</v>
          </cell>
        </row>
        <row r="127">
          <cell r="B127" t="str">
            <v>Profit/ Loss Before Tax</v>
          </cell>
          <cell r="C127">
            <v>7.2209387459224339E-2</v>
          </cell>
          <cell r="D127">
            <v>99.61284999999998</v>
          </cell>
          <cell r="E127">
            <v>6.7231968035580278E-2</v>
          </cell>
          <cell r="F127">
            <v>74.374019999999973</v>
          </cell>
          <cell r="G127">
            <v>3.4852221182230664E-2</v>
          </cell>
          <cell r="H127">
            <v>77.450000000000273</v>
          </cell>
          <cell r="I127">
            <v>3.3763008738839438E-2</v>
          </cell>
          <cell r="J127">
            <v>89.054999999999836</v>
          </cell>
          <cell r="K127">
            <v>3.9173531406385478E-2</v>
          </cell>
          <cell r="L127">
            <v>121.88100000000122</v>
          </cell>
          <cell r="M127">
            <v>4.528281382855643E-2</v>
          </cell>
          <cell r="N127">
            <v>215.84900000000016</v>
          </cell>
        </row>
        <row r="128">
          <cell r="C128">
            <v>0</v>
          </cell>
          <cell r="E128">
            <v>0</v>
          </cell>
          <cell r="G128">
            <v>0</v>
          </cell>
          <cell r="I128">
            <v>0</v>
          </cell>
          <cell r="K128">
            <v>0</v>
          </cell>
          <cell r="M128">
            <v>0</v>
          </cell>
        </row>
        <row r="129">
          <cell r="B129" t="str">
            <v>Less: Provision For  Taxation</v>
          </cell>
          <cell r="C129">
            <v>0</v>
          </cell>
          <cell r="D129">
            <v>0</v>
          </cell>
          <cell r="E129">
            <v>0</v>
          </cell>
          <cell r="F129">
            <v>0</v>
          </cell>
          <cell r="G129">
            <v>0</v>
          </cell>
          <cell r="H129">
            <v>0</v>
          </cell>
          <cell r="I129">
            <v>8.3407578715902425E-5</v>
          </cell>
          <cell r="J129">
            <v>0.22</v>
          </cell>
          <cell r="K129">
            <v>2.9730242245227891E-3</v>
          </cell>
          <cell r="L129">
            <v>9.25</v>
          </cell>
          <cell r="M129">
            <v>0</v>
          </cell>
          <cell r="N129">
            <v>0</v>
          </cell>
        </row>
        <row r="130">
          <cell r="C130">
            <v>0</v>
          </cell>
          <cell r="E130">
            <v>0</v>
          </cell>
          <cell r="G130">
            <v>0</v>
          </cell>
          <cell r="I130">
            <v>0</v>
          </cell>
          <cell r="K130">
            <v>0</v>
          </cell>
          <cell r="M130">
            <v>0</v>
          </cell>
        </row>
        <row r="131">
          <cell r="B131" t="str">
            <v xml:space="preserve"> Add: ( Depreciation written  back) / written off </v>
          </cell>
          <cell r="C131">
            <v>0</v>
          </cell>
          <cell r="D131">
            <v>0</v>
          </cell>
          <cell r="E131">
            <v>0</v>
          </cell>
          <cell r="F131">
            <v>0</v>
          </cell>
          <cell r="G131">
            <v>0</v>
          </cell>
          <cell r="H131">
            <v>0</v>
          </cell>
          <cell r="I131">
            <v>-3.2801925956817628E-2</v>
          </cell>
          <cell r="J131">
            <v>-86.52</v>
          </cell>
          <cell r="K131">
            <v>0</v>
          </cell>
          <cell r="L131">
            <v>0</v>
          </cell>
          <cell r="M131">
            <v>-3.566418353040592E-3</v>
          </cell>
          <cell r="N131">
            <v>-17</v>
          </cell>
        </row>
        <row r="132">
          <cell r="C132">
            <v>0</v>
          </cell>
          <cell r="D132" t="str">
            <v>-</v>
          </cell>
          <cell r="E132">
            <v>0</v>
          </cell>
          <cell r="F132" t="str">
            <v>-</v>
          </cell>
          <cell r="G132">
            <v>0</v>
          </cell>
          <cell r="H132" t="str">
            <v>-</v>
          </cell>
          <cell r="I132">
            <v>0</v>
          </cell>
          <cell r="J132" t="str">
            <v>-</v>
          </cell>
          <cell r="K132">
            <v>0</v>
          </cell>
          <cell r="L132" t="str">
            <v>-</v>
          </cell>
          <cell r="M132">
            <v>0</v>
          </cell>
          <cell r="N132" t="str">
            <v>-</v>
          </cell>
        </row>
        <row r="133">
          <cell r="B133" t="str">
            <v>Profit/Loss After  Taxation</v>
          </cell>
          <cell r="C133">
            <v>7.2209387459224339E-2</v>
          </cell>
          <cell r="D133">
            <v>99.61284999999998</v>
          </cell>
          <cell r="E133">
            <v>6.7231968035580278E-2</v>
          </cell>
          <cell r="F133">
            <v>74.374019999999973</v>
          </cell>
          <cell r="G133">
            <v>3.4852221182230664E-2</v>
          </cell>
          <cell r="H133">
            <v>77.450000000000273</v>
          </cell>
          <cell r="I133">
            <v>8.7767520330591308E-4</v>
          </cell>
          <cell r="J133">
            <v>2.3149999999998414</v>
          </cell>
          <cell r="K133">
            <v>3.6200507181862691E-2</v>
          </cell>
          <cell r="L133">
            <v>112.63100000000122</v>
          </cell>
          <cell r="M133">
            <v>4.1716395475515838E-2</v>
          </cell>
          <cell r="N133">
            <v>198.84900000000016</v>
          </cell>
        </row>
        <row r="134">
          <cell r="I134">
            <v>0</v>
          </cell>
        </row>
        <row r="135">
          <cell r="B135" t="str">
            <v xml:space="preserve">Balance  b/f from Previous Year </v>
          </cell>
          <cell r="D135">
            <v>0</v>
          </cell>
          <cell r="F135">
            <v>71.61284999999998</v>
          </cell>
          <cell r="H135">
            <v>119.78686999999996</v>
          </cell>
          <cell r="J135">
            <v>170.70687000000024</v>
          </cell>
          <cell r="L135">
            <v>168.6078700000001</v>
          </cell>
          <cell r="N135">
            <v>267.96887000000135</v>
          </cell>
        </row>
        <row r="136">
          <cell r="C136">
            <v>0</v>
          </cell>
          <cell r="D136" t="str">
            <v>-</v>
          </cell>
          <cell r="E136">
            <v>0</v>
          </cell>
          <cell r="F136" t="str">
            <v>-</v>
          </cell>
          <cell r="G136">
            <v>0</v>
          </cell>
          <cell r="H136" t="str">
            <v>-</v>
          </cell>
          <cell r="I136">
            <v>0</v>
          </cell>
          <cell r="J136" t="str">
            <v>-</v>
          </cell>
          <cell r="K136">
            <v>0</v>
          </cell>
          <cell r="L136" t="str">
            <v>-</v>
          </cell>
          <cell r="M136">
            <v>0</v>
          </cell>
          <cell r="N136" t="str">
            <v>-</v>
          </cell>
        </row>
        <row r="137">
          <cell r="B137" t="str">
            <v>BALANCE AVAILABLE FOR APPROPRIATION</v>
          </cell>
          <cell r="D137">
            <v>99.61284999999998</v>
          </cell>
          <cell r="F137">
            <v>145.98686999999995</v>
          </cell>
          <cell r="H137">
            <v>197.23687000000024</v>
          </cell>
          <cell r="J137">
            <v>173.02187000000009</v>
          </cell>
          <cell r="L137">
            <v>281.23887000000133</v>
          </cell>
          <cell r="N137">
            <v>466.81787000000151</v>
          </cell>
        </row>
        <row r="138">
          <cell r="C138">
            <v>0</v>
          </cell>
          <cell r="D138" t="str">
            <v>=</v>
          </cell>
          <cell r="E138">
            <v>0</v>
          </cell>
          <cell r="F138" t="str">
            <v>=</v>
          </cell>
          <cell r="G138">
            <v>0</v>
          </cell>
          <cell r="H138" t="str">
            <v>=</v>
          </cell>
          <cell r="I138">
            <v>0</v>
          </cell>
          <cell r="J138" t="str">
            <v>=</v>
          </cell>
          <cell r="K138">
            <v>0</v>
          </cell>
          <cell r="L138" t="str">
            <v>=</v>
          </cell>
          <cell r="M138">
            <v>0</v>
          </cell>
          <cell r="N138" t="str">
            <v>=</v>
          </cell>
        </row>
        <row r="139">
          <cell r="B139" t="str">
            <v>APPROPRIATIONS</v>
          </cell>
        </row>
        <row r="141">
          <cell r="B141" t="str">
            <v>Total  Dividend</v>
          </cell>
          <cell r="C141">
            <v>0.54995417048579287</v>
          </cell>
          <cell r="D141">
            <v>18</v>
          </cell>
          <cell r="E141">
            <v>0.4598353675844451</v>
          </cell>
          <cell r="F141">
            <v>16.2</v>
          </cell>
          <cell r="G141">
            <v>0.41243258586432019</v>
          </cell>
          <cell r="H141">
            <v>14.53</v>
          </cell>
          <cell r="I141">
            <v>0</v>
          </cell>
          <cell r="J141">
            <v>0</v>
          </cell>
          <cell r="K141">
            <v>9.9908340971585713E-2</v>
          </cell>
          <cell r="L141">
            <v>3.27</v>
          </cell>
          <cell r="M141">
            <v>0</v>
          </cell>
          <cell r="N141">
            <v>0</v>
          </cell>
        </row>
        <row r="142">
          <cell r="B142" t="str">
            <v>Interim  Dividend</v>
          </cell>
          <cell r="D142">
            <v>8.18</v>
          </cell>
          <cell r="F142">
            <v>14.73</v>
          </cell>
          <cell r="H142">
            <v>13.09</v>
          </cell>
          <cell r="J142">
            <v>0</v>
          </cell>
          <cell r="L142">
            <v>3.27</v>
          </cell>
          <cell r="N142">
            <v>0</v>
          </cell>
        </row>
        <row r="144">
          <cell r="B144" t="str">
            <v xml:space="preserve">Proposed Dividend </v>
          </cell>
          <cell r="C144">
            <v>0</v>
          </cell>
          <cell r="D144">
            <v>8.18</v>
          </cell>
          <cell r="F144">
            <v>0</v>
          </cell>
          <cell r="H144">
            <v>0</v>
          </cell>
          <cell r="J144">
            <v>0</v>
          </cell>
          <cell r="L144">
            <v>0</v>
          </cell>
          <cell r="N144">
            <v>0</v>
          </cell>
        </row>
        <row r="146">
          <cell r="B146" t="str">
            <v xml:space="preserve"> Tax  on Dividends</v>
          </cell>
          <cell r="D146">
            <v>1.64</v>
          </cell>
          <cell r="F146">
            <v>1.47</v>
          </cell>
          <cell r="H146">
            <v>1.44</v>
          </cell>
          <cell r="J146">
            <v>0</v>
          </cell>
          <cell r="L146">
            <v>0</v>
          </cell>
          <cell r="N146">
            <v>0</v>
          </cell>
        </row>
        <row r="148">
          <cell r="B148" t="str">
            <v>Transfer to  Reserves</v>
          </cell>
          <cell r="D148">
            <v>10</v>
          </cell>
          <cell r="F148">
            <v>10</v>
          </cell>
          <cell r="H148">
            <v>12</v>
          </cell>
          <cell r="J148">
            <v>4.4139999999999997</v>
          </cell>
          <cell r="L148">
            <v>10</v>
          </cell>
          <cell r="N148">
            <v>0</v>
          </cell>
        </row>
        <row r="150">
          <cell r="B150" t="str">
            <v>Balance Carried  to Balance Sheet</v>
          </cell>
          <cell r="D150">
            <v>71.61284999999998</v>
          </cell>
          <cell r="F150">
            <v>119.78686999999996</v>
          </cell>
          <cell r="H150">
            <v>170.70687000000024</v>
          </cell>
          <cell r="J150">
            <v>168.6078700000001</v>
          </cell>
          <cell r="L150">
            <v>267.96887000000135</v>
          </cell>
          <cell r="N150">
            <v>466.81787000000151</v>
          </cell>
        </row>
        <row r="151">
          <cell r="C151">
            <v>0</v>
          </cell>
          <cell r="D151" t="str">
            <v>-</v>
          </cell>
          <cell r="E151">
            <v>0</v>
          </cell>
          <cell r="F151" t="str">
            <v>-</v>
          </cell>
          <cell r="G151">
            <v>0</v>
          </cell>
          <cell r="H151" t="str">
            <v>-</v>
          </cell>
          <cell r="I151">
            <v>0</v>
          </cell>
          <cell r="J151" t="str">
            <v>-</v>
          </cell>
          <cell r="K151">
            <v>0</v>
          </cell>
          <cell r="L151" t="str">
            <v>-</v>
          </cell>
          <cell r="M151">
            <v>0</v>
          </cell>
          <cell r="N151" t="str">
            <v>-</v>
          </cell>
        </row>
        <row r="152">
          <cell r="D152">
            <v>99.61284999999998</v>
          </cell>
          <cell r="F152">
            <v>145.98686999999995</v>
          </cell>
          <cell r="H152">
            <v>197.23687000000024</v>
          </cell>
          <cell r="J152">
            <v>173.02187000000009</v>
          </cell>
          <cell r="L152">
            <v>281.23887000000133</v>
          </cell>
          <cell r="N152">
            <v>466.81787000000151</v>
          </cell>
        </row>
        <row r="153">
          <cell r="C153">
            <v>0</v>
          </cell>
          <cell r="D153" t="str">
            <v>=</v>
          </cell>
          <cell r="E153">
            <v>0</v>
          </cell>
          <cell r="F153" t="str">
            <v>=</v>
          </cell>
          <cell r="G153">
            <v>0</v>
          </cell>
          <cell r="H153" t="str">
            <v>=</v>
          </cell>
          <cell r="I153">
            <v>0</v>
          </cell>
          <cell r="J153" t="str">
            <v>=</v>
          </cell>
          <cell r="K153">
            <v>0</v>
          </cell>
          <cell r="L153" t="str">
            <v>=</v>
          </cell>
          <cell r="M153">
            <v>0</v>
          </cell>
          <cell r="N153" t="str">
            <v>=</v>
          </cell>
        </row>
        <row r="176">
          <cell r="B176" t="str">
            <v>DETAILS  FOR  CALCULATING RATIOS</v>
          </cell>
        </row>
        <row r="178">
          <cell r="B178" t="str">
            <v>-</v>
          </cell>
          <cell r="C178" t="str">
            <v>-</v>
          </cell>
          <cell r="D178" t="str">
            <v>-</v>
          </cell>
          <cell r="E178" t="str">
            <v>-</v>
          </cell>
          <cell r="F178" t="str">
            <v>-</v>
          </cell>
          <cell r="G178" t="str">
            <v>-</v>
          </cell>
          <cell r="H178" t="str">
            <v>-</v>
          </cell>
        </row>
        <row r="179">
          <cell r="B179" t="str">
            <v>PARTICULARS</v>
          </cell>
          <cell r="C179" t="str">
            <v>1997-98</v>
          </cell>
          <cell r="D179" t="str">
            <v>1998-99</v>
          </cell>
          <cell r="E179" t="str">
            <v>1999-00</v>
          </cell>
          <cell r="F179" t="str">
            <v>2000-01</v>
          </cell>
          <cell r="G179" t="str">
            <v>2001-02</v>
          </cell>
          <cell r="H179" t="str">
            <v>2002-03</v>
          </cell>
        </row>
        <row r="180">
          <cell r="B180" t="str">
            <v>-</v>
          </cell>
          <cell r="C180" t="str">
            <v>-</v>
          </cell>
          <cell r="D180" t="str">
            <v>-</v>
          </cell>
          <cell r="E180" t="str">
            <v>-</v>
          </cell>
          <cell r="F180" t="str">
            <v>-</v>
          </cell>
          <cell r="G180" t="str">
            <v>-</v>
          </cell>
          <cell r="H180" t="str">
            <v>-</v>
          </cell>
        </row>
        <row r="181">
          <cell r="B181" t="str">
            <v>Total  Share  Capital</v>
          </cell>
          <cell r="C181">
            <v>32.729999999999997</v>
          </cell>
          <cell r="D181">
            <v>35.229999999999997</v>
          </cell>
          <cell r="E181">
            <v>35.229999999999997</v>
          </cell>
          <cell r="F181">
            <v>32.729999999999997</v>
          </cell>
          <cell r="G181">
            <v>32.729999999999997</v>
          </cell>
          <cell r="H181">
            <v>50.73</v>
          </cell>
        </row>
        <row r="183">
          <cell r="B183" t="str">
            <v>Total  Dividend</v>
          </cell>
          <cell r="C183">
            <v>18</v>
          </cell>
          <cell r="D183">
            <v>16.2</v>
          </cell>
          <cell r="E183">
            <v>14.53</v>
          </cell>
          <cell r="F183">
            <v>0</v>
          </cell>
          <cell r="G183">
            <v>3.27</v>
          </cell>
          <cell r="H183">
            <v>0</v>
          </cell>
        </row>
        <row r="185">
          <cell r="B185" t="str">
            <v>Loan  Funds</v>
          </cell>
          <cell r="C185">
            <v>331.24</v>
          </cell>
          <cell r="D185">
            <v>488.45</v>
          </cell>
          <cell r="E185">
            <v>476.06</v>
          </cell>
          <cell r="F185">
            <v>184.79</v>
          </cell>
          <cell r="G185">
            <v>395.6</v>
          </cell>
          <cell r="H185">
            <v>865.99</v>
          </cell>
        </row>
        <row r="187">
          <cell r="B187" t="str">
            <v>Term  Loans</v>
          </cell>
          <cell r="C187">
            <v>199.57999999999998</v>
          </cell>
          <cell r="D187">
            <v>237.06</v>
          </cell>
          <cell r="E187">
            <v>273.65999999999997</v>
          </cell>
          <cell r="F187">
            <v>133.68</v>
          </cell>
          <cell r="G187">
            <v>349.63</v>
          </cell>
          <cell r="H187">
            <v>754.39699999999993</v>
          </cell>
        </row>
        <row r="189">
          <cell r="B189" t="str">
            <v>Unsecured  Loan</v>
          </cell>
          <cell r="C189">
            <v>18.25</v>
          </cell>
          <cell r="D189">
            <v>115.25</v>
          </cell>
          <cell r="E189">
            <v>30.5</v>
          </cell>
          <cell r="F189">
            <v>0</v>
          </cell>
          <cell r="G189">
            <v>0</v>
          </cell>
          <cell r="H189">
            <v>13.885</v>
          </cell>
        </row>
        <row r="191">
          <cell r="B191" t="str">
            <v>Working  Capital  Loan</v>
          </cell>
          <cell r="C191">
            <v>113.41</v>
          </cell>
          <cell r="D191">
            <v>136.13999999999999</v>
          </cell>
          <cell r="E191">
            <v>171.9</v>
          </cell>
          <cell r="F191">
            <v>51.11</v>
          </cell>
          <cell r="G191">
            <v>45.97</v>
          </cell>
          <cell r="H191">
            <v>95.296999999999997</v>
          </cell>
        </row>
        <row r="193">
          <cell r="B193" t="str">
            <v>Debt</v>
          </cell>
          <cell r="C193">
            <v>199.58</v>
          </cell>
          <cell r="D193">
            <v>237.06</v>
          </cell>
          <cell r="E193">
            <v>273.65999999999997</v>
          </cell>
          <cell r="F193">
            <v>133.68</v>
          </cell>
          <cell r="G193">
            <v>349.63</v>
          </cell>
          <cell r="H193">
            <v>756.80799999999999</v>
          </cell>
        </row>
        <row r="195">
          <cell r="B195" t="str">
            <v>Current  Assets:</v>
          </cell>
        </row>
        <row r="197">
          <cell r="B197" t="str">
            <v>a. Inventories</v>
          </cell>
          <cell r="C197">
            <v>45.33</v>
          </cell>
          <cell r="D197">
            <v>53.25</v>
          </cell>
          <cell r="E197">
            <v>41.57</v>
          </cell>
          <cell r="F197">
            <v>58.55</v>
          </cell>
          <cell r="G197">
            <v>130.61000000000001</v>
          </cell>
          <cell r="H197">
            <v>288.3</v>
          </cell>
        </row>
        <row r="199">
          <cell r="B199" t="str">
            <v>b. Sundry  Debtors</v>
          </cell>
          <cell r="C199">
            <v>52.62</v>
          </cell>
          <cell r="D199">
            <v>41.46</v>
          </cell>
          <cell r="E199">
            <v>105.17</v>
          </cell>
          <cell r="F199">
            <v>100.47</v>
          </cell>
          <cell r="G199">
            <v>87.53</v>
          </cell>
          <cell r="H199">
            <v>95.6</v>
          </cell>
        </row>
        <row r="201">
          <cell r="B201" t="str">
            <v>c.  Cash &amp; Bank Balances</v>
          </cell>
          <cell r="C201">
            <v>25.15</v>
          </cell>
          <cell r="D201">
            <v>37.33</v>
          </cell>
          <cell r="E201">
            <v>23.84</v>
          </cell>
          <cell r="F201">
            <v>11.56</v>
          </cell>
          <cell r="G201">
            <v>1.54</v>
          </cell>
          <cell r="H201">
            <v>2.4700000000000002</v>
          </cell>
        </row>
        <row r="203">
          <cell r="B203" t="str">
            <v>d.  Loans &amp;  Advances</v>
          </cell>
          <cell r="C203">
            <v>40.089999999999996</v>
          </cell>
          <cell r="D203">
            <v>135.42000000000002</v>
          </cell>
          <cell r="E203">
            <v>257.35000000000002</v>
          </cell>
          <cell r="F203">
            <v>61.674999999999997</v>
          </cell>
          <cell r="G203">
            <v>112.2</v>
          </cell>
          <cell r="H203">
            <v>75.19</v>
          </cell>
        </row>
        <row r="205">
          <cell r="B205" t="str">
            <v>e.  Deposits</v>
          </cell>
          <cell r="C205">
            <v>31.54</v>
          </cell>
          <cell r="D205">
            <v>31.63</v>
          </cell>
          <cell r="E205">
            <v>1.63</v>
          </cell>
          <cell r="F205">
            <v>1.645</v>
          </cell>
          <cell r="G205">
            <v>1.81</v>
          </cell>
          <cell r="H205">
            <v>106.12</v>
          </cell>
        </row>
        <row r="207">
          <cell r="B207" t="str">
            <v>f. Trade  Investments</v>
          </cell>
          <cell r="C207">
            <v>0</v>
          </cell>
          <cell r="D207">
            <v>0</v>
          </cell>
          <cell r="E207">
            <v>0</v>
          </cell>
          <cell r="F207">
            <v>0</v>
          </cell>
          <cell r="G207">
            <v>0</v>
          </cell>
          <cell r="H207">
            <v>0</v>
          </cell>
        </row>
        <row r="208">
          <cell r="C208" t="str">
            <v>-</v>
          </cell>
          <cell r="D208" t="str">
            <v>-</v>
          </cell>
          <cell r="E208" t="str">
            <v>-</v>
          </cell>
          <cell r="F208" t="str">
            <v>-</v>
          </cell>
          <cell r="G208" t="str">
            <v>-</v>
          </cell>
          <cell r="H208" t="str">
            <v>-</v>
          </cell>
        </row>
        <row r="209">
          <cell r="B209" t="str">
            <v xml:space="preserve">         Total Current  Assets</v>
          </cell>
          <cell r="C209">
            <v>194.73</v>
          </cell>
          <cell r="D209">
            <v>299.09000000000003</v>
          </cell>
          <cell r="E209">
            <v>429.56000000000006</v>
          </cell>
          <cell r="F209">
            <v>233.9</v>
          </cell>
          <cell r="G209">
            <v>333.69</v>
          </cell>
          <cell r="H209">
            <v>567.68000000000006</v>
          </cell>
        </row>
        <row r="211">
          <cell r="B211" t="str">
            <v>Current Liabilities</v>
          </cell>
          <cell r="C211">
            <v>35.5</v>
          </cell>
          <cell r="D211">
            <v>31.48</v>
          </cell>
          <cell r="E211">
            <v>33.119999999999997</v>
          </cell>
          <cell r="F211">
            <v>28.53</v>
          </cell>
          <cell r="G211">
            <v>86.375</v>
          </cell>
          <cell r="H211">
            <v>66.83</v>
          </cell>
        </row>
        <row r="212">
          <cell r="C212" t="str">
            <v>-</v>
          </cell>
          <cell r="D212" t="str">
            <v>-</v>
          </cell>
          <cell r="E212" t="str">
            <v>-</v>
          </cell>
          <cell r="F212" t="str">
            <v>-</v>
          </cell>
          <cell r="G212" t="str">
            <v>-</v>
          </cell>
          <cell r="H212" t="str">
            <v>-</v>
          </cell>
        </row>
        <row r="213">
          <cell r="B213" t="str">
            <v xml:space="preserve">         Total  Current Liabilities</v>
          </cell>
          <cell r="C213">
            <v>140.72999999999999</v>
          </cell>
          <cell r="D213">
            <v>167.61999999999998</v>
          </cell>
          <cell r="E213">
            <v>205.02</v>
          </cell>
          <cell r="F213">
            <v>79.64</v>
          </cell>
          <cell r="G213">
            <v>132.345</v>
          </cell>
          <cell r="H213">
            <v>162.12700000000001</v>
          </cell>
        </row>
        <row r="214">
          <cell r="C214" t="str">
            <v>-</v>
          </cell>
          <cell r="D214" t="str">
            <v>-</v>
          </cell>
          <cell r="E214" t="str">
            <v>-</v>
          </cell>
          <cell r="F214" t="str">
            <v>-</v>
          </cell>
          <cell r="G214" t="str">
            <v>-</v>
          </cell>
          <cell r="H214" t="str">
            <v>-</v>
          </cell>
        </row>
        <row r="215">
          <cell r="B215" t="str">
            <v xml:space="preserve">Working  Capital  </v>
          </cell>
          <cell r="C215">
            <v>54</v>
          </cell>
          <cell r="D215">
            <v>131.47000000000006</v>
          </cell>
          <cell r="E215">
            <v>224.54000000000005</v>
          </cell>
          <cell r="F215">
            <v>154.26</v>
          </cell>
          <cell r="G215">
            <v>201.345</v>
          </cell>
          <cell r="H215">
            <v>405.55300000000005</v>
          </cell>
        </row>
        <row r="217">
          <cell r="B217" t="str">
            <v>L.T. Funds</v>
          </cell>
          <cell r="C217">
            <v>389.06000000000006</v>
          </cell>
          <cell r="D217">
            <v>606.72</v>
          </cell>
          <cell r="E217">
            <v>621.48</v>
          </cell>
          <cell r="F217">
            <v>424.41999999999996</v>
          </cell>
          <cell r="G217">
            <v>749.72700000000009</v>
          </cell>
          <cell r="H217">
            <v>1689.6399999999999</v>
          </cell>
        </row>
        <row r="219">
          <cell r="B219" t="str">
            <v>Turnover</v>
          </cell>
          <cell r="C219">
            <v>1364.28</v>
          </cell>
          <cell r="D219">
            <v>1093.98</v>
          </cell>
          <cell r="E219">
            <v>2217.7800000000002</v>
          </cell>
          <cell r="F219">
            <v>2628.58</v>
          </cell>
          <cell r="G219">
            <v>3089.9</v>
          </cell>
          <cell r="H219">
            <v>4555.9579999999996</v>
          </cell>
        </row>
        <row r="221">
          <cell r="B221" t="str">
            <v>Gross  Profit</v>
          </cell>
          <cell r="C221">
            <v>255.88285000000005</v>
          </cell>
          <cell r="D221">
            <v>214.57402000000008</v>
          </cell>
          <cell r="E221">
            <v>297.62000000000046</v>
          </cell>
          <cell r="F221">
            <v>315.91999999999967</v>
          </cell>
          <cell r="G221">
            <v>431.21000000000055</v>
          </cell>
          <cell r="H221">
            <v>565.71399999999971</v>
          </cell>
        </row>
        <row r="223">
          <cell r="B223" t="str">
            <v>Net Profit for the Year</v>
          </cell>
          <cell r="C223">
            <v>99.61284999999998</v>
          </cell>
          <cell r="D223">
            <v>74.374019999999973</v>
          </cell>
          <cell r="E223">
            <v>77.450000000000273</v>
          </cell>
          <cell r="F223">
            <v>89.054999999999836</v>
          </cell>
          <cell r="G223">
            <v>121.88100000000122</v>
          </cell>
          <cell r="H223">
            <v>215.84900000000016</v>
          </cell>
        </row>
        <row r="225">
          <cell r="B225" t="str">
            <v>Interest  &amp;  Finance  Charges</v>
          </cell>
          <cell r="C225">
            <v>59.28</v>
          </cell>
          <cell r="D225">
            <v>47.3</v>
          </cell>
          <cell r="E225">
            <v>72.25</v>
          </cell>
          <cell r="F225">
            <v>52.72</v>
          </cell>
          <cell r="G225">
            <v>44.89</v>
          </cell>
          <cell r="H225">
            <v>66.126000000000005</v>
          </cell>
        </row>
        <row r="227">
          <cell r="B227" t="str">
            <v>PBIT</v>
          </cell>
          <cell r="C227">
            <v>158.89284999999998</v>
          </cell>
          <cell r="D227">
            <v>121.67401999999997</v>
          </cell>
          <cell r="E227">
            <v>149.70000000000027</v>
          </cell>
          <cell r="F227">
            <v>141.77499999999984</v>
          </cell>
          <cell r="G227">
            <v>166.77100000000121</v>
          </cell>
          <cell r="H227">
            <v>281.97500000000014</v>
          </cell>
        </row>
        <row r="229">
          <cell r="B229" t="str">
            <v xml:space="preserve">F.G.Inventory </v>
          </cell>
          <cell r="C229">
            <v>0</v>
          </cell>
          <cell r="D229">
            <v>0</v>
          </cell>
          <cell r="E229">
            <v>0</v>
          </cell>
          <cell r="F229">
            <v>0</v>
          </cell>
          <cell r="G229">
            <v>0</v>
          </cell>
          <cell r="H229">
            <v>0</v>
          </cell>
        </row>
        <row r="231">
          <cell r="B231" t="str">
            <v>R.M.Inventory</v>
          </cell>
          <cell r="C231">
            <v>0</v>
          </cell>
          <cell r="D231">
            <v>0</v>
          </cell>
          <cell r="E231">
            <v>0</v>
          </cell>
          <cell r="F231">
            <v>0</v>
          </cell>
          <cell r="G231">
            <v>0</v>
          </cell>
          <cell r="H231">
            <v>0</v>
          </cell>
        </row>
        <row r="232">
          <cell r="B232" t="str">
            <v>=</v>
          </cell>
          <cell r="C232" t="str">
            <v>=</v>
          </cell>
          <cell r="D232" t="str">
            <v>=</v>
          </cell>
          <cell r="E232" t="str">
            <v>=</v>
          </cell>
          <cell r="F232" t="str">
            <v>=</v>
          </cell>
          <cell r="G232" t="str">
            <v>=</v>
          </cell>
          <cell r="H232" t="str">
            <v>=</v>
          </cell>
        </row>
        <row r="236">
          <cell r="B236" t="str">
            <v>CALCULATION  OF  VARIOUS  RATIOS</v>
          </cell>
        </row>
        <row r="237">
          <cell r="H237" t="str">
            <v>(RS.IN LACS)</v>
          </cell>
        </row>
        <row r="238">
          <cell r="B238" t="str">
            <v>-</v>
          </cell>
          <cell r="C238" t="str">
            <v>-</v>
          </cell>
          <cell r="D238" t="str">
            <v>-</v>
          </cell>
          <cell r="E238" t="str">
            <v>-</v>
          </cell>
          <cell r="F238" t="str">
            <v>-</v>
          </cell>
          <cell r="G238" t="str">
            <v>-</v>
          </cell>
          <cell r="H238" t="str">
            <v>-</v>
          </cell>
        </row>
        <row r="239">
          <cell r="B239" t="str">
            <v>PARTICULARS</v>
          </cell>
          <cell r="C239" t="str">
            <v>1997-98</v>
          </cell>
          <cell r="D239" t="str">
            <v>1998-99</v>
          </cell>
          <cell r="E239" t="str">
            <v>1999-00</v>
          </cell>
          <cell r="F239" t="str">
            <v>2000-01</v>
          </cell>
          <cell r="G239" t="str">
            <v>2001-02</v>
          </cell>
          <cell r="H239" t="str">
            <v>2002-03</v>
          </cell>
        </row>
        <row r="240">
          <cell r="B240" t="str">
            <v>-</v>
          </cell>
          <cell r="C240" t="str">
            <v>-</v>
          </cell>
          <cell r="D240" t="str">
            <v>-</v>
          </cell>
          <cell r="E240" t="str">
            <v>-</v>
          </cell>
          <cell r="F240" t="str">
            <v>-</v>
          </cell>
          <cell r="G240" t="str">
            <v>-</v>
          </cell>
          <cell r="H240" t="str">
            <v>-</v>
          </cell>
        </row>
        <row r="241">
          <cell r="B241" t="str">
            <v>NET PROFIT AFTER TAX</v>
          </cell>
          <cell r="C241">
            <v>99.61284999999998</v>
          </cell>
          <cell r="D241">
            <v>74.374019999999973</v>
          </cell>
          <cell r="E241">
            <v>77.450000000000273</v>
          </cell>
          <cell r="F241">
            <v>2.3149999999998414</v>
          </cell>
          <cell r="G241">
            <v>112.63100000000122</v>
          </cell>
          <cell r="H241">
            <v>198.84900000000016</v>
          </cell>
        </row>
        <row r="243">
          <cell r="B243" t="str">
            <v>CASH PROFIT</v>
          </cell>
          <cell r="C243">
            <v>115.60284999999998</v>
          </cell>
          <cell r="D243">
            <v>91.824019999999976</v>
          </cell>
          <cell r="E243">
            <v>101.41000000000028</v>
          </cell>
          <cell r="F243">
            <v>49.349999999999838</v>
          </cell>
          <cell r="G243">
            <v>186.84000000000123</v>
          </cell>
          <cell r="H243">
            <v>258.84900000000016</v>
          </cell>
        </row>
        <row r="245">
          <cell r="B245" t="str">
            <v>CASH PROFIT RATIO</v>
          </cell>
          <cell r="C245">
            <v>8.3800543675244636</v>
          </cell>
          <cell r="D245">
            <v>8.3006264520036499</v>
          </cell>
          <cell r="E245">
            <v>4.56341349269207</v>
          </cell>
          <cell r="F245">
            <v>1.8709836407408049</v>
          </cell>
          <cell r="G245">
            <v>6.0051875255118006</v>
          </cell>
          <cell r="H245">
            <v>5.4303754368600279</v>
          </cell>
        </row>
        <row r="247">
          <cell r="B247" t="str">
            <v>EQUITY SHARE CAPITAL</v>
          </cell>
          <cell r="C247">
            <v>32.729999999999997</v>
          </cell>
          <cell r="D247">
            <v>32.729999999999997</v>
          </cell>
          <cell r="E247">
            <v>32.729999999999997</v>
          </cell>
          <cell r="F247">
            <v>32.729999999999997</v>
          </cell>
          <cell r="G247">
            <v>32.729999999999997</v>
          </cell>
          <cell r="H247">
            <v>32.729999999999997</v>
          </cell>
        </row>
        <row r="249">
          <cell r="B249" t="str">
            <v>PREFERENCE SHARE CAPITAL</v>
          </cell>
          <cell r="C249">
            <v>0</v>
          </cell>
          <cell r="D249">
            <v>2.5</v>
          </cell>
          <cell r="E249">
            <v>2.5</v>
          </cell>
          <cell r="H249">
            <v>18</v>
          </cell>
        </row>
        <row r="251">
          <cell r="B251" t="str">
            <v>RESERVES &amp; SURPLUS</v>
          </cell>
          <cell r="C251">
            <v>138.5</v>
          </cell>
          <cell r="D251">
            <v>219.18</v>
          </cell>
          <cell r="E251">
            <v>282.08999999999997</v>
          </cell>
          <cell r="F251">
            <v>258.01</v>
          </cell>
          <cell r="G251">
            <v>367.36700000000002</v>
          </cell>
          <cell r="H251">
            <v>868.21699999999998</v>
          </cell>
        </row>
        <row r="253">
          <cell r="B253" t="str">
            <v>NET  WORTH</v>
          </cell>
          <cell r="C253">
            <v>171.23</v>
          </cell>
          <cell r="D253">
            <v>254.41</v>
          </cell>
          <cell r="E253">
            <v>317.32</v>
          </cell>
          <cell r="F253">
            <v>290.74</v>
          </cell>
          <cell r="G253">
            <v>400.09700000000004</v>
          </cell>
          <cell r="H253">
            <v>918.947</v>
          </cell>
        </row>
        <row r="255">
          <cell r="B255" t="str">
            <v>UNSECURED  LOAN</v>
          </cell>
          <cell r="C255">
            <v>18.25</v>
          </cell>
          <cell r="D255">
            <v>115.25</v>
          </cell>
          <cell r="E255">
            <v>30.5</v>
          </cell>
          <cell r="F255">
            <v>0</v>
          </cell>
          <cell r="G255">
            <v>0</v>
          </cell>
          <cell r="H255">
            <v>13.885</v>
          </cell>
        </row>
        <row r="257">
          <cell r="B257" t="str">
            <v>TERM LOANS</v>
          </cell>
          <cell r="C257">
            <v>199.57999999999998</v>
          </cell>
          <cell r="D257">
            <v>237.06</v>
          </cell>
          <cell r="E257">
            <v>273.65999999999997</v>
          </cell>
          <cell r="F257">
            <v>133.68</v>
          </cell>
          <cell r="G257">
            <v>349.63</v>
          </cell>
          <cell r="H257">
            <v>754.39699999999993</v>
          </cell>
        </row>
        <row r="259">
          <cell r="B259" t="str">
            <v>EQUITY SHARES OF Rs.10 EACH</v>
          </cell>
          <cell r="C259">
            <v>327299.99999999994</v>
          </cell>
          <cell r="D259">
            <v>327299.99999999994</v>
          </cell>
          <cell r="E259">
            <v>327299.99999999994</v>
          </cell>
          <cell r="F259">
            <v>327299.99999999994</v>
          </cell>
          <cell r="G259">
            <v>327299.99999999994</v>
          </cell>
          <cell r="H259">
            <v>327299.99999999994</v>
          </cell>
        </row>
        <row r="261">
          <cell r="B261" t="str">
            <v>EPS</v>
          </cell>
          <cell r="C261">
            <v>30.434723495264286</v>
          </cell>
          <cell r="D261">
            <v>22.723501374885423</v>
          </cell>
          <cell r="E261">
            <v>23.663305835624897</v>
          </cell>
          <cell r="F261">
            <v>0.7073021692636241</v>
          </cell>
          <cell r="G261">
            <v>34.412160097770006</v>
          </cell>
          <cell r="H261">
            <v>60.754353803849746</v>
          </cell>
        </row>
        <row r="263">
          <cell r="B263" t="str">
            <v>CASH  EPS</v>
          </cell>
          <cell r="C263">
            <v>35.32014970974641</v>
          </cell>
          <cell r="D263">
            <v>28.055001527650468</v>
          </cell>
          <cell r="E263">
            <v>30.983806904980234</v>
          </cell>
          <cell r="F263">
            <v>15.077910174152107</v>
          </cell>
          <cell r="G263">
            <v>57.085242896425683</v>
          </cell>
          <cell r="H263">
            <v>79.086159486709505</v>
          </cell>
        </row>
        <row r="265">
          <cell r="B265" t="str">
            <v>DIVIDEND %</v>
          </cell>
          <cell r="C265">
            <v>0.54995417048579287</v>
          </cell>
          <cell r="D265">
            <v>0.4598353675844451</v>
          </cell>
          <cell r="E265">
            <v>0.41243258586432019</v>
          </cell>
          <cell r="F265">
            <v>0</v>
          </cell>
          <cell r="G265">
            <v>9.9908340971585713E-2</v>
          </cell>
          <cell r="H265">
            <v>0</v>
          </cell>
        </row>
        <row r="267">
          <cell r="B267" t="str">
            <v>NET  WORTH</v>
          </cell>
          <cell r="C267">
            <v>171.23</v>
          </cell>
          <cell r="D267">
            <v>254.41</v>
          </cell>
          <cell r="E267">
            <v>317.32</v>
          </cell>
          <cell r="F267">
            <v>290.74</v>
          </cell>
          <cell r="G267">
            <v>400.09700000000004</v>
          </cell>
          <cell r="H267">
            <v>918.947</v>
          </cell>
        </row>
        <row r="269">
          <cell r="B269" t="str">
            <v>BOOK VALUE PER SHARE</v>
          </cell>
          <cell r="C269">
            <v>52.315918117934622</v>
          </cell>
          <cell r="D269">
            <v>77.729911396272556</v>
          </cell>
          <cell r="E269">
            <v>96.950809654751012</v>
          </cell>
          <cell r="F269">
            <v>88.829819737244136</v>
          </cell>
          <cell r="G269">
            <v>122.24167430491906</v>
          </cell>
          <cell r="H269">
            <v>280.76596394744888</v>
          </cell>
        </row>
        <row r="271">
          <cell r="B271" t="str">
            <v>DEBT -EQUITY RATIO</v>
          </cell>
          <cell r="C271">
            <v>1.0533037787629302</v>
          </cell>
          <cell r="D271">
            <v>0.64129199805226433</v>
          </cell>
          <cell r="E271">
            <v>0.78678626875970326</v>
          </cell>
          <cell r="F271">
            <v>0.45979225424778153</v>
          </cell>
          <cell r="G271">
            <v>0.87386308820111114</v>
          </cell>
          <cell r="H271">
            <v>0.81130149909094029</v>
          </cell>
        </row>
        <row r="273">
          <cell r="B273" t="str">
            <v>CURRENT  RATIO</v>
          </cell>
          <cell r="C273">
            <v>1.3837134939245364</v>
          </cell>
          <cell r="D273">
            <v>1.7843336117408428</v>
          </cell>
          <cell r="E273">
            <v>2.09521022339284</v>
          </cell>
          <cell r="F273">
            <v>2.9369663485685584</v>
          </cell>
          <cell r="G273">
            <v>2.521364615210246</v>
          </cell>
          <cell r="H273">
            <v>3.5014525649645032</v>
          </cell>
        </row>
        <row r="275">
          <cell r="B275" t="str">
            <v>LIQUID  RATIO</v>
          </cell>
          <cell r="C275">
            <v>1.0616073331912173</v>
          </cell>
          <cell r="D275">
            <v>1.4666507576661501</v>
          </cell>
          <cell r="E275">
            <v>1.8924495171202811</v>
          </cell>
          <cell r="F275">
            <v>2.2017830236062284</v>
          </cell>
          <cell r="G275">
            <v>1.5344742906796629</v>
          </cell>
          <cell r="H275">
            <v>1.7232169842160778</v>
          </cell>
        </row>
        <row r="276">
          <cell r="B276" t="str">
            <v>=</v>
          </cell>
          <cell r="C276" t="str">
            <v>=</v>
          </cell>
          <cell r="D276" t="str">
            <v>=</v>
          </cell>
          <cell r="E276" t="str">
            <v>=</v>
          </cell>
          <cell r="F276" t="str">
            <v>=</v>
          </cell>
          <cell r="G276" t="str">
            <v>=</v>
          </cell>
          <cell r="H276" t="str">
            <v>=</v>
          </cell>
        </row>
        <row r="278">
          <cell r="H278" t="str">
            <v>(RS.IN LACS)</v>
          </cell>
        </row>
        <row r="279">
          <cell r="B279" t="str">
            <v>-</v>
          </cell>
          <cell r="C279" t="str">
            <v>-</v>
          </cell>
          <cell r="D279" t="str">
            <v>-</v>
          </cell>
          <cell r="E279" t="str">
            <v>-</v>
          </cell>
          <cell r="F279" t="str">
            <v>-</v>
          </cell>
          <cell r="G279" t="str">
            <v>-</v>
          </cell>
          <cell r="H279" t="str">
            <v>-</v>
          </cell>
        </row>
        <row r="280">
          <cell r="B280" t="str">
            <v>PARTICULARS</v>
          </cell>
          <cell r="C280" t="str">
            <v>1997-98</v>
          </cell>
          <cell r="D280" t="str">
            <v>1998-99</v>
          </cell>
          <cell r="E280" t="str">
            <v>1999-00</v>
          </cell>
          <cell r="F280" t="str">
            <v>2000-01</v>
          </cell>
          <cell r="G280" t="str">
            <v>2001-02</v>
          </cell>
          <cell r="H280" t="str">
            <v>2002-03</v>
          </cell>
        </row>
        <row r="281">
          <cell r="B281" t="str">
            <v>-</v>
          </cell>
          <cell r="C281" t="str">
            <v>-</v>
          </cell>
          <cell r="D281" t="str">
            <v>-</v>
          </cell>
          <cell r="E281" t="str">
            <v>-</v>
          </cell>
          <cell r="F281" t="str">
            <v>-</v>
          </cell>
          <cell r="G281" t="str">
            <v>-</v>
          </cell>
          <cell r="H281" t="str">
            <v>-</v>
          </cell>
        </row>
        <row r="282">
          <cell r="B282" t="str">
            <v>FIXED  ASSETS/ L.T.FUNDS</v>
          </cell>
          <cell r="C282">
            <v>0.76787642008944623</v>
          </cell>
          <cell r="D282">
            <v>0.69035139767932485</v>
          </cell>
          <cell r="E282">
            <v>0.63807363068803502</v>
          </cell>
          <cell r="F282">
            <v>0.63562037604259936</v>
          </cell>
          <cell r="G282">
            <v>0.73089271161369396</v>
          </cell>
          <cell r="H282">
            <v>0.65758623138656769</v>
          </cell>
        </row>
        <row r="284">
          <cell r="B284" t="str">
            <v>RETURN  ON NET  WORTH</v>
          </cell>
          <cell r="D284">
            <v>0.34946912884127418</v>
          </cell>
          <cell r="E284">
            <v>0.27093208332604646</v>
          </cell>
          <cell r="F284">
            <v>7.614380159852125E-3</v>
          </cell>
          <cell r="G284">
            <v>0.32607112821114453</v>
          </cell>
          <cell r="H284">
            <v>0.30150472615015139</v>
          </cell>
        </row>
        <row r="286">
          <cell r="B286" t="str">
            <v>RETURN ON  CAPITAL</v>
          </cell>
          <cell r="C286">
            <v>3.0434723495264282</v>
          </cell>
          <cell r="D286">
            <v>2.1110990632983246</v>
          </cell>
          <cell r="E286">
            <v>2.1984104456429261</v>
          </cell>
          <cell r="F286">
            <v>7.0730216926362402E-2</v>
          </cell>
          <cell r="G286">
            <v>3.4412160097770008</v>
          </cell>
          <cell r="H286">
            <v>3.9197516262566561</v>
          </cell>
        </row>
        <row r="288">
          <cell r="B288" t="str">
            <v>GROSS  PROFIT  RATIO</v>
          </cell>
          <cell r="C288">
            <v>0.18755889553464103</v>
          </cell>
          <cell r="D288">
            <v>0.19614071555238677</v>
          </cell>
          <cell r="E288">
            <v>0.13419726032338664</v>
          </cell>
          <cell r="F288">
            <v>0.12018656460902832</v>
          </cell>
          <cell r="G288">
            <v>0.13955467814492395</v>
          </cell>
          <cell r="H288">
            <v>0.12417015257822828</v>
          </cell>
        </row>
        <row r="290">
          <cell r="B290" t="str">
            <v>NET  PROFIT  RATIO</v>
          </cell>
          <cell r="C290">
            <v>7.30149602720849E-2</v>
          </cell>
          <cell r="D290">
            <v>6.79848077661383E-2</v>
          </cell>
          <cell r="E290">
            <v>3.492230969708459E-2</v>
          </cell>
          <cell r="F290">
            <v>8.8070364987934222E-4</v>
          </cell>
          <cell r="G290">
            <v>3.64513414673618E-2</v>
          </cell>
          <cell r="H290">
            <v>4.3645924742941038E-2</v>
          </cell>
        </row>
        <row r="292">
          <cell r="B292" t="str">
            <v>CAPITAL  TURNOVER RATIO</v>
          </cell>
          <cell r="C292">
            <v>41.68285976168653</v>
          </cell>
          <cell r="D292">
            <v>31.052512063582178</v>
          </cell>
          <cell r="E292">
            <v>62.951461822310542</v>
          </cell>
          <cell r="F292">
            <v>80.311029636419192</v>
          </cell>
          <cell r="G292">
            <v>94.405743965780644</v>
          </cell>
          <cell r="H292">
            <v>89.80796372954859</v>
          </cell>
        </row>
        <row r="294">
          <cell r="B294" t="str">
            <v>WORKING  CAP.  TURNOVER</v>
          </cell>
          <cell r="C294">
            <v>25.264444444444443</v>
          </cell>
          <cell r="D294">
            <v>8.3211379021830041</v>
          </cell>
          <cell r="E294">
            <v>9.8769929633918228</v>
          </cell>
          <cell r="F294">
            <v>17.039932581356151</v>
          </cell>
          <cell r="G294">
            <v>15.346296158335196</v>
          </cell>
          <cell r="H294">
            <v>11.233939830305777</v>
          </cell>
        </row>
        <row r="296">
          <cell r="B296" t="str">
            <v>ASSET COVERAGE RATIO</v>
          </cell>
          <cell r="C296">
            <v>1.4968934763002306</v>
          </cell>
          <cell r="D296">
            <v>1.7668522736859869</v>
          </cell>
          <cell r="E296">
            <v>1.4490608784623258</v>
          </cell>
          <cell r="F296">
            <v>2.0180281268701372</v>
          </cell>
          <cell r="G296">
            <v>1.567285416011212</v>
          </cell>
          <cell r="H296">
            <v>1.4728107349313426</v>
          </cell>
        </row>
        <row r="298">
          <cell r="B298" t="str">
            <v>RAW  MATERIAL  TURNOVER</v>
          </cell>
          <cell r="C298" t="e">
            <v>#DIV/0!</v>
          </cell>
          <cell r="D298" t="e">
            <v>#DIV/0!</v>
          </cell>
          <cell r="E298" t="e">
            <v>#DIV/0!</v>
          </cell>
          <cell r="F298" t="e">
            <v>#DIV/0!</v>
          </cell>
          <cell r="G298" t="e">
            <v>#DIV/0!</v>
          </cell>
          <cell r="H298" t="e">
            <v>#DIV/0!</v>
          </cell>
        </row>
        <row r="300">
          <cell r="B300" t="str">
            <v>INT./PBIT (%)</v>
          </cell>
          <cell r="C300">
            <v>0.37308160814032859</v>
          </cell>
          <cell r="D300">
            <v>0.3887436282618098</v>
          </cell>
          <cell r="E300">
            <v>0.48263193052772124</v>
          </cell>
          <cell r="F300">
            <v>0.37185681537647725</v>
          </cell>
          <cell r="G300">
            <v>0.26917149864184825</v>
          </cell>
          <cell r="H300">
            <v>0.23451015160918512</v>
          </cell>
        </row>
        <row r="301">
          <cell r="B301" t="str">
            <v>=</v>
          </cell>
          <cell r="C301" t="str">
            <v>=</v>
          </cell>
          <cell r="D301" t="str">
            <v>=</v>
          </cell>
          <cell r="E301" t="str">
            <v>=</v>
          </cell>
          <cell r="F301" t="str">
            <v>=</v>
          </cell>
          <cell r="G301" t="str">
            <v>=</v>
          </cell>
          <cell r="H301" t="str">
            <v>=</v>
          </cell>
        </row>
        <row r="332">
          <cell r="B332" t="str">
            <v>-</v>
          </cell>
          <cell r="C332" t="str">
            <v>-</v>
          </cell>
          <cell r="D332" t="str">
            <v>-</v>
          </cell>
          <cell r="E332" t="str">
            <v>-</v>
          </cell>
          <cell r="F332" t="str">
            <v>-</v>
          </cell>
          <cell r="G332" t="str">
            <v>-</v>
          </cell>
          <cell r="H332" t="str">
            <v>-</v>
          </cell>
        </row>
        <row r="333">
          <cell r="B333" t="str">
            <v>PARTICULARS</v>
          </cell>
          <cell r="C333" t="str">
            <v>1997-98</v>
          </cell>
          <cell r="D333" t="str">
            <v>1998-99</v>
          </cell>
          <cell r="E333" t="str">
            <v>1999-00</v>
          </cell>
          <cell r="F333" t="str">
            <v>2000-01</v>
          </cell>
          <cell r="G333" t="str">
            <v>2001-02</v>
          </cell>
          <cell r="H333" t="str">
            <v>2002-03</v>
          </cell>
        </row>
        <row r="334">
          <cell r="B334" t="str">
            <v>-</v>
          </cell>
          <cell r="C334" t="str">
            <v>-</v>
          </cell>
          <cell r="D334" t="str">
            <v>-</v>
          </cell>
          <cell r="E334" t="str">
            <v>-</v>
          </cell>
          <cell r="F334" t="str">
            <v>-</v>
          </cell>
          <cell r="G334" t="str">
            <v>-</v>
          </cell>
          <cell r="H334" t="str">
            <v>-</v>
          </cell>
        </row>
        <row r="335">
          <cell r="B335" t="str">
            <v>GROSS REVENUE</v>
          </cell>
          <cell r="C335">
            <v>1379.5</v>
          </cell>
          <cell r="D335">
            <v>1106.23</v>
          </cell>
          <cell r="E335">
            <v>2222.2400000000002</v>
          </cell>
          <cell r="F335">
            <v>2637.6499999999996</v>
          </cell>
          <cell r="G335">
            <v>3111.3100000000004</v>
          </cell>
          <cell r="H335">
            <v>4766.6869999999999</v>
          </cell>
        </row>
        <row r="337">
          <cell r="B337" t="str">
            <v>GROWTH IN QUANTITY</v>
          </cell>
        </row>
        <row r="338">
          <cell r="B338" t="str">
            <v>GROWTH   IN  %</v>
          </cell>
          <cell r="C338" t="e">
            <v>#REF!</v>
          </cell>
          <cell r="D338">
            <v>-0.19809351214208046</v>
          </cell>
          <cell r="E338">
            <v>1.0088408378004576</v>
          </cell>
          <cell r="F338">
            <v>0.18693300453596343</v>
          </cell>
          <cell r="G338">
            <v>0.17957651697533822</v>
          </cell>
          <cell r="H338">
            <v>0.5320514509965254</v>
          </cell>
        </row>
        <row r="340">
          <cell r="B340" t="str">
            <v>PROFIT BEFORE TAX</v>
          </cell>
          <cell r="C340">
            <v>99.61284999999998</v>
          </cell>
          <cell r="D340">
            <v>74.374019999999973</v>
          </cell>
          <cell r="E340">
            <v>77.450000000000273</v>
          </cell>
          <cell r="F340">
            <v>89.054999999999836</v>
          </cell>
          <cell r="G340">
            <v>121.88100000000122</v>
          </cell>
          <cell r="H340">
            <v>215.84900000000016</v>
          </cell>
        </row>
        <row r="342">
          <cell r="B342" t="str">
            <v>GROWTH   IN  %</v>
          </cell>
          <cell r="D342">
            <v>-0.25336921893109182</v>
          </cell>
          <cell r="E342">
            <v>4.1358259241604807E-2</v>
          </cell>
          <cell r="F342">
            <v>0.14983860555196285</v>
          </cell>
          <cell r="G342">
            <v>0.36860367188817522</v>
          </cell>
          <cell r="H342">
            <v>0.77098153116562873</v>
          </cell>
        </row>
        <row r="344">
          <cell r="B344" t="str">
            <v>PROFIT AFTER TAX</v>
          </cell>
          <cell r="C344">
            <v>99.61284999999998</v>
          </cell>
          <cell r="D344">
            <v>74.374019999999973</v>
          </cell>
          <cell r="E344">
            <v>77.450000000000273</v>
          </cell>
          <cell r="F344">
            <v>2.3149999999998414</v>
          </cell>
          <cell r="G344">
            <v>112.63100000000122</v>
          </cell>
          <cell r="H344">
            <v>198.84900000000016</v>
          </cell>
        </row>
        <row r="346">
          <cell r="B346" t="str">
            <v>DIVIDEND (%)</v>
          </cell>
          <cell r="C346">
            <v>0.54995417048579287</v>
          </cell>
          <cell r="D346">
            <v>0.4598353675844451</v>
          </cell>
          <cell r="E346">
            <v>0.41243258586432019</v>
          </cell>
          <cell r="F346">
            <v>0</v>
          </cell>
          <cell r="G346">
            <v>9.9908340971585713E-2</v>
          </cell>
          <cell r="H346">
            <v>0</v>
          </cell>
        </row>
        <row r="348">
          <cell r="B348" t="str">
            <v>SHARE CAPITAL</v>
          </cell>
          <cell r="C348">
            <v>32.729999999999997</v>
          </cell>
          <cell r="D348">
            <v>35.229999999999997</v>
          </cell>
          <cell r="E348">
            <v>35.229999999999997</v>
          </cell>
          <cell r="F348">
            <v>32.729999999999997</v>
          </cell>
          <cell r="G348">
            <v>32.729999999999997</v>
          </cell>
          <cell r="H348">
            <v>50.73</v>
          </cell>
        </row>
        <row r="350">
          <cell r="B350" t="str">
            <v>RESERVES</v>
          </cell>
          <cell r="C350">
            <v>138.5</v>
          </cell>
          <cell r="D350">
            <v>219.18</v>
          </cell>
          <cell r="E350">
            <v>282.08999999999997</v>
          </cell>
          <cell r="F350">
            <v>258.01</v>
          </cell>
          <cell r="G350">
            <v>367.36700000000002</v>
          </cell>
          <cell r="H350">
            <v>868.21699999999998</v>
          </cell>
        </row>
        <row r="352">
          <cell r="B352" t="str">
            <v>BORROWINGS</v>
          </cell>
          <cell r="C352">
            <v>312.99</v>
          </cell>
          <cell r="D352">
            <v>373.2</v>
          </cell>
          <cell r="E352">
            <v>445.56</v>
          </cell>
          <cell r="F352">
            <v>184.79</v>
          </cell>
          <cell r="G352">
            <v>395.6</v>
          </cell>
          <cell r="H352">
            <v>852.10500000000002</v>
          </cell>
        </row>
        <row r="354">
          <cell r="B354" t="str">
            <v>CAPITAL EMPLOYED</v>
          </cell>
          <cell r="C354">
            <v>502.47</v>
          </cell>
          <cell r="D354">
            <v>742.86</v>
          </cell>
          <cell r="E354">
            <v>793.38</v>
          </cell>
          <cell r="F354">
            <v>475.53</v>
          </cell>
          <cell r="G354">
            <v>795.69700000000012</v>
          </cell>
          <cell r="H354">
            <v>1784.9369999999999</v>
          </cell>
        </row>
        <row r="356">
          <cell r="B356" t="str">
            <v>NET WORTH</v>
          </cell>
          <cell r="C356">
            <v>171.23</v>
          </cell>
          <cell r="D356">
            <v>254.41</v>
          </cell>
          <cell r="E356">
            <v>317.32</v>
          </cell>
          <cell r="F356">
            <v>290.74</v>
          </cell>
          <cell r="G356">
            <v>400.09700000000004</v>
          </cell>
          <cell r="H356">
            <v>918.947</v>
          </cell>
        </row>
        <row r="358">
          <cell r="B358" t="str">
            <v>GROSS BLOCK</v>
          </cell>
          <cell r="C358">
            <v>314.74</v>
          </cell>
          <cell r="D358">
            <v>452.29</v>
          </cell>
          <cell r="E358">
            <v>453.95</v>
          </cell>
          <cell r="F358">
            <v>460.74</v>
          </cell>
          <cell r="G358">
            <v>813.14</v>
          </cell>
          <cell r="H358">
            <v>1436.258</v>
          </cell>
        </row>
        <row r="360">
          <cell r="B360" t="str">
            <v>NET BLOCK</v>
          </cell>
          <cell r="C360">
            <v>298.75</v>
          </cell>
          <cell r="D360">
            <v>418.85</v>
          </cell>
          <cell r="E360">
            <v>396.55</v>
          </cell>
          <cell r="F360">
            <v>269.77</v>
          </cell>
          <cell r="G360">
            <v>547.97</v>
          </cell>
          <cell r="H360">
            <v>1111.0840000000001</v>
          </cell>
        </row>
        <row r="361">
          <cell r="B361">
            <v>0</v>
          </cell>
        </row>
        <row r="362">
          <cell r="B362" t="str">
            <v>DEBT-EQUITY RATIO</v>
          </cell>
          <cell r="C362">
            <v>1.1655667815219297</v>
          </cell>
          <cell r="D362">
            <v>0.93180299516528442</v>
          </cell>
          <cell r="E362">
            <v>0.86241018530190339</v>
          </cell>
          <cell r="F362">
            <v>0.45979225424778153</v>
          </cell>
          <cell r="G362">
            <v>0.87386308820111114</v>
          </cell>
          <cell r="H362">
            <v>0.82356000944559371</v>
          </cell>
        </row>
        <row r="364">
          <cell r="B364" t="str">
            <v>NUMBER OF SHARES</v>
          </cell>
          <cell r="C364">
            <v>327299.99999999994</v>
          </cell>
          <cell r="D364">
            <v>327299.99999999994</v>
          </cell>
          <cell r="E364">
            <v>327299.99999999994</v>
          </cell>
          <cell r="F364">
            <v>327299.99999999994</v>
          </cell>
          <cell r="G364">
            <v>327299.99999999994</v>
          </cell>
          <cell r="H364">
            <v>327299.99999999994</v>
          </cell>
        </row>
        <row r="366">
          <cell r="B366" t="str">
            <v>BOOK VALUE PER SHARE AT YEAR END</v>
          </cell>
          <cell r="C366">
            <v>52.315918117934622</v>
          </cell>
          <cell r="D366">
            <v>77.729911396272556</v>
          </cell>
          <cell r="E366">
            <v>96.950809654751012</v>
          </cell>
          <cell r="F366">
            <v>88.829819737244136</v>
          </cell>
          <cell r="G366">
            <v>122.24167430491906</v>
          </cell>
          <cell r="H366">
            <v>280.76596394744888</v>
          </cell>
        </row>
        <row r="368">
          <cell r="B368" t="str">
            <v>EARNINGS PER SHARE</v>
          </cell>
          <cell r="C368">
            <v>30.434723495264286</v>
          </cell>
          <cell r="D368">
            <v>22.723501374885423</v>
          </cell>
          <cell r="E368">
            <v>23.663305835624897</v>
          </cell>
          <cell r="F368">
            <v>0.7073021692636241</v>
          </cell>
          <cell r="G368">
            <v>34.412160097770006</v>
          </cell>
          <cell r="H368">
            <v>60.754353803849746</v>
          </cell>
        </row>
        <row r="370">
          <cell r="B370" t="str">
            <v>NET SALES PER SHARE</v>
          </cell>
          <cell r="C370">
            <v>416.82859761686535</v>
          </cell>
          <cell r="D370">
            <v>0</v>
          </cell>
          <cell r="E370">
            <v>334.24381301558213</v>
          </cell>
          <cell r="F370">
            <v>0</v>
          </cell>
          <cell r="G370">
            <v>677.59853345554552</v>
          </cell>
          <cell r="H370">
            <v>0</v>
          </cell>
        </row>
        <row r="372">
          <cell r="B372" t="str">
            <v>DIVIDEND PER SHARE</v>
          </cell>
          <cell r="C372">
            <v>5.49954170485793</v>
          </cell>
          <cell r="D372">
            <v>0.14049354341107398</v>
          </cell>
          <cell r="E372">
            <v>4.9495875343721361</v>
          </cell>
          <cell r="F372">
            <v>0.12601056702240154</v>
          </cell>
          <cell r="G372">
            <v>4.4393522761992061</v>
          </cell>
          <cell r="H372">
            <v>0</v>
          </cell>
        </row>
        <row r="374">
          <cell r="B374" t="str">
            <v>PAY-OUT RATIO</v>
          </cell>
          <cell r="C374">
            <v>0.18069957841784473</v>
          </cell>
          <cell r="D374">
            <v>0.21781799612283972</v>
          </cell>
          <cell r="E374">
            <v>0.18760490639121946</v>
          </cell>
          <cell r="F374">
            <v>0</v>
          </cell>
          <cell r="G374">
            <v>2.9032859514698126E-2</v>
          </cell>
          <cell r="H374">
            <v>0</v>
          </cell>
        </row>
        <row r="376">
          <cell r="B376" t="str">
            <v>CURRENT RATIO</v>
          </cell>
          <cell r="C376">
            <v>1.3837134939245364</v>
          </cell>
          <cell r="D376">
            <v>1.7843336117408428</v>
          </cell>
          <cell r="E376">
            <v>2.09521022339284</v>
          </cell>
          <cell r="F376">
            <v>2.9369663485685584</v>
          </cell>
          <cell r="G376">
            <v>2.521364615210246</v>
          </cell>
          <cell r="H376">
            <v>3.5014525649645032</v>
          </cell>
        </row>
        <row r="378">
          <cell r="B378" t="str">
            <v>LIQUID RATIO</v>
          </cell>
          <cell r="C378">
            <v>1.0616073331912173</v>
          </cell>
          <cell r="D378">
            <v>1.4666507576661501</v>
          </cell>
          <cell r="E378">
            <v>1.8924495171202811</v>
          </cell>
          <cell r="F378">
            <v>2.2017830236062284</v>
          </cell>
          <cell r="G378">
            <v>1.5344742906796629</v>
          </cell>
          <cell r="H378">
            <v>1.7232169842160778</v>
          </cell>
        </row>
        <row r="379">
          <cell r="B379" t="str">
            <v>EVA (ECONOMIC VALUE ADDITION)</v>
          </cell>
          <cell r="C379" t="e">
            <v>#REF!</v>
          </cell>
          <cell r="D379" t="e">
            <v>#REF!</v>
          </cell>
          <cell r="E379" t="e">
            <v>#REF!</v>
          </cell>
          <cell r="F379" t="e">
            <v>#REF!</v>
          </cell>
          <cell r="G379" t="e">
            <v>#REF!</v>
          </cell>
          <cell r="H379" t="e">
            <v>#REF!</v>
          </cell>
        </row>
        <row r="381">
          <cell r="B381" t="str">
            <v>EVA (% OF CAPITAL EMPLOYED)</v>
          </cell>
          <cell r="C381" t="e">
            <v>#REF!</v>
          </cell>
          <cell r="D381" t="e">
            <v>#REF!</v>
          </cell>
          <cell r="E381" t="e">
            <v>#REF!</v>
          </cell>
          <cell r="F381" t="e">
            <v>#REF!</v>
          </cell>
          <cell r="G381" t="e">
            <v>#REF!</v>
          </cell>
          <cell r="H381" t="e">
            <v>#REF!</v>
          </cell>
        </row>
        <row r="383">
          <cell r="B383" t="str">
            <v>RETURN ON NET WORTH</v>
          </cell>
          <cell r="C383">
            <v>0.58174881738013196</v>
          </cell>
          <cell r="D383">
            <v>0.29233921622577719</v>
          </cell>
          <cell r="E383">
            <v>0.24407538131854367</v>
          </cell>
          <cell r="F383">
            <v>7.9624406686381009E-3</v>
          </cell>
          <cell r="G383">
            <v>0.28150923401075545</v>
          </cell>
          <cell r="H383">
            <v>0.21638788744073398</v>
          </cell>
        </row>
        <row r="385">
          <cell r="B385" t="str">
            <v>FIXED ASSETS  PER SHARE</v>
          </cell>
          <cell r="C385">
            <v>91.277115795905914</v>
          </cell>
          <cell r="D385">
            <v>127.97128017109688</v>
          </cell>
          <cell r="E385">
            <v>121.15795905896734</v>
          </cell>
          <cell r="F385">
            <v>82.422853651084651</v>
          </cell>
          <cell r="G385">
            <v>167.42132600061109</v>
          </cell>
          <cell r="H385">
            <v>339.46959975557598</v>
          </cell>
        </row>
        <row r="388">
          <cell r="B388" t="str">
            <v>=</v>
          </cell>
          <cell r="C388" t="str">
            <v>=</v>
          </cell>
          <cell r="D388" t="str">
            <v>=</v>
          </cell>
          <cell r="E388" t="str">
            <v>=</v>
          </cell>
          <cell r="F388" t="str">
            <v>=</v>
          </cell>
          <cell r="G388" t="str">
            <v>=</v>
          </cell>
          <cell r="H388" t="str">
            <v>=</v>
          </cell>
        </row>
      </sheetData>
      <sheetData sheetId="2" refreshError="1">
        <row r="2">
          <cell r="B2" t="str">
            <v>WELLKNOWN  TEXTILE  INDUSTRIES  LIMITED</v>
          </cell>
        </row>
        <row r="3">
          <cell r="B3" t="str">
            <v>-</v>
          </cell>
          <cell r="C3" t="str">
            <v>-</v>
          </cell>
          <cell r="D3" t="str">
            <v>-</v>
          </cell>
          <cell r="E3">
            <v>0</v>
          </cell>
          <cell r="F3">
            <v>0</v>
          </cell>
          <cell r="G3">
            <v>0</v>
          </cell>
          <cell r="H3">
            <v>0</v>
          </cell>
        </row>
        <row r="4">
          <cell r="B4" t="str">
            <v>BALANCE    SHEET     FOR    LAST    SIX     YEARS</v>
          </cell>
        </row>
        <row r="5">
          <cell r="G5" t="str">
            <v>(RS.IN LACS)</v>
          </cell>
        </row>
        <row r="6">
          <cell r="B6" t="str">
            <v>-</v>
          </cell>
          <cell r="C6" t="str">
            <v>-</v>
          </cell>
          <cell r="D6" t="str">
            <v>-</v>
          </cell>
          <cell r="E6" t="str">
            <v>-</v>
          </cell>
          <cell r="F6" t="str">
            <v>-</v>
          </cell>
          <cell r="G6" t="str">
            <v>-</v>
          </cell>
          <cell r="H6" t="str">
            <v>-</v>
          </cell>
        </row>
        <row r="7">
          <cell r="B7" t="str">
            <v>PARTICULARS</v>
          </cell>
          <cell r="C7" t="str">
            <v>1997-98</v>
          </cell>
          <cell r="D7" t="str">
            <v>1998-99</v>
          </cell>
          <cell r="E7" t="str">
            <v>1999-00</v>
          </cell>
          <cell r="F7" t="str">
            <v>2000-01</v>
          </cell>
          <cell r="G7" t="str">
            <v>2001-02</v>
          </cell>
          <cell r="H7" t="str">
            <v>2002-03</v>
          </cell>
        </row>
        <row r="8">
          <cell r="B8" t="str">
            <v>-</v>
          </cell>
          <cell r="C8" t="str">
            <v>-</v>
          </cell>
          <cell r="D8" t="str">
            <v>-</v>
          </cell>
          <cell r="E8" t="str">
            <v>-</v>
          </cell>
          <cell r="F8" t="str">
            <v>-</v>
          </cell>
          <cell r="G8" t="str">
            <v>-</v>
          </cell>
          <cell r="H8" t="str">
            <v>-</v>
          </cell>
        </row>
        <row r="9">
          <cell r="B9" t="str">
            <v>SOURCES OF  FUNDS</v>
          </cell>
        </row>
        <row r="11">
          <cell r="B11" t="str">
            <v>Shareholders' Funds</v>
          </cell>
        </row>
        <row r="13">
          <cell r="B13" t="str">
            <v>a. Share  Capital</v>
          </cell>
          <cell r="C13">
            <v>265.87599999999998</v>
          </cell>
          <cell r="D13">
            <v>268.02600000000001</v>
          </cell>
          <cell r="E13">
            <v>248.03</v>
          </cell>
          <cell r="F13">
            <v>235.80600000000001</v>
          </cell>
          <cell r="G13">
            <v>220.01</v>
          </cell>
          <cell r="H13">
            <v>229.01</v>
          </cell>
        </row>
        <row r="14">
          <cell r="B14" t="str">
            <v xml:space="preserve">    Growth  %</v>
          </cell>
          <cell r="C14">
            <v>0</v>
          </cell>
          <cell r="D14">
            <v>8.0864764025336405E-3</v>
          </cell>
          <cell r="E14">
            <v>-7.4604702528859174E-2</v>
          </cell>
          <cell r="F14">
            <v>-4.9284360762810911E-2</v>
          </cell>
          <cell r="G14">
            <v>-6.6987269195864479E-2</v>
          </cell>
          <cell r="H14">
            <v>4.0907231489477752E-2</v>
          </cell>
        </row>
        <row r="16">
          <cell r="B16" t="str">
            <v>b. Share Application  Money</v>
          </cell>
          <cell r="C16">
            <v>0</v>
          </cell>
          <cell r="D16">
            <v>69.95</v>
          </cell>
          <cell r="E16">
            <v>119.49</v>
          </cell>
          <cell r="F16">
            <v>25.75</v>
          </cell>
          <cell r="G16">
            <v>91.35</v>
          </cell>
          <cell r="H16">
            <v>3.2</v>
          </cell>
        </row>
        <row r="17">
          <cell r="C17">
            <v>0</v>
          </cell>
          <cell r="D17">
            <v>0</v>
          </cell>
          <cell r="E17">
            <v>0</v>
          </cell>
          <cell r="F17">
            <v>0</v>
          </cell>
          <cell r="G17">
            <v>0</v>
          </cell>
          <cell r="H17">
            <v>0</v>
          </cell>
        </row>
        <row r="18">
          <cell r="B18" t="str">
            <v>c. Reserves and Surplus</v>
          </cell>
          <cell r="C18">
            <v>101.946</v>
          </cell>
          <cell r="D18">
            <v>226.69499999999999</v>
          </cell>
          <cell r="E18">
            <v>250.63</v>
          </cell>
          <cell r="F18">
            <v>189.11</v>
          </cell>
          <cell r="G18">
            <v>223.72</v>
          </cell>
          <cell r="H18">
            <v>446.13900000000001</v>
          </cell>
        </row>
        <row r="19">
          <cell r="B19" t="str">
            <v xml:space="preserve">    Growth  %</v>
          </cell>
          <cell r="C19">
            <v>0</v>
          </cell>
          <cell r="D19">
            <v>1.223677240892237</v>
          </cell>
          <cell r="E19">
            <v>0.10558239043648956</v>
          </cell>
          <cell r="F19">
            <v>-0.24546143717831059</v>
          </cell>
          <cell r="G19">
            <v>0.1830151763523874</v>
          </cell>
          <cell r="H19">
            <v>0.99418469515465768</v>
          </cell>
        </row>
        <row r="21">
          <cell r="C21" t="str">
            <v>-</v>
          </cell>
          <cell r="D21" t="str">
            <v>-</v>
          </cell>
          <cell r="E21" t="str">
            <v>-</v>
          </cell>
          <cell r="F21" t="str">
            <v>-</v>
          </cell>
          <cell r="G21" t="str">
            <v>-</v>
          </cell>
          <cell r="H21" t="str">
            <v>-</v>
          </cell>
        </row>
        <row r="22">
          <cell r="C22">
            <v>367.822</v>
          </cell>
          <cell r="D22">
            <v>564.67100000000005</v>
          </cell>
          <cell r="E22">
            <v>618.15</v>
          </cell>
          <cell r="F22">
            <v>450.66600000000005</v>
          </cell>
          <cell r="G22">
            <v>535.08000000000004</v>
          </cell>
          <cell r="H22">
            <v>678.34899999999993</v>
          </cell>
        </row>
        <row r="23">
          <cell r="C23" t="str">
            <v>-</v>
          </cell>
          <cell r="D23" t="str">
            <v>-</v>
          </cell>
          <cell r="E23" t="str">
            <v>-</v>
          </cell>
          <cell r="F23" t="str">
            <v>-</v>
          </cell>
          <cell r="G23" t="str">
            <v>-</v>
          </cell>
          <cell r="H23" t="str">
            <v>-</v>
          </cell>
        </row>
        <row r="24">
          <cell r="B24" t="str">
            <v>Loan  Funds</v>
          </cell>
          <cell r="C24">
            <v>0</v>
          </cell>
          <cell r="D24">
            <v>0</v>
          </cell>
          <cell r="E24">
            <v>0</v>
          </cell>
          <cell r="F24">
            <v>0</v>
          </cell>
          <cell r="G24">
            <v>0</v>
          </cell>
          <cell r="H24">
            <v>0</v>
          </cell>
        </row>
        <row r="26">
          <cell r="B26" t="str">
            <v>a. Secured  Loans</v>
          </cell>
          <cell r="C26">
            <v>384.58</v>
          </cell>
          <cell r="D26">
            <v>449.11799999999999</v>
          </cell>
          <cell r="E26">
            <v>755.16</v>
          </cell>
          <cell r="F26">
            <v>655.49</v>
          </cell>
          <cell r="G26">
            <v>382.80700000000002</v>
          </cell>
          <cell r="H26">
            <v>364.95400000000001</v>
          </cell>
        </row>
        <row r="27">
          <cell r="B27" t="str">
            <v xml:space="preserve">    Growth  %</v>
          </cell>
          <cell r="C27">
            <v>0</v>
          </cell>
          <cell r="D27">
            <v>0.16781423890997976</v>
          </cell>
          <cell r="E27">
            <v>0.68142893404405969</v>
          </cell>
          <cell r="F27">
            <v>-0.13198527464378404</v>
          </cell>
          <cell r="G27">
            <v>-0.41599871851591935</v>
          </cell>
          <cell r="H27">
            <v>-4.6637078214348246E-2</v>
          </cell>
        </row>
        <row r="29">
          <cell r="B29" t="str">
            <v>b.  Unsecured  Loans</v>
          </cell>
          <cell r="C29">
            <v>71.117000000000004</v>
          </cell>
          <cell r="D29">
            <v>194.89</v>
          </cell>
          <cell r="E29">
            <v>86.25</v>
          </cell>
          <cell r="F29">
            <v>13.775</v>
          </cell>
          <cell r="G29">
            <v>17.29</v>
          </cell>
          <cell r="H29">
            <v>84.9</v>
          </cell>
        </row>
        <row r="30">
          <cell r="C30" t="str">
            <v>-</v>
          </cell>
          <cell r="D30" t="str">
            <v>-</v>
          </cell>
          <cell r="E30" t="str">
            <v>-</v>
          </cell>
          <cell r="F30" t="str">
            <v>-</v>
          </cell>
          <cell r="G30" t="str">
            <v>-</v>
          </cell>
          <cell r="H30" t="str">
            <v>-</v>
          </cell>
        </row>
        <row r="31">
          <cell r="C31">
            <v>455.697</v>
          </cell>
          <cell r="D31">
            <v>644.00800000000004</v>
          </cell>
          <cell r="E31">
            <v>841.41</v>
          </cell>
          <cell r="F31">
            <v>669.26499999999999</v>
          </cell>
          <cell r="G31">
            <v>400.09700000000004</v>
          </cell>
          <cell r="H31">
            <v>449.85400000000004</v>
          </cell>
        </row>
        <row r="32">
          <cell r="C32" t="str">
            <v>-</v>
          </cell>
          <cell r="D32" t="str">
            <v>-</v>
          </cell>
          <cell r="E32" t="str">
            <v>-</v>
          </cell>
          <cell r="F32" t="str">
            <v>-</v>
          </cell>
          <cell r="G32" t="str">
            <v>-</v>
          </cell>
          <cell r="H32" t="str">
            <v>-</v>
          </cell>
        </row>
        <row r="34">
          <cell r="C34" t="str">
            <v>-</v>
          </cell>
          <cell r="D34" t="str">
            <v>-</v>
          </cell>
          <cell r="E34" t="str">
            <v>-</v>
          </cell>
          <cell r="F34" t="str">
            <v>-</v>
          </cell>
          <cell r="G34" t="str">
            <v>-</v>
          </cell>
          <cell r="H34" t="str">
            <v>-</v>
          </cell>
        </row>
        <row r="35">
          <cell r="B35" t="str">
            <v>TOTAL</v>
          </cell>
          <cell r="C35">
            <v>823.51900000000001</v>
          </cell>
          <cell r="D35">
            <v>1208.6790000000001</v>
          </cell>
          <cell r="E35">
            <v>1459.56</v>
          </cell>
          <cell r="F35">
            <v>1119.931</v>
          </cell>
          <cell r="G35">
            <v>935.17700000000013</v>
          </cell>
          <cell r="H35">
            <v>1128.203</v>
          </cell>
        </row>
        <row r="36">
          <cell r="C36" t="str">
            <v>=</v>
          </cell>
          <cell r="D36" t="str">
            <v>=</v>
          </cell>
          <cell r="E36" t="str">
            <v>=</v>
          </cell>
          <cell r="F36" t="str">
            <v>=</v>
          </cell>
          <cell r="G36" t="str">
            <v>=</v>
          </cell>
          <cell r="H36" t="str">
            <v>=</v>
          </cell>
        </row>
        <row r="38">
          <cell r="B38" t="str">
            <v>APPLICATION  OF  FUNDS</v>
          </cell>
        </row>
        <row r="40">
          <cell r="B40" t="str">
            <v>Fixed  Assets</v>
          </cell>
        </row>
        <row r="42">
          <cell r="B42" t="str">
            <v>Gross  Block</v>
          </cell>
          <cell r="C42">
            <v>692.09</v>
          </cell>
          <cell r="D42">
            <v>1022.12</v>
          </cell>
          <cell r="E42">
            <v>1194.46</v>
          </cell>
          <cell r="F42">
            <v>1227.2090000000001</v>
          </cell>
          <cell r="G42">
            <v>1191.136</v>
          </cell>
          <cell r="H42">
            <v>1191.6199999999999</v>
          </cell>
        </row>
        <row r="43">
          <cell r="B43" t="str">
            <v>Growth  %</v>
          </cell>
          <cell r="C43">
            <v>0</v>
          </cell>
          <cell r="D43">
            <v>0.4768599459607854</v>
          </cell>
          <cell r="E43">
            <v>0.16861033929479907</v>
          </cell>
          <cell r="F43">
            <v>2.7417410377911376E-2</v>
          </cell>
          <cell r="G43">
            <v>-2.939434114319573E-2</v>
          </cell>
          <cell r="H43">
            <v>4.0633479300426116E-4</v>
          </cell>
        </row>
        <row r="44">
          <cell r="B44">
            <v>0</v>
          </cell>
        </row>
        <row r="45">
          <cell r="B45" t="str">
            <v>Less: Depreciation</v>
          </cell>
          <cell r="C45">
            <v>114.96</v>
          </cell>
          <cell r="D45">
            <v>151.69999999999999</v>
          </cell>
          <cell r="E45">
            <v>199.53</v>
          </cell>
          <cell r="F45">
            <v>459.92</v>
          </cell>
          <cell r="G45">
            <v>602.54999999999995</v>
          </cell>
          <cell r="H45">
            <v>677.55</v>
          </cell>
        </row>
        <row r="46">
          <cell r="C46" t="str">
            <v>-</v>
          </cell>
          <cell r="D46" t="str">
            <v>-</v>
          </cell>
          <cell r="E46" t="str">
            <v>-</v>
          </cell>
          <cell r="F46" t="str">
            <v>-</v>
          </cell>
          <cell r="G46" t="str">
            <v>-</v>
          </cell>
          <cell r="H46" t="str">
            <v>-</v>
          </cell>
        </row>
        <row r="47">
          <cell r="B47" t="str">
            <v>Net  Block</v>
          </cell>
          <cell r="C47">
            <v>577.13</v>
          </cell>
          <cell r="D47">
            <v>870.42000000000007</v>
          </cell>
          <cell r="E47">
            <v>994.93000000000006</v>
          </cell>
          <cell r="F47">
            <v>767.28899999999999</v>
          </cell>
          <cell r="G47">
            <v>588.58600000000001</v>
          </cell>
          <cell r="H47">
            <v>514.06999999999994</v>
          </cell>
        </row>
        <row r="49">
          <cell r="B49" t="str">
            <v>Investments</v>
          </cell>
          <cell r="C49">
            <v>21.13</v>
          </cell>
          <cell r="D49">
            <v>56.418999999999997</v>
          </cell>
          <cell r="E49">
            <v>56.41</v>
          </cell>
          <cell r="F49">
            <v>49.79</v>
          </cell>
          <cell r="G49">
            <v>49.79</v>
          </cell>
          <cell r="H49">
            <v>249.79</v>
          </cell>
        </row>
        <row r="50">
          <cell r="B50" t="str">
            <v>Growth  %</v>
          </cell>
          <cell r="C50">
            <v>0</v>
          </cell>
          <cell r="D50">
            <v>1.6700899195456698</v>
          </cell>
          <cell r="E50">
            <v>-1.5952072883249156E-4</v>
          </cell>
          <cell r="F50">
            <v>-0.11735507888672217</v>
          </cell>
          <cell r="G50">
            <v>0</v>
          </cell>
          <cell r="H50">
            <v>4.0168708576019281</v>
          </cell>
        </row>
        <row r="52">
          <cell r="B52" t="str">
            <v>Current Assets, Loans &amp; Advances</v>
          </cell>
        </row>
        <row r="54">
          <cell r="B54" t="str">
            <v>a. Inventories</v>
          </cell>
          <cell r="C54">
            <v>59.53</v>
          </cell>
          <cell r="D54">
            <v>75.837000000000003</v>
          </cell>
          <cell r="E54">
            <v>114.19</v>
          </cell>
          <cell r="F54">
            <v>169.51</v>
          </cell>
          <cell r="G54">
            <v>144.63300000000001</v>
          </cell>
          <cell r="H54">
            <v>117.34699999999999</v>
          </cell>
        </row>
        <row r="56">
          <cell r="B56" t="str">
            <v>b. Sundry  Debtors</v>
          </cell>
          <cell r="C56">
            <v>52.31</v>
          </cell>
          <cell r="D56">
            <v>38.17</v>
          </cell>
          <cell r="E56">
            <v>84.45</v>
          </cell>
          <cell r="F56">
            <v>97.71</v>
          </cell>
          <cell r="G56">
            <v>126.718</v>
          </cell>
          <cell r="H56">
            <v>50.72</v>
          </cell>
        </row>
        <row r="58">
          <cell r="B58" t="str">
            <v>c.  Cash &amp; Bank Balances</v>
          </cell>
          <cell r="C58">
            <v>0.48</v>
          </cell>
          <cell r="D58">
            <v>0.54800000000000004</v>
          </cell>
          <cell r="E58">
            <v>5.32</v>
          </cell>
          <cell r="F58">
            <v>27.18</v>
          </cell>
          <cell r="G58">
            <v>1.7090000000000001</v>
          </cell>
          <cell r="H58">
            <v>1.8939999999999999</v>
          </cell>
        </row>
        <row r="60">
          <cell r="B60" t="str">
            <v>d.  Loans &amp;  Advances</v>
          </cell>
          <cell r="C60">
            <v>85.944000000000003</v>
          </cell>
          <cell r="D60">
            <v>200.56800000000001</v>
          </cell>
          <cell r="E60">
            <v>228.04</v>
          </cell>
          <cell r="F60">
            <v>12.129999999999999</v>
          </cell>
          <cell r="G60">
            <v>33.356999999999999</v>
          </cell>
          <cell r="H60">
            <v>61.322999999999993</v>
          </cell>
        </row>
        <row r="62">
          <cell r="B62" t="str">
            <v>e.  Deposits</v>
          </cell>
          <cell r="C62">
            <v>26.745999999999999</v>
          </cell>
          <cell r="D62">
            <v>2.82</v>
          </cell>
          <cell r="E62">
            <v>6.84</v>
          </cell>
          <cell r="F62">
            <v>6.84</v>
          </cell>
          <cell r="G62">
            <v>6.88</v>
          </cell>
          <cell r="H62">
            <v>8.1999999999999993</v>
          </cell>
        </row>
        <row r="64">
          <cell r="B64" t="str">
            <v>f. Trade  Investments</v>
          </cell>
          <cell r="C64">
            <v>29.998999999999999</v>
          </cell>
          <cell r="D64">
            <v>58.198999999999998</v>
          </cell>
          <cell r="E64">
            <v>58.198999999999998</v>
          </cell>
          <cell r="F64">
            <v>58.198999999999998</v>
          </cell>
          <cell r="G64">
            <v>58.198999999999998</v>
          </cell>
          <cell r="H64">
            <v>178.19900000000001</v>
          </cell>
        </row>
        <row r="65">
          <cell r="C65" t="str">
            <v>-</v>
          </cell>
          <cell r="D65" t="str">
            <v>-</v>
          </cell>
          <cell r="E65" t="str">
            <v>-</v>
          </cell>
          <cell r="F65" t="str">
            <v>-</v>
          </cell>
          <cell r="G65" t="str">
            <v>-</v>
          </cell>
          <cell r="H65" t="str">
            <v>-</v>
          </cell>
        </row>
        <row r="66">
          <cell r="C66">
            <v>255.00900000000001</v>
          </cell>
          <cell r="D66">
            <v>376.14200000000005</v>
          </cell>
          <cell r="E66">
            <v>497.03899999999999</v>
          </cell>
          <cell r="F66">
            <v>371.56899999999996</v>
          </cell>
          <cell r="G66">
            <v>371.49600000000004</v>
          </cell>
          <cell r="H66">
            <v>417.68299999999999</v>
          </cell>
        </row>
        <row r="68">
          <cell r="B68" t="str">
            <v>Less: Current  Liabilities</v>
          </cell>
          <cell r="C68">
            <v>35.774999999999999</v>
          </cell>
          <cell r="D68">
            <v>99.53</v>
          </cell>
          <cell r="E68">
            <v>93.27</v>
          </cell>
          <cell r="F68">
            <v>72.38</v>
          </cell>
          <cell r="G68">
            <v>77.563999999999993</v>
          </cell>
          <cell r="H68">
            <v>56.210999999999999</v>
          </cell>
        </row>
        <row r="69">
          <cell r="C69" t="str">
            <v>-</v>
          </cell>
          <cell r="D69" t="str">
            <v>-</v>
          </cell>
          <cell r="E69" t="str">
            <v>-</v>
          </cell>
          <cell r="F69" t="str">
            <v>-</v>
          </cell>
          <cell r="G69" t="str">
            <v>-</v>
          </cell>
          <cell r="H69" t="str">
            <v>-</v>
          </cell>
        </row>
        <row r="70">
          <cell r="B70" t="str">
            <v>Net  Current  Assets</v>
          </cell>
          <cell r="C70">
            <v>219.23400000000001</v>
          </cell>
          <cell r="D70">
            <v>276.61200000000008</v>
          </cell>
          <cell r="E70">
            <v>403.76900000000001</v>
          </cell>
          <cell r="F70">
            <v>299.18899999999996</v>
          </cell>
          <cell r="G70">
            <v>293.93200000000002</v>
          </cell>
          <cell r="H70">
            <v>361.47199999999998</v>
          </cell>
        </row>
        <row r="72">
          <cell r="B72" t="str">
            <v>Miscellaneous Expenditure</v>
          </cell>
          <cell r="C72">
            <v>6.0209999999999999</v>
          </cell>
          <cell r="D72">
            <v>5.23</v>
          </cell>
          <cell r="E72">
            <v>4.4405000000000001</v>
          </cell>
          <cell r="F72">
            <v>3.6559999999999997</v>
          </cell>
          <cell r="G72">
            <v>2.8719999999999999</v>
          </cell>
          <cell r="H72">
            <v>2.8719999999999999</v>
          </cell>
        </row>
        <row r="74">
          <cell r="B74" t="str">
            <v>(to the extent not written off or adjusted)</v>
          </cell>
        </row>
        <row r="76">
          <cell r="B76" t="str">
            <v>Preliminary  Expenses</v>
          </cell>
          <cell r="C76">
            <v>4</v>
          </cell>
          <cell r="D76">
            <v>3.44</v>
          </cell>
          <cell r="E76">
            <v>2.8759999999999999</v>
          </cell>
          <cell r="F76">
            <v>2.3159999999999998</v>
          </cell>
          <cell r="G76">
            <v>1.7549999999999999</v>
          </cell>
          <cell r="H76">
            <v>1.7549999999999999</v>
          </cell>
        </row>
        <row r="78">
          <cell r="B78" t="str">
            <v>Deferred  Revenue  Expenditure</v>
          </cell>
          <cell r="C78">
            <v>2.0209999999999999</v>
          </cell>
          <cell r="D78">
            <v>1.79</v>
          </cell>
          <cell r="E78">
            <v>1.5645</v>
          </cell>
          <cell r="F78">
            <v>1.34</v>
          </cell>
          <cell r="G78">
            <v>1.117</v>
          </cell>
          <cell r="H78">
            <v>1.117</v>
          </cell>
        </row>
        <row r="80">
          <cell r="C80" t="str">
            <v>-</v>
          </cell>
          <cell r="D80" t="str">
            <v>-</v>
          </cell>
          <cell r="E80" t="str">
            <v>-</v>
          </cell>
          <cell r="F80" t="str">
            <v>-</v>
          </cell>
          <cell r="G80" t="str">
            <v>-</v>
          </cell>
          <cell r="H80" t="str">
            <v>-</v>
          </cell>
        </row>
        <row r="81">
          <cell r="B81" t="str">
            <v>TOTAL….</v>
          </cell>
          <cell r="C81">
            <v>823.51499999999999</v>
          </cell>
          <cell r="D81">
            <v>1208.681</v>
          </cell>
          <cell r="E81">
            <v>1459.5495000000001</v>
          </cell>
          <cell r="F81">
            <v>1119.924</v>
          </cell>
          <cell r="G81">
            <v>935.18</v>
          </cell>
          <cell r="H81">
            <v>1128.204</v>
          </cell>
        </row>
        <row r="82">
          <cell r="C82" t="str">
            <v>=</v>
          </cell>
          <cell r="D82" t="str">
            <v>=</v>
          </cell>
          <cell r="E82" t="str">
            <v>=</v>
          </cell>
          <cell r="F82" t="str">
            <v>=</v>
          </cell>
          <cell r="G82" t="str">
            <v>=</v>
          </cell>
          <cell r="H82" t="str">
            <v>=</v>
          </cell>
        </row>
        <row r="86">
          <cell r="B86" t="str">
            <v>PROFIT  AND  LOSS  ACCOUNT  FOR  LAST SIX  YEARS</v>
          </cell>
        </row>
        <row r="87">
          <cell r="L87" t="str">
            <v>(RS.IN LACS)</v>
          </cell>
        </row>
        <row r="88">
          <cell r="B88" t="str">
            <v>-</v>
          </cell>
          <cell r="C88" t="str">
            <v>-</v>
          </cell>
          <cell r="D88" t="str">
            <v>-</v>
          </cell>
          <cell r="E88" t="str">
            <v>-</v>
          </cell>
          <cell r="F88" t="str">
            <v>-</v>
          </cell>
          <cell r="G88" t="str">
            <v>-</v>
          </cell>
          <cell r="H88" t="str">
            <v>-</v>
          </cell>
          <cell r="I88" t="str">
            <v>-</v>
          </cell>
          <cell r="J88" t="str">
            <v>-</v>
          </cell>
          <cell r="K88" t="str">
            <v>-</v>
          </cell>
          <cell r="L88" t="str">
            <v>-</v>
          </cell>
          <cell r="M88" t="str">
            <v>-</v>
          </cell>
          <cell r="N88" t="str">
            <v>-</v>
          </cell>
        </row>
        <row r="89">
          <cell r="B89" t="str">
            <v>PARTICULARS</v>
          </cell>
          <cell r="C89" t="str">
            <v>%</v>
          </cell>
          <cell r="D89" t="str">
            <v>1997-98</v>
          </cell>
          <cell r="E89" t="str">
            <v>%</v>
          </cell>
          <cell r="F89" t="str">
            <v>1998-99</v>
          </cell>
          <cell r="G89" t="str">
            <v>%</v>
          </cell>
          <cell r="H89" t="str">
            <v>1999-00</v>
          </cell>
          <cell r="I89" t="str">
            <v>%</v>
          </cell>
          <cell r="J89" t="str">
            <v>2000-01</v>
          </cell>
          <cell r="K89" t="str">
            <v>%</v>
          </cell>
          <cell r="L89" t="str">
            <v>2001-02</v>
          </cell>
          <cell r="M89" t="str">
            <v>%</v>
          </cell>
          <cell r="N89" t="str">
            <v>2002-03</v>
          </cell>
        </row>
        <row r="90">
          <cell r="B90" t="str">
            <v>-</v>
          </cell>
          <cell r="C90" t="str">
            <v>-</v>
          </cell>
          <cell r="D90" t="str">
            <v>-</v>
          </cell>
          <cell r="E90" t="str">
            <v>-</v>
          </cell>
          <cell r="F90" t="str">
            <v>-</v>
          </cell>
          <cell r="G90" t="str">
            <v>-</v>
          </cell>
          <cell r="H90" t="str">
            <v>-</v>
          </cell>
          <cell r="I90" t="str">
            <v>-</v>
          </cell>
          <cell r="J90" t="str">
            <v>-</v>
          </cell>
          <cell r="K90" t="str">
            <v>-</v>
          </cell>
          <cell r="L90" t="str">
            <v>-</v>
          </cell>
          <cell r="M90" t="str">
            <v>-</v>
          </cell>
          <cell r="N90" t="str">
            <v>-</v>
          </cell>
        </row>
        <row r="91">
          <cell r="B91" t="str">
            <v>INCOME</v>
          </cell>
        </row>
        <row r="93">
          <cell r="B93" t="str">
            <v>Sales</v>
          </cell>
          <cell r="D93">
            <v>1485.4159999999999</v>
          </cell>
          <cell r="F93">
            <v>1881.23</v>
          </cell>
          <cell r="H93">
            <v>2279.5500000000002</v>
          </cell>
          <cell r="J93">
            <v>3320.87</v>
          </cell>
          <cell r="L93">
            <v>3040.25</v>
          </cell>
          <cell r="N93">
            <v>2565.75</v>
          </cell>
        </row>
        <row r="95">
          <cell r="B95" t="str">
            <v xml:space="preserve">Other  Income </v>
          </cell>
          <cell r="D95">
            <v>3.6259999999999999</v>
          </cell>
          <cell r="F95">
            <v>9.74</v>
          </cell>
          <cell r="H95">
            <v>5.09</v>
          </cell>
          <cell r="J95">
            <v>12.201000000000001</v>
          </cell>
          <cell r="L95">
            <v>1.774</v>
          </cell>
          <cell r="N95">
            <v>0.71</v>
          </cell>
        </row>
        <row r="97">
          <cell r="B97" t="str">
            <v>Increase/(Decrease)  in Stocks</v>
          </cell>
          <cell r="D97">
            <v>-9.4079999999999995</v>
          </cell>
          <cell r="F97">
            <v>10.08</v>
          </cell>
          <cell r="H97">
            <v>46.665999999999997</v>
          </cell>
          <cell r="J97">
            <v>28.847999999999999</v>
          </cell>
          <cell r="L97">
            <v>-57.044800000000002</v>
          </cell>
          <cell r="N97">
            <v>31.184000000000001</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row>
        <row r="99">
          <cell r="B99" t="str">
            <v>TOTAL  INCOME</v>
          </cell>
          <cell r="C99">
            <v>1</v>
          </cell>
          <cell r="D99">
            <v>1479.634</v>
          </cell>
          <cell r="E99">
            <v>1</v>
          </cell>
          <cell r="F99">
            <v>1901.05</v>
          </cell>
          <cell r="G99">
            <v>1</v>
          </cell>
          <cell r="H99">
            <v>2331.3060000000005</v>
          </cell>
          <cell r="I99">
            <v>1</v>
          </cell>
          <cell r="J99">
            <v>3361.9189999999999</v>
          </cell>
          <cell r="K99">
            <v>1</v>
          </cell>
          <cell r="L99">
            <v>2984.9791999999998</v>
          </cell>
          <cell r="M99">
            <v>1</v>
          </cell>
          <cell r="N99">
            <v>2597.6440000000002</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row>
        <row r="102">
          <cell r="B102" t="str">
            <v>EXPENDITURE</v>
          </cell>
        </row>
        <row r="104">
          <cell r="B104" t="str">
            <v>Raw  Material  Consumed   Including</v>
          </cell>
          <cell r="C104">
            <v>0.79153831285304344</v>
          </cell>
          <cell r="D104">
            <v>1171.1870000000001</v>
          </cell>
          <cell r="E104">
            <v>0.95888375098166168</v>
          </cell>
          <cell r="F104">
            <v>1418.797</v>
          </cell>
          <cell r="G104">
            <v>1.2344039134002056</v>
          </cell>
          <cell r="H104">
            <v>1826.4659999999999</v>
          </cell>
          <cell r="I104">
            <v>1.7425687703851087</v>
          </cell>
          <cell r="J104">
            <v>2578.364</v>
          </cell>
          <cell r="K104">
            <v>1.514670519871806</v>
          </cell>
          <cell r="L104">
            <v>2241.1579999999999</v>
          </cell>
          <cell r="M104">
            <v>1.3701428866868428</v>
          </cell>
          <cell r="N104">
            <v>2027.31</v>
          </cell>
        </row>
        <row r="105">
          <cell r="B105" t="str">
            <v>Excise  Duty</v>
          </cell>
        </row>
        <row r="106">
          <cell r="C106">
            <v>0</v>
          </cell>
          <cell r="E106">
            <v>0</v>
          </cell>
          <cell r="G106">
            <v>0</v>
          </cell>
          <cell r="I106">
            <v>0</v>
          </cell>
          <cell r="K106">
            <v>0</v>
          </cell>
          <cell r="M106">
            <v>0</v>
          </cell>
        </row>
        <row r="107">
          <cell r="B107" t="str">
            <v>Power &amp; Fuel</v>
          </cell>
          <cell r="C107">
            <v>4.054989274374609E-2</v>
          </cell>
          <cell r="D107">
            <v>59.999000000000002</v>
          </cell>
          <cell r="E107">
            <v>0.10227529240339166</v>
          </cell>
          <cell r="F107">
            <v>151.33000000000001</v>
          </cell>
          <cell r="G107">
            <v>9.7365970233179291E-2</v>
          </cell>
          <cell r="H107">
            <v>144.066</v>
          </cell>
          <cell r="I107">
            <v>0.11339155493858616</v>
          </cell>
          <cell r="J107">
            <v>167.77799999999999</v>
          </cell>
          <cell r="K107">
            <v>0.10498542207059314</v>
          </cell>
          <cell r="L107">
            <v>155.34</v>
          </cell>
          <cell r="M107">
            <v>8.5830009313113922E-2</v>
          </cell>
          <cell r="N107">
            <v>126.997</v>
          </cell>
        </row>
        <row r="109">
          <cell r="B109" t="str">
            <v>Other  Manufacturing   Expenses</v>
          </cell>
          <cell r="C109">
            <v>3.8521688471608515E-2</v>
          </cell>
          <cell r="D109">
            <v>56.997999999999998</v>
          </cell>
          <cell r="E109">
            <v>5.6162537492379865E-2</v>
          </cell>
          <cell r="F109">
            <v>83.1</v>
          </cell>
          <cell r="G109">
            <v>7.3072800435783444E-2</v>
          </cell>
          <cell r="H109">
            <v>108.12100000000001</v>
          </cell>
          <cell r="I109">
            <v>0.11925787052744125</v>
          </cell>
          <cell r="J109">
            <v>176.458</v>
          </cell>
          <cell r="K109">
            <v>0.10323904425013213</v>
          </cell>
          <cell r="L109">
            <v>152.756</v>
          </cell>
          <cell r="M109">
            <v>7.973120379769591E-2</v>
          </cell>
          <cell r="N109">
            <v>117.973</v>
          </cell>
        </row>
        <row r="110">
          <cell r="C110">
            <v>0</v>
          </cell>
          <cell r="E110">
            <v>0</v>
          </cell>
          <cell r="G110">
            <v>0</v>
          </cell>
          <cell r="I110">
            <v>0</v>
          </cell>
          <cell r="K110">
            <v>0</v>
          </cell>
          <cell r="M110">
            <v>0</v>
          </cell>
        </row>
        <row r="111">
          <cell r="B111" t="str">
            <v>Payment  To  Employees</v>
          </cell>
          <cell r="C111">
            <v>1.094595014713098E-2</v>
          </cell>
          <cell r="D111">
            <v>16.196000000000002</v>
          </cell>
          <cell r="E111">
            <v>2.0376660714744321E-2</v>
          </cell>
          <cell r="F111">
            <v>30.15</v>
          </cell>
          <cell r="G111">
            <v>1.8149758656532629E-2</v>
          </cell>
          <cell r="H111">
            <v>26.855</v>
          </cell>
          <cell r="I111">
            <v>2.1387721558169114E-2</v>
          </cell>
          <cell r="J111">
            <v>31.646000000000001</v>
          </cell>
          <cell r="K111">
            <v>2.3781556790395463E-2</v>
          </cell>
          <cell r="L111">
            <v>35.188000000000002</v>
          </cell>
          <cell r="M111">
            <v>2.5146759266142842E-2</v>
          </cell>
          <cell r="N111">
            <v>37.207999999999998</v>
          </cell>
        </row>
        <row r="112">
          <cell r="C112">
            <v>0</v>
          </cell>
          <cell r="E112">
            <v>0</v>
          </cell>
          <cell r="G112">
            <v>0</v>
          </cell>
          <cell r="I112">
            <v>0</v>
          </cell>
          <cell r="K112">
            <v>0</v>
          </cell>
          <cell r="M112">
            <v>0</v>
          </cell>
        </row>
        <row r="113">
          <cell r="B113" t="str">
            <v xml:space="preserve"> Administration   Exp.</v>
          </cell>
          <cell r="C113">
            <v>2.0258388223033535E-2</v>
          </cell>
          <cell r="D113">
            <v>29.975000000000001</v>
          </cell>
          <cell r="E113">
            <v>2.8574633997326366E-2</v>
          </cell>
          <cell r="F113">
            <v>42.28</v>
          </cell>
          <cell r="G113">
            <v>1.0943246775891875E-2</v>
          </cell>
          <cell r="H113">
            <v>16.192</v>
          </cell>
          <cell r="I113">
            <v>1.3677030941435516E-2</v>
          </cell>
          <cell r="J113">
            <v>20.236999999999998</v>
          </cell>
          <cell r="K113">
            <v>2.9901989275726293E-2</v>
          </cell>
          <cell r="L113">
            <v>44.244</v>
          </cell>
          <cell r="M113">
            <v>1.4313674868244445E-2</v>
          </cell>
          <cell r="N113">
            <v>21.179000000000002</v>
          </cell>
        </row>
        <row r="115">
          <cell r="B115" t="str">
            <v>Selling  &amp;  Distribution   Exp.</v>
          </cell>
          <cell r="C115">
            <v>1.3719609038451402E-4</v>
          </cell>
          <cell r="D115">
            <v>0.20300000000000001</v>
          </cell>
          <cell r="E115">
            <v>8.6169958246431208E-4</v>
          </cell>
          <cell r="F115">
            <v>1.2749999999999999</v>
          </cell>
          <cell r="G115">
            <v>9.7726870293599619E-4</v>
          </cell>
          <cell r="H115">
            <v>1.446</v>
          </cell>
          <cell r="I115">
            <v>7.7944951251458141E-3</v>
          </cell>
          <cell r="J115">
            <v>11.533000000000001</v>
          </cell>
          <cell r="K115">
            <v>6.8327708068346626E-3</v>
          </cell>
          <cell r="L115">
            <v>10.11</v>
          </cell>
          <cell r="M115">
            <v>1.3516856195518623E-4</v>
          </cell>
          <cell r="N115">
            <v>0.2</v>
          </cell>
        </row>
        <row r="116">
          <cell r="C116">
            <v>0</v>
          </cell>
          <cell r="E116">
            <v>0</v>
          </cell>
          <cell r="G116">
            <v>0</v>
          </cell>
          <cell r="I116">
            <v>0</v>
          </cell>
          <cell r="K116">
            <v>0</v>
          </cell>
          <cell r="M116">
            <v>0</v>
          </cell>
        </row>
        <row r="117">
          <cell r="B117" t="str">
            <v>Interest &amp; Finance Expenses</v>
          </cell>
          <cell r="C117">
            <v>3.3738073064014482E-2</v>
          </cell>
          <cell r="D117">
            <v>49.92</v>
          </cell>
          <cell r="E117">
            <v>4.8403862036152184E-2</v>
          </cell>
          <cell r="F117">
            <v>71.62</v>
          </cell>
          <cell r="G117">
            <v>6.6931416823349563E-2</v>
          </cell>
          <cell r="H117">
            <v>99.034000000000006</v>
          </cell>
          <cell r="I117">
            <v>7.4020332055089302E-2</v>
          </cell>
          <cell r="J117">
            <v>109.523</v>
          </cell>
          <cell r="K117">
            <v>4.1868462065618929E-2</v>
          </cell>
          <cell r="L117">
            <v>61.95</v>
          </cell>
          <cell r="M117">
            <v>2.5919923440526505E-2</v>
          </cell>
          <cell r="N117">
            <v>38.351999999999997</v>
          </cell>
        </row>
        <row r="118">
          <cell r="C118">
            <v>0</v>
          </cell>
          <cell r="E118">
            <v>0</v>
          </cell>
          <cell r="G118">
            <v>0</v>
          </cell>
          <cell r="I118">
            <v>0</v>
          </cell>
          <cell r="K118">
            <v>0</v>
          </cell>
          <cell r="M118">
            <v>0</v>
          </cell>
        </row>
        <row r="119">
          <cell r="B119" t="str">
            <v>Depreciation</v>
          </cell>
          <cell r="C119">
            <v>1.8428205894160311E-2</v>
          </cell>
          <cell r="D119">
            <v>27.266999999999999</v>
          </cell>
          <cell r="E119">
            <v>2.4833844045216585E-2</v>
          </cell>
          <cell r="F119">
            <v>36.744999999999997</v>
          </cell>
          <cell r="G119">
            <v>3.2323534063153456E-2</v>
          </cell>
          <cell r="H119">
            <v>47.826999999999998</v>
          </cell>
          <cell r="I119">
            <v>6.7954642837350324E-2</v>
          </cell>
          <cell r="J119">
            <v>100.548</v>
          </cell>
          <cell r="K119">
            <v>0.12006753021355282</v>
          </cell>
          <cell r="L119">
            <v>177.65600000000001</v>
          </cell>
          <cell r="M119">
            <v>5.0688210733194829E-2</v>
          </cell>
          <cell r="N119">
            <v>75</v>
          </cell>
        </row>
        <row r="120">
          <cell r="C120">
            <v>0</v>
          </cell>
          <cell r="E120">
            <v>0</v>
          </cell>
          <cell r="G120">
            <v>0</v>
          </cell>
          <cell r="I120">
            <v>0</v>
          </cell>
          <cell r="K120">
            <v>0</v>
          </cell>
          <cell r="M120">
            <v>0</v>
          </cell>
        </row>
        <row r="121">
          <cell r="B121" t="str">
            <v>Preliminary Expenses w/off</v>
          </cell>
          <cell r="C121">
            <v>5.2715739162522627E-4</v>
          </cell>
          <cell r="D121">
            <v>0.78</v>
          </cell>
          <cell r="E121">
            <v>5.2715739162522627E-4</v>
          </cell>
          <cell r="F121">
            <v>0.78</v>
          </cell>
          <cell r="G121">
            <v>5.2715739162522627E-4</v>
          </cell>
          <cell r="H121">
            <v>0.78</v>
          </cell>
          <cell r="I121">
            <v>5.2715739162522627E-4</v>
          </cell>
          <cell r="J121">
            <v>0.78</v>
          </cell>
          <cell r="K121">
            <v>5.2715739162522627E-4</v>
          </cell>
          <cell r="L121">
            <v>0.78</v>
          </cell>
          <cell r="M121">
            <v>0</v>
          </cell>
          <cell r="N121">
            <v>0</v>
          </cell>
        </row>
        <row r="122">
          <cell r="C122">
            <v>0</v>
          </cell>
          <cell r="E122">
            <v>0</v>
          </cell>
          <cell r="G122">
            <v>0</v>
          </cell>
          <cell r="I122">
            <v>0</v>
          </cell>
          <cell r="K122">
            <v>0</v>
          </cell>
          <cell r="M122">
            <v>0</v>
          </cell>
        </row>
        <row r="123">
          <cell r="C123">
            <v>0</v>
          </cell>
          <cell r="D123" t="str">
            <v>-</v>
          </cell>
          <cell r="E123">
            <v>0</v>
          </cell>
          <cell r="F123" t="str">
            <v>-</v>
          </cell>
          <cell r="G123">
            <v>0</v>
          </cell>
          <cell r="H123" t="str">
            <v>-</v>
          </cell>
          <cell r="I123">
            <v>0</v>
          </cell>
          <cell r="J123" t="str">
            <v>-</v>
          </cell>
          <cell r="K123">
            <v>0</v>
          </cell>
          <cell r="L123" t="str">
            <v>-</v>
          </cell>
          <cell r="M123">
            <v>0</v>
          </cell>
          <cell r="N123" t="str">
            <v>-</v>
          </cell>
        </row>
        <row r="124">
          <cell r="B124" t="str">
            <v>TOTAL  EXPENDITURE</v>
          </cell>
          <cell r="C124">
            <v>0.95464486487874711</v>
          </cell>
          <cell r="D124">
            <v>1412.5250000000001</v>
          </cell>
          <cell r="E124">
            <v>1.2408994386449621</v>
          </cell>
          <cell r="F124">
            <v>1836.077</v>
          </cell>
          <cell r="G124">
            <v>1.5346950664826571</v>
          </cell>
          <cell r="H124">
            <v>2270.7869999999998</v>
          </cell>
          <cell r="I124">
            <v>2.160579575759952</v>
          </cell>
          <cell r="J124">
            <v>3196.8670000000006</v>
          </cell>
          <cell r="K124">
            <v>1.945874452736285</v>
          </cell>
          <cell r="L124">
            <v>2879.1820000000002</v>
          </cell>
          <cell r="M124">
            <v>1.6519078366677162</v>
          </cell>
          <cell r="N124">
            <v>2444.2189999999996</v>
          </cell>
        </row>
        <row r="125">
          <cell r="C125">
            <v>0</v>
          </cell>
          <cell r="D125" t="str">
            <v>-</v>
          </cell>
          <cell r="E125">
            <v>0</v>
          </cell>
          <cell r="F125" t="str">
            <v>-</v>
          </cell>
          <cell r="G125">
            <v>0</v>
          </cell>
          <cell r="H125" t="str">
            <v>-</v>
          </cell>
          <cell r="I125">
            <v>0</v>
          </cell>
          <cell r="J125" t="str">
            <v>-</v>
          </cell>
          <cell r="K125">
            <v>0</v>
          </cell>
          <cell r="L125" t="str">
            <v>-</v>
          </cell>
          <cell r="M125">
            <v>0</v>
          </cell>
          <cell r="N125" t="str">
            <v>-</v>
          </cell>
        </row>
        <row r="126">
          <cell r="B126" t="str">
            <v>Profit/ Loss Before Tax</v>
          </cell>
          <cell r="C126">
            <v>4.5344997479106267E-2</v>
          </cell>
          <cell r="D126">
            <v>67.093999999999923</v>
          </cell>
          <cell r="E126">
            <v>4.3911534879571543E-2</v>
          </cell>
          <cell r="F126">
            <v>64.972999999999956</v>
          </cell>
          <cell r="G126">
            <v>4.0901331004830038E-2</v>
          </cell>
          <cell r="H126">
            <v>60.519000000000688</v>
          </cell>
          <cell r="I126">
            <v>0.11154920743913645</v>
          </cell>
          <cell r="J126">
            <v>165.05199999999923</v>
          </cell>
          <cell r="K126">
            <v>7.1502276914425816E-2</v>
          </cell>
          <cell r="L126">
            <v>105.79719999999952</v>
          </cell>
          <cell r="M126">
            <v>0.10369118308987266</v>
          </cell>
          <cell r="N126">
            <v>153.42500000000064</v>
          </cell>
        </row>
        <row r="127">
          <cell r="C127">
            <v>0</v>
          </cell>
          <cell r="E127">
            <v>0</v>
          </cell>
          <cell r="G127">
            <v>0</v>
          </cell>
          <cell r="I127">
            <v>0</v>
          </cell>
          <cell r="K127">
            <v>0</v>
          </cell>
          <cell r="M127">
            <v>0</v>
          </cell>
        </row>
        <row r="128">
          <cell r="B128" t="str">
            <v>Less: Provision For  Taxation</v>
          </cell>
          <cell r="C128">
            <v>0</v>
          </cell>
          <cell r="D128">
            <v>0</v>
          </cell>
          <cell r="E128">
            <v>0</v>
          </cell>
          <cell r="F128">
            <v>0</v>
          </cell>
          <cell r="G128">
            <v>3.3994893331729331E-4</v>
          </cell>
          <cell r="H128">
            <v>0.503</v>
          </cell>
          <cell r="I128">
            <v>3.04129264399169E-4</v>
          </cell>
          <cell r="J128">
            <v>0.45</v>
          </cell>
          <cell r="K128">
            <v>5.4067424782074484E-3</v>
          </cell>
          <cell r="L128">
            <v>8</v>
          </cell>
          <cell r="M128">
            <v>0</v>
          </cell>
          <cell r="N128">
            <v>0</v>
          </cell>
        </row>
        <row r="129">
          <cell r="C129">
            <v>0</v>
          </cell>
          <cell r="E129">
            <v>0</v>
          </cell>
          <cell r="G129">
            <v>0</v>
          </cell>
          <cell r="I129">
            <v>0</v>
          </cell>
          <cell r="K129">
            <v>0</v>
          </cell>
          <cell r="M129">
            <v>0</v>
          </cell>
        </row>
        <row r="130">
          <cell r="B130" t="str">
            <v xml:space="preserve"> Add: ( Depreciation written  back) / written off </v>
          </cell>
          <cell r="C130">
            <v>0</v>
          </cell>
          <cell r="D130">
            <v>0</v>
          </cell>
          <cell r="E130">
            <v>0</v>
          </cell>
          <cell r="F130">
            <v>0</v>
          </cell>
          <cell r="G130">
            <v>0</v>
          </cell>
          <cell r="H130">
            <v>0</v>
          </cell>
          <cell r="I130">
            <v>-0.10802671471458482</v>
          </cell>
          <cell r="J130">
            <v>-159.84</v>
          </cell>
          <cell r="K130">
            <v>0</v>
          </cell>
          <cell r="L130">
            <v>0</v>
          </cell>
          <cell r="M130">
            <v>-8.1101137173111727E-3</v>
          </cell>
          <cell r="N130">
            <v>-12</v>
          </cell>
        </row>
        <row r="131">
          <cell r="C131">
            <v>0</v>
          </cell>
          <cell r="D131" t="str">
            <v>-</v>
          </cell>
          <cell r="E131">
            <v>0</v>
          </cell>
          <cell r="F131" t="str">
            <v>-</v>
          </cell>
          <cell r="G131">
            <v>0</v>
          </cell>
          <cell r="H131" t="str">
            <v>-</v>
          </cell>
          <cell r="I131">
            <v>0</v>
          </cell>
          <cell r="J131" t="str">
            <v>-</v>
          </cell>
          <cell r="K131">
            <v>0</v>
          </cell>
          <cell r="L131" t="str">
            <v>-</v>
          </cell>
          <cell r="M131">
            <v>0</v>
          </cell>
          <cell r="N131" t="str">
            <v>-</v>
          </cell>
        </row>
        <row r="132">
          <cell r="B132" t="str">
            <v>Profit/Loss After  Taxation</v>
          </cell>
          <cell r="C132">
            <v>4.5344997479106267E-2</v>
          </cell>
          <cell r="D132">
            <v>67.093999999999923</v>
          </cell>
          <cell r="E132">
            <v>4.3911534879571543E-2</v>
          </cell>
          <cell r="F132">
            <v>64.972999999999956</v>
          </cell>
          <cell r="G132">
            <v>4.056138207151274E-2</v>
          </cell>
          <cell r="H132">
            <v>60.016000000000687</v>
          </cell>
          <cell r="I132">
            <v>3.2183634601524653E-3</v>
          </cell>
          <cell r="J132">
            <v>4.7619999999992331</v>
          </cell>
          <cell r="K132">
            <v>6.6095534436218364E-2</v>
          </cell>
          <cell r="L132">
            <v>97.797199999999521</v>
          </cell>
          <cell r="M132">
            <v>9.5581069372561486E-2</v>
          </cell>
          <cell r="N132">
            <v>141.42500000000064</v>
          </cell>
        </row>
        <row r="134">
          <cell r="B134" t="str">
            <v xml:space="preserve">Balance  b/f from Previous Year </v>
          </cell>
          <cell r="D134">
            <v>94.43</v>
          </cell>
          <cell r="F134">
            <v>62.023999999999944</v>
          </cell>
          <cell r="H134">
            <v>98.301999999999907</v>
          </cell>
          <cell r="J134">
            <v>133.31800000000061</v>
          </cell>
          <cell r="L134">
            <v>117.35999999999984</v>
          </cell>
          <cell r="N134">
            <v>196.61719999999937</v>
          </cell>
        </row>
        <row r="135">
          <cell r="C135">
            <v>0</v>
          </cell>
          <cell r="D135" t="str">
            <v>-</v>
          </cell>
          <cell r="E135">
            <v>0</v>
          </cell>
          <cell r="F135" t="str">
            <v>-</v>
          </cell>
          <cell r="G135">
            <v>0</v>
          </cell>
          <cell r="H135" t="str">
            <v>-</v>
          </cell>
          <cell r="I135">
            <v>0</v>
          </cell>
          <cell r="J135" t="str">
            <v>-</v>
          </cell>
          <cell r="K135">
            <v>0</v>
          </cell>
          <cell r="L135" t="str">
            <v>-</v>
          </cell>
          <cell r="M135">
            <v>0</v>
          </cell>
          <cell r="N135" t="str">
            <v>-</v>
          </cell>
        </row>
        <row r="136">
          <cell r="B136" t="str">
            <v>BALANCE AVAILABLE FOR APPROPRIATION</v>
          </cell>
          <cell r="D136">
            <v>161.52399999999994</v>
          </cell>
          <cell r="F136">
            <v>126.9969999999999</v>
          </cell>
          <cell r="H136">
            <v>158.31800000000061</v>
          </cell>
          <cell r="J136">
            <v>138.07999999999984</v>
          </cell>
          <cell r="L136">
            <v>215.15719999999936</v>
          </cell>
          <cell r="N136">
            <v>338.04219999999998</v>
          </cell>
        </row>
        <row r="137">
          <cell r="C137">
            <v>0</v>
          </cell>
          <cell r="D137" t="str">
            <v>=</v>
          </cell>
          <cell r="E137">
            <v>0</v>
          </cell>
          <cell r="F137" t="str">
            <v>=</v>
          </cell>
          <cell r="G137">
            <v>0</v>
          </cell>
          <cell r="H137" t="str">
            <v>=</v>
          </cell>
          <cell r="I137">
            <v>0</v>
          </cell>
          <cell r="J137" t="str">
            <v>=</v>
          </cell>
          <cell r="K137">
            <v>0</v>
          </cell>
          <cell r="L137" t="str">
            <v>=</v>
          </cell>
          <cell r="M137">
            <v>0</v>
          </cell>
          <cell r="N137" t="str">
            <v>=</v>
          </cell>
        </row>
        <row r="138">
          <cell r="B138" t="str">
            <v>APPROPRIATIONS</v>
          </cell>
        </row>
        <row r="140">
          <cell r="B140" t="str">
            <v>Total  Dividend</v>
          </cell>
          <cell r="C140">
            <v>9.6473544058132368E-2</v>
          </cell>
          <cell r="D140">
            <v>25.65</v>
          </cell>
          <cell r="E140">
            <v>9.4002074425615423E-2</v>
          </cell>
          <cell r="F140">
            <v>25.195</v>
          </cell>
          <cell r="G140">
            <v>0</v>
          </cell>
          <cell r="H140">
            <v>0</v>
          </cell>
          <cell r="I140">
            <v>0</v>
          </cell>
          <cell r="J140">
            <v>0</v>
          </cell>
          <cell r="K140" t="e">
            <v>#DIV/0!</v>
          </cell>
          <cell r="L140">
            <v>0</v>
          </cell>
          <cell r="M140" t="e">
            <v>#DIV/0!</v>
          </cell>
          <cell r="N140">
            <v>0</v>
          </cell>
        </row>
        <row r="141">
          <cell r="B141" t="str">
            <v>Interim  Dividend</v>
          </cell>
          <cell r="D141">
            <v>15.27</v>
          </cell>
          <cell r="F141">
            <v>22.905000000000001</v>
          </cell>
          <cell r="H141">
            <v>0</v>
          </cell>
          <cell r="J141">
            <v>0</v>
          </cell>
          <cell r="L141">
            <v>0</v>
          </cell>
          <cell r="N141">
            <v>0</v>
          </cell>
        </row>
        <row r="143">
          <cell r="B143" t="str">
            <v xml:space="preserve">Proposed Dividend </v>
          </cell>
          <cell r="C143">
            <v>0</v>
          </cell>
          <cell r="D143">
            <v>8.0500000000000007</v>
          </cell>
          <cell r="F143">
            <v>0</v>
          </cell>
          <cell r="H143">
            <v>0</v>
          </cell>
          <cell r="J143">
            <v>0</v>
          </cell>
          <cell r="L143">
            <v>0</v>
          </cell>
          <cell r="N143">
            <v>0</v>
          </cell>
        </row>
        <row r="145">
          <cell r="B145" t="str">
            <v xml:space="preserve"> Tax  on Dividends</v>
          </cell>
          <cell r="D145">
            <v>2.33</v>
          </cell>
          <cell r="F145">
            <v>2.29</v>
          </cell>
          <cell r="H145">
            <v>0</v>
          </cell>
          <cell r="J145">
            <v>0</v>
          </cell>
          <cell r="L145">
            <v>0</v>
          </cell>
          <cell r="N145">
            <v>0</v>
          </cell>
        </row>
        <row r="147">
          <cell r="B147" t="str">
            <v>Transfer to  Reserves</v>
          </cell>
          <cell r="D147">
            <v>73.849999999999994</v>
          </cell>
          <cell r="F147">
            <v>3.5</v>
          </cell>
          <cell r="H147">
            <v>25</v>
          </cell>
          <cell r="J147">
            <v>20.72</v>
          </cell>
          <cell r="L147">
            <v>18.54</v>
          </cell>
          <cell r="N147">
            <v>0</v>
          </cell>
        </row>
        <row r="149">
          <cell r="B149" t="str">
            <v>Balance Carried  to Balance Sheet</v>
          </cell>
          <cell r="D149">
            <v>62.023999999999944</v>
          </cell>
          <cell r="F149">
            <v>98.301999999999907</v>
          </cell>
          <cell r="H149">
            <v>133.31800000000061</v>
          </cell>
          <cell r="J149">
            <v>117.35999999999984</v>
          </cell>
          <cell r="L149">
            <v>196.61719999999937</v>
          </cell>
          <cell r="N149">
            <v>338.04219999999998</v>
          </cell>
        </row>
        <row r="150">
          <cell r="C150">
            <v>0</v>
          </cell>
          <cell r="D150" t="str">
            <v>-</v>
          </cell>
          <cell r="E150">
            <v>0</v>
          </cell>
          <cell r="F150" t="str">
            <v>-</v>
          </cell>
          <cell r="G150">
            <v>0</v>
          </cell>
          <cell r="H150" t="str">
            <v>-</v>
          </cell>
          <cell r="I150">
            <v>0</v>
          </cell>
          <cell r="J150" t="str">
            <v>-</v>
          </cell>
          <cell r="K150">
            <v>0</v>
          </cell>
          <cell r="L150" t="str">
            <v>-</v>
          </cell>
          <cell r="M150">
            <v>0</v>
          </cell>
          <cell r="N150" t="str">
            <v>-</v>
          </cell>
        </row>
        <row r="151">
          <cell r="D151">
            <v>161.52399999999994</v>
          </cell>
          <cell r="F151">
            <v>126.9969999999999</v>
          </cell>
          <cell r="H151">
            <v>158.31800000000061</v>
          </cell>
          <cell r="J151">
            <v>138.07999999999984</v>
          </cell>
          <cell r="L151">
            <v>215.15719999999936</v>
          </cell>
          <cell r="N151">
            <v>338.04219999999998</v>
          </cell>
        </row>
        <row r="152">
          <cell r="C152">
            <v>0</v>
          </cell>
          <cell r="D152" t="str">
            <v>=</v>
          </cell>
          <cell r="E152">
            <v>0</v>
          </cell>
          <cell r="F152" t="str">
            <v>=</v>
          </cell>
          <cell r="G152">
            <v>0</v>
          </cell>
          <cell r="H152" t="str">
            <v>=</v>
          </cell>
          <cell r="I152">
            <v>0</v>
          </cell>
          <cell r="J152" t="str">
            <v>=</v>
          </cell>
          <cell r="K152">
            <v>0</v>
          </cell>
          <cell r="L152" t="str">
            <v>=</v>
          </cell>
          <cell r="M152">
            <v>0</v>
          </cell>
          <cell r="N152" t="str">
            <v>=</v>
          </cell>
        </row>
        <row r="174">
          <cell r="B174" t="str">
            <v>DETAILS  FOR  CALCULATING RATIOS</v>
          </cell>
        </row>
        <row r="175">
          <cell r="G175" t="str">
            <v>(RS.IN LACS)</v>
          </cell>
        </row>
        <row r="176">
          <cell r="B176" t="str">
            <v>-</v>
          </cell>
          <cell r="C176" t="str">
            <v>-</v>
          </cell>
          <cell r="D176" t="str">
            <v>-</v>
          </cell>
          <cell r="E176" t="str">
            <v>-</v>
          </cell>
          <cell r="F176" t="str">
            <v>-</v>
          </cell>
          <cell r="G176" t="str">
            <v>-</v>
          </cell>
          <cell r="H176" t="str">
            <v>-</v>
          </cell>
        </row>
        <row r="177">
          <cell r="B177" t="str">
            <v>PARTICULARS</v>
          </cell>
          <cell r="C177" t="str">
            <v>1997-98</v>
          </cell>
          <cell r="D177" t="str">
            <v>1998-99</v>
          </cell>
          <cell r="E177" t="str">
            <v>1999-00</v>
          </cell>
          <cell r="F177" t="str">
            <v>2000-01</v>
          </cell>
          <cell r="G177" t="str">
            <v>2001-02</v>
          </cell>
          <cell r="H177" t="str">
            <v>2002-03</v>
          </cell>
        </row>
        <row r="178">
          <cell r="B178" t="str">
            <v>-</v>
          </cell>
          <cell r="C178" t="str">
            <v>-</v>
          </cell>
          <cell r="D178" t="str">
            <v>-</v>
          </cell>
          <cell r="E178" t="str">
            <v>-</v>
          </cell>
          <cell r="F178" t="str">
            <v>-</v>
          </cell>
          <cell r="G178" t="str">
            <v>-</v>
          </cell>
          <cell r="H178" t="str">
            <v>-</v>
          </cell>
        </row>
        <row r="179">
          <cell r="B179" t="str">
            <v>Total  Share  Capital</v>
          </cell>
          <cell r="C179">
            <v>265.87599999999998</v>
          </cell>
          <cell r="D179">
            <v>268.02600000000001</v>
          </cell>
          <cell r="E179">
            <v>248.03</v>
          </cell>
          <cell r="F179">
            <v>235.80600000000001</v>
          </cell>
          <cell r="G179">
            <v>220.01</v>
          </cell>
          <cell r="H179">
            <v>229.01</v>
          </cell>
        </row>
        <row r="181">
          <cell r="B181" t="str">
            <v>Total  Dividend</v>
          </cell>
          <cell r="C181">
            <v>25.65</v>
          </cell>
          <cell r="D181">
            <v>25.195</v>
          </cell>
          <cell r="E181">
            <v>0</v>
          </cell>
          <cell r="F181">
            <v>0</v>
          </cell>
          <cell r="G181">
            <v>0</v>
          </cell>
          <cell r="H181">
            <v>0</v>
          </cell>
        </row>
        <row r="183">
          <cell r="B183" t="str">
            <v>Loan  Funds</v>
          </cell>
          <cell r="C183">
            <v>455.697</v>
          </cell>
          <cell r="D183">
            <v>644.00800000000004</v>
          </cell>
          <cell r="E183">
            <v>841.41</v>
          </cell>
          <cell r="F183">
            <v>669.26499999999999</v>
          </cell>
          <cell r="G183">
            <v>400.09700000000004</v>
          </cell>
          <cell r="H183">
            <v>449.85400000000004</v>
          </cell>
        </row>
        <row r="185">
          <cell r="B185" t="str">
            <v>Term  Loans</v>
          </cell>
          <cell r="C185">
            <v>233.88</v>
          </cell>
          <cell r="D185">
            <v>292.82</v>
          </cell>
          <cell r="E185">
            <v>504.47999999999996</v>
          </cell>
          <cell r="F185">
            <v>544.1</v>
          </cell>
          <cell r="G185">
            <v>322.64</v>
          </cell>
          <cell r="H185">
            <v>263.04000000000002</v>
          </cell>
        </row>
        <row r="187">
          <cell r="B187" t="str">
            <v>Unsecured  Loan</v>
          </cell>
          <cell r="C187">
            <v>71.117000000000004</v>
          </cell>
          <cell r="D187">
            <v>194.89</v>
          </cell>
          <cell r="E187">
            <v>86.25</v>
          </cell>
          <cell r="F187">
            <v>13.775</v>
          </cell>
          <cell r="G187">
            <v>17.29</v>
          </cell>
          <cell r="H187">
            <v>84.9</v>
          </cell>
        </row>
        <row r="189">
          <cell r="B189" t="str">
            <v>Working  Capital  Loan</v>
          </cell>
          <cell r="C189">
            <v>150.69999999999999</v>
          </cell>
          <cell r="D189">
            <v>156.30000000000001</v>
          </cell>
          <cell r="E189">
            <v>250.68</v>
          </cell>
          <cell r="F189">
            <v>111.39</v>
          </cell>
          <cell r="G189">
            <v>60.167000000000002</v>
          </cell>
          <cell r="H189">
            <v>101.91</v>
          </cell>
        </row>
        <row r="191">
          <cell r="B191" t="str">
            <v>Debt</v>
          </cell>
          <cell r="C191">
            <v>233.88</v>
          </cell>
          <cell r="D191">
            <v>292.81800000000004</v>
          </cell>
          <cell r="E191">
            <v>504.47999999999996</v>
          </cell>
          <cell r="F191">
            <v>544.1</v>
          </cell>
          <cell r="G191">
            <v>322.64</v>
          </cell>
          <cell r="H191">
            <v>263.0440000000001</v>
          </cell>
        </row>
        <row r="193">
          <cell r="B193" t="str">
            <v>Current  Assets:</v>
          </cell>
        </row>
        <row r="195">
          <cell r="B195" t="str">
            <v>a. Inventories</v>
          </cell>
          <cell r="C195">
            <v>59.53</v>
          </cell>
          <cell r="D195">
            <v>75.837000000000003</v>
          </cell>
          <cell r="E195">
            <v>114.19</v>
          </cell>
          <cell r="F195">
            <v>169.51</v>
          </cell>
          <cell r="G195">
            <v>144.63300000000001</v>
          </cell>
          <cell r="H195">
            <v>117.34699999999999</v>
          </cell>
        </row>
        <row r="197">
          <cell r="B197" t="str">
            <v>b. Sundry  Debtors</v>
          </cell>
          <cell r="C197">
            <v>52.31</v>
          </cell>
          <cell r="D197">
            <v>38.17</v>
          </cell>
          <cell r="E197">
            <v>84.45</v>
          </cell>
          <cell r="F197">
            <v>97.71</v>
          </cell>
          <cell r="G197">
            <v>126.718</v>
          </cell>
          <cell r="H197">
            <v>50.72</v>
          </cell>
        </row>
        <row r="199">
          <cell r="B199" t="str">
            <v>c.  Cash &amp; Bank Balances</v>
          </cell>
          <cell r="C199">
            <v>0.48</v>
          </cell>
          <cell r="D199">
            <v>0.54800000000000004</v>
          </cell>
          <cell r="E199">
            <v>5.32</v>
          </cell>
          <cell r="F199">
            <v>27.18</v>
          </cell>
          <cell r="G199">
            <v>1.7090000000000001</v>
          </cell>
          <cell r="H199">
            <v>1.8939999999999999</v>
          </cell>
        </row>
        <row r="201">
          <cell r="B201" t="str">
            <v>d.  Loans &amp;  Advances</v>
          </cell>
          <cell r="C201">
            <v>85.944000000000003</v>
          </cell>
          <cell r="D201">
            <v>200.56800000000001</v>
          </cell>
          <cell r="E201">
            <v>228.04</v>
          </cell>
          <cell r="F201">
            <v>12.129999999999999</v>
          </cell>
          <cell r="G201">
            <v>33.356999999999999</v>
          </cell>
          <cell r="H201">
            <v>61.322999999999993</v>
          </cell>
        </row>
        <row r="203">
          <cell r="B203" t="str">
            <v>e.  Deposits</v>
          </cell>
          <cell r="C203">
            <v>26.745999999999999</v>
          </cell>
          <cell r="D203">
            <v>2.82</v>
          </cell>
          <cell r="E203">
            <v>6.84</v>
          </cell>
          <cell r="F203">
            <v>6.84</v>
          </cell>
          <cell r="G203">
            <v>6.88</v>
          </cell>
          <cell r="H203">
            <v>8.1999999999999993</v>
          </cell>
        </row>
        <row r="205">
          <cell r="B205" t="str">
            <v>f. Trade  Investments</v>
          </cell>
          <cell r="C205">
            <v>29.998999999999999</v>
          </cell>
          <cell r="D205">
            <v>58.198999999999998</v>
          </cell>
          <cell r="E205">
            <v>58.198999999999998</v>
          </cell>
          <cell r="F205">
            <v>58.198999999999998</v>
          </cell>
          <cell r="G205">
            <v>58.198999999999998</v>
          </cell>
          <cell r="H205">
            <v>178.19900000000001</v>
          </cell>
        </row>
        <row r="206">
          <cell r="C206" t="str">
            <v>-</v>
          </cell>
          <cell r="D206" t="str">
            <v>-</v>
          </cell>
          <cell r="E206" t="str">
            <v>-</v>
          </cell>
          <cell r="F206" t="str">
            <v>-</v>
          </cell>
          <cell r="G206" t="str">
            <v>-</v>
          </cell>
          <cell r="H206" t="str">
            <v>-</v>
          </cell>
        </row>
        <row r="207">
          <cell r="B207" t="str">
            <v xml:space="preserve">         Total Current  Assets</v>
          </cell>
          <cell r="C207">
            <v>255.00900000000001</v>
          </cell>
          <cell r="D207">
            <v>376.14200000000005</v>
          </cell>
          <cell r="E207">
            <v>497.03899999999999</v>
          </cell>
          <cell r="F207">
            <v>371.56899999999996</v>
          </cell>
          <cell r="G207">
            <v>371.49600000000004</v>
          </cell>
          <cell r="H207">
            <v>417.68299999999999</v>
          </cell>
        </row>
        <row r="209">
          <cell r="B209" t="str">
            <v>Current Liabilities</v>
          </cell>
          <cell r="C209">
            <v>35.774999999999999</v>
          </cell>
          <cell r="D209">
            <v>99.53</v>
          </cell>
          <cell r="E209">
            <v>93.27</v>
          </cell>
          <cell r="F209">
            <v>72.38</v>
          </cell>
          <cell r="G209">
            <v>77.563999999999993</v>
          </cell>
          <cell r="H209">
            <v>56.210999999999999</v>
          </cell>
        </row>
        <row r="210">
          <cell r="C210" t="str">
            <v>-</v>
          </cell>
          <cell r="D210" t="str">
            <v>-</v>
          </cell>
          <cell r="E210" t="str">
            <v>-</v>
          </cell>
          <cell r="F210" t="str">
            <v>-</v>
          </cell>
          <cell r="G210" t="str">
            <v>-</v>
          </cell>
          <cell r="H210" t="str">
            <v>-</v>
          </cell>
        </row>
        <row r="211">
          <cell r="B211" t="str">
            <v xml:space="preserve">         Total  Current Liabilities</v>
          </cell>
          <cell r="C211">
            <v>178.42499999999998</v>
          </cell>
          <cell r="D211">
            <v>255.83</v>
          </cell>
          <cell r="E211">
            <v>343.95</v>
          </cell>
          <cell r="F211">
            <v>183.76999999999998</v>
          </cell>
          <cell r="G211">
            <v>137.73099999999999</v>
          </cell>
          <cell r="H211">
            <v>158.12099999999998</v>
          </cell>
        </row>
        <row r="212">
          <cell r="C212" t="str">
            <v>-</v>
          </cell>
          <cell r="D212" t="str">
            <v>-</v>
          </cell>
          <cell r="E212" t="str">
            <v>-</v>
          </cell>
          <cell r="F212" t="str">
            <v>-</v>
          </cell>
          <cell r="G212" t="str">
            <v>-</v>
          </cell>
          <cell r="H212" t="str">
            <v>-</v>
          </cell>
        </row>
        <row r="213">
          <cell r="B213" t="str">
            <v xml:space="preserve">Working  Capital  </v>
          </cell>
          <cell r="C213">
            <v>76.584000000000032</v>
          </cell>
          <cell r="D213">
            <v>120.31200000000004</v>
          </cell>
          <cell r="E213">
            <v>153.089</v>
          </cell>
          <cell r="F213">
            <v>187.79899999999998</v>
          </cell>
          <cell r="G213">
            <v>233.76500000000004</v>
          </cell>
          <cell r="H213">
            <v>259.56200000000001</v>
          </cell>
        </row>
        <row r="215">
          <cell r="B215" t="str">
            <v>L.T. Funds</v>
          </cell>
          <cell r="C215">
            <v>668.81899999999996</v>
          </cell>
          <cell r="D215">
            <v>978.98900000000003</v>
          </cell>
          <cell r="E215">
            <v>1086.5139999999999</v>
          </cell>
          <cell r="F215">
            <v>980.47500000000002</v>
          </cell>
          <cell r="G215">
            <v>781.90500000000009</v>
          </cell>
          <cell r="H215">
            <v>1021.3380000000001</v>
          </cell>
        </row>
        <row r="217">
          <cell r="B217" t="str">
            <v>Turnover</v>
          </cell>
          <cell r="C217">
            <v>1485.4159999999999</v>
          </cell>
          <cell r="D217">
            <v>1881.23</v>
          </cell>
          <cell r="E217">
            <v>2279.5500000000002</v>
          </cell>
          <cell r="F217">
            <v>3320.87</v>
          </cell>
          <cell r="G217">
            <v>3040.25</v>
          </cell>
          <cell r="H217">
            <v>2565.75</v>
          </cell>
        </row>
        <row r="219">
          <cell r="B219" t="str">
            <v>Gross  Profit</v>
          </cell>
          <cell r="C219">
            <v>231.62699999999992</v>
          </cell>
          <cell r="D219">
            <v>359.26299999999992</v>
          </cell>
          <cell r="E219">
            <v>364.77400000000046</v>
          </cell>
          <cell r="F219">
            <v>563.24999999999989</v>
          </cell>
          <cell r="G219">
            <v>554.10320000000002</v>
          </cell>
          <cell r="H219">
            <v>414.44300000000021</v>
          </cell>
        </row>
        <row r="221">
          <cell r="B221" t="str">
            <v>Net Profit for the Year</v>
          </cell>
          <cell r="C221">
            <v>67.093999999999923</v>
          </cell>
          <cell r="D221">
            <v>64.972999999999956</v>
          </cell>
          <cell r="E221">
            <v>60.519000000000688</v>
          </cell>
          <cell r="F221">
            <v>165.05199999999923</v>
          </cell>
          <cell r="G221">
            <v>105.79719999999952</v>
          </cell>
          <cell r="H221">
            <v>153.42500000000064</v>
          </cell>
        </row>
        <row r="223">
          <cell r="B223" t="str">
            <v>Interest  &amp;  Finance  Charges</v>
          </cell>
          <cell r="C223">
            <v>49.92</v>
          </cell>
          <cell r="D223">
            <v>71.62</v>
          </cell>
          <cell r="E223">
            <v>99.034000000000006</v>
          </cell>
          <cell r="F223">
            <v>109.523</v>
          </cell>
          <cell r="G223">
            <v>61.95</v>
          </cell>
          <cell r="H223">
            <v>38.351999999999997</v>
          </cell>
        </row>
        <row r="225">
          <cell r="B225" t="str">
            <v>PBIT</v>
          </cell>
          <cell r="C225">
            <v>117.01399999999992</v>
          </cell>
          <cell r="D225">
            <v>136.59299999999996</v>
          </cell>
          <cell r="E225">
            <v>159.55300000000068</v>
          </cell>
          <cell r="F225">
            <v>274.57499999999925</v>
          </cell>
          <cell r="G225">
            <v>167.74719999999951</v>
          </cell>
          <cell r="H225">
            <v>191.77700000000064</v>
          </cell>
        </row>
        <row r="227">
          <cell r="B227" t="str">
            <v>=</v>
          </cell>
          <cell r="C227" t="str">
            <v>=</v>
          </cell>
          <cell r="D227" t="str">
            <v>=</v>
          </cell>
          <cell r="E227" t="str">
            <v>=</v>
          </cell>
          <cell r="F227" t="str">
            <v>=</v>
          </cell>
          <cell r="G227" t="str">
            <v>=</v>
          </cell>
          <cell r="H227" t="str">
            <v>=</v>
          </cell>
        </row>
        <row r="229">
          <cell r="B229" t="str">
            <v>CALCULATION  OF  VARIOUS  RATIOS</v>
          </cell>
        </row>
        <row r="231">
          <cell r="B231" t="str">
            <v>-</v>
          </cell>
          <cell r="C231" t="str">
            <v>-</v>
          </cell>
          <cell r="D231" t="str">
            <v>-</v>
          </cell>
          <cell r="E231" t="str">
            <v>-</v>
          </cell>
          <cell r="F231" t="str">
            <v>-</v>
          </cell>
          <cell r="G231" t="str">
            <v>-</v>
          </cell>
          <cell r="H231" t="str">
            <v>-</v>
          </cell>
        </row>
        <row r="232">
          <cell r="B232" t="str">
            <v>PARTICULARS</v>
          </cell>
          <cell r="C232" t="str">
            <v>1997-98</v>
          </cell>
          <cell r="D232" t="str">
            <v>1998-99</v>
          </cell>
          <cell r="E232" t="str">
            <v>1999-00</v>
          </cell>
          <cell r="F232" t="str">
            <v>2000-01</v>
          </cell>
          <cell r="G232" t="str">
            <v>2001-02</v>
          </cell>
          <cell r="H232" t="str">
            <v>2002-03</v>
          </cell>
        </row>
        <row r="233">
          <cell r="B233" t="str">
            <v>-</v>
          </cell>
          <cell r="C233" t="str">
            <v>-</v>
          </cell>
          <cell r="D233" t="str">
            <v>-</v>
          </cell>
          <cell r="E233" t="str">
            <v>-</v>
          </cell>
          <cell r="F233" t="str">
            <v>-</v>
          </cell>
          <cell r="G233" t="str">
            <v>-</v>
          </cell>
          <cell r="H233" t="str">
            <v>-</v>
          </cell>
        </row>
        <row r="234">
          <cell r="B234" t="str">
            <v>NET PROFIT AFTER TAX</v>
          </cell>
          <cell r="C234">
            <v>67.093999999999923</v>
          </cell>
          <cell r="D234">
            <v>64.972999999999956</v>
          </cell>
          <cell r="E234">
            <v>60.016000000000687</v>
          </cell>
          <cell r="F234">
            <v>4.7619999999992331</v>
          </cell>
          <cell r="G234">
            <v>97.797199999999521</v>
          </cell>
          <cell r="H234">
            <v>141.42500000000064</v>
          </cell>
        </row>
        <row r="236">
          <cell r="B236" t="str">
            <v>CASH PROFIT</v>
          </cell>
          <cell r="C236">
            <v>95.14099999999992</v>
          </cell>
          <cell r="D236">
            <v>102.49799999999996</v>
          </cell>
          <cell r="E236">
            <v>108.62300000000069</v>
          </cell>
          <cell r="F236">
            <v>106.08999999999924</v>
          </cell>
          <cell r="G236">
            <v>276.2331999999995</v>
          </cell>
          <cell r="H236">
            <v>216.42500000000064</v>
          </cell>
        </row>
        <row r="238">
          <cell r="B238" t="str">
            <v>EQUITY SHARE CAPITAL</v>
          </cell>
          <cell r="C238">
            <v>229.04599999999999</v>
          </cell>
          <cell r="D238">
            <v>229.04600000000002</v>
          </cell>
          <cell r="E238">
            <v>229.05</v>
          </cell>
          <cell r="F238">
            <v>216.82600000000002</v>
          </cell>
          <cell r="G238">
            <v>213.25399999999999</v>
          </cell>
          <cell r="H238">
            <v>213.25399999999999</v>
          </cell>
        </row>
        <row r="240">
          <cell r="B240" t="str">
            <v>PREFERENCE SHARE CAPITAL</v>
          </cell>
          <cell r="C240">
            <v>36.83</v>
          </cell>
          <cell r="D240">
            <v>38.979999999999997</v>
          </cell>
          <cell r="E240">
            <v>18.98</v>
          </cell>
          <cell r="F240">
            <v>18.98</v>
          </cell>
          <cell r="G240">
            <v>6.7560000000000002</v>
          </cell>
          <cell r="H240">
            <v>15.756</v>
          </cell>
        </row>
        <row r="242">
          <cell r="B242" t="str">
            <v>RESERVES &amp; SURPLUS</v>
          </cell>
          <cell r="C242">
            <v>101.946</v>
          </cell>
          <cell r="D242">
            <v>226.69499999999999</v>
          </cell>
          <cell r="E242">
            <v>250.63</v>
          </cell>
          <cell r="F242">
            <v>189.11</v>
          </cell>
          <cell r="G242">
            <v>223.72</v>
          </cell>
          <cell r="H242">
            <v>446.13900000000001</v>
          </cell>
        </row>
        <row r="244">
          <cell r="B244" t="str">
            <v>UNSECURED  LOAN</v>
          </cell>
          <cell r="C244">
            <v>71.117000000000004</v>
          </cell>
          <cell r="D244">
            <v>194.89</v>
          </cell>
          <cell r="E244">
            <v>86.25</v>
          </cell>
          <cell r="F244">
            <v>13.775</v>
          </cell>
          <cell r="G244">
            <v>17.29</v>
          </cell>
          <cell r="H244">
            <v>84.9</v>
          </cell>
        </row>
        <row r="246">
          <cell r="B246" t="str">
            <v>TERM LOANS</v>
          </cell>
          <cell r="C246">
            <v>233.88</v>
          </cell>
          <cell r="D246">
            <v>292.82</v>
          </cell>
          <cell r="E246">
            <v>504.47999999999996</v>
          </cell>
          <cell r="F246">
            <v>544.1</v>
          </cell>
          <cell r="G246">
            <v>322.64</v>
          </cell>
          <cell r="H246">
            <v>263.04000000000002</v>
          </cell>
        </row>
        <row r="248">
          <cell r="B248" t="str">
            <v>EQUITY SHARES OF Rs.10 EACH</v>
          </cell>
          <cell r="C248">
            <v>2290460</v>
          </cell>
          <cell r="D248">
            <v>2290460.0000000005</v>
          </cell>
          <cell r="E248">
            <v>2290500</v>
          </cell>
          <cell r="F248">
            <v>2168260.0000000005</v>
          </cell>
          <cell r="G248">
            <v>2132540</v>
          </cell>
          <cell r="H248">
            <v>2132540</v>
          </cell>
        </row>
        <row r="250">
          <cell r="B250" t="str">
            <v>EPS</v>
          </cell>
          <cell r="C250">
            <v>2.9292805811932943</v>
          </cell>
          <cell r="D250">
            <v>2.8366790950289436</v>
          </cell>
          <cell r="E250">
            <v>2.6202139270901847</v>
          </cell>
          <cell r="F250">
            <v>0.2196231079298254</v>
          </cell>
          <cell r="G250">
            <v>4.5859491498400748</v>
          </cell>
          <cell r="H250">
            <v>6.6317630618886696</v>
          </cell>
        </row>
        <row r="252">
          <cell r="B252" t="str">
            <v>CASH  EPS</v>
          </cell>
          <cell r="C252">
            <v>4.1537944343057687</v>
          </cell>
          <cell r="D252">
            <v>4.4749962889550545</v>
          </cell>
          <cell r="E252">
            <v>4.7423270028378388</v>
          </cell>
          <cell r="F252">
            <v>4.8928634019904997</v>
          </cell>
          <cell r="G252">
            <v>12.953248239188925</v>
          </cell>
          <cell r="H252">
            <v>10.148695921295761</v>
          </cell>
        </row>
        <row r="254">
          <cell r="B254" t="str">
            <v>DIVIDEND %</v>
          </cell>
          <cell r="C254">
            <v>9.6473544058132368E-2</v>
          </cell>
          <cell r="D254">
            <v>9.4002074425615423E-2</v>
          </cell>
          <cell r="E254">
            <v>0</v>
          </cell>
          <cell r="F254">
            <v>0</v>
          </cell>
          <cell r="G254">
            <v>0</v>
          </cell>
          <cell r="H254">
            <v>0</v>
          </cell>
        </row>
        <row r="256">
          <cell r="B256" t="str">
            <v>NET  WORTH</v>
          </cell>
          <cell r="C256">
            <v>363.822</v>
          </cell>
          <cell r="D256">
            <v>491.28100000000001</v>
          </cell>
          <cell r="E256">
            <v>495.78399999999999</v>
          </cell>
          <cell r="F256">
            <v>422.60000000000008</v>
          </cell>
          <cell r="G256">
            <v>441.97500000000002</v>
          </cell>
          <cell r="H256">
            <v>673.39400000000001</v>
          </cell>
        </row>
        <row r="258">
          <cell r="B258" t="str">
            <v>BOOK VALUE PER SHARE</v>
          </cell>
          <cell r="C258">
            <v>15.884232861521268</v>
          </cell>
          <cell r="D258">
            <v>21.449010242484039</v>
          </cell>
          <cell r="E258">
            <v>21.645230299061339</v>
          </cell>
          <cell r="F258">
            <v>19.490282530692813</v>
          </cell>
          <cell r="G258">
            <v>20.725285340485993</v>
          </cell>
          <cell r="H258">
            <v>31.577086479034392</v>
          </cell>
        </row>
        <row r="260">
          <cell r="B260" t="str">
            <v>DEBT -EQUITY RATIO</v>
          </cell>
          <cell r="C260">
            <v>0.53773057831098148</v>
          </cell>
          <cell r="D260">
            <v>0.42674202203240885</v>
          </cell>
          <cell r="E260">
            <v>0.8667534886278121</v>
          </cell>
          <cell r="F260">
            <v>1.2468633629332568</v>
          </cell>
          <cell r="G260">
            <v>0.70251379922267088</v>
          </cell>
          <cell r="H260">
            <v>0.34688920128604483</v>
          </cell>
        </row>
        <row r="262">
          <cell r="B262" t="str">
            <v>CURRENT  RATIO</v>
          </cell>
          <cell r="C262">
            <v>1.4292223623371167</v>
          </cell>
          <cell r="D262">
            <v>1.4702810460071143</v>
          </cell>
          <cell r="E262">
            <v>1.4450908562291032</v>
          </cell>
          <cell r="F262">
            <v>2.0219241443108231</v>
          </cell>
          <cell r="G262">
            <v>2.6972576979764908</v>
          </cell>
          <cell r="H262">
            <v>2.6415403393603634</v>
          </cell>
        </row>
        <row r="264">
          <cell r="B264" t="str">
            <v>LIQUID  RATIO</v>
          </cell>
          <cell r="C264">
            <v>1.0955807762365142</v>
          </cell>
          <cell r="D264">
            <v>1.1738459133018022</v>
          </cell>
          <cell r="E264">
            <v>1.1130949265881669</v>
          </cell>
          <cell r="F264">
            <v>1.0995211405561298</v>
          </cell>
          <cell r="G264">
            <v>1.6471455227944329</v>
          </cell>
          <cell r="H264">
            <v>1.8994061509856379</v>
          </cell>
        </row>
        <row r="265">
          <cell r="B265" t="str">
            <v>=</v>
          </cell>
          <cell r="C265" t="str">
            <v>=</v>
          </cell>
          <cell r="D265" t="str">
            <v>=</v>
          </cell>
          <cell r="E265" t="str">
            <v>=</v>
          </cell>
          <cell r="F265" t="str">
            <v>=</v>
          </cell>
          <cell r="G265" t="str">
            <v>=</v>
          </cell>
          <cell r="H265" t="str">
            <v>=</v>
          </cell>
        </row>
        <row r="267">
          <cell r="C267" t="str">
            <v>(RS.IN LACS)</v>
          </cell>
        </row>
        <row r="268">
          <cell r="B268" t="str">
            <v>-</v>
          </cell>
          <cell r="C268" t="str">
            <v>-</v>
          </cell>
          <cell r="D268" t="str">
            <v>-</v>
          </cell>
          <cell r="E268" t="str">
            <v>-</v>
          </cell>
          <cell r="F268" t="str">
            <v>-</v>
          </cell>
          <cell r="G268" t="str">
            <v>-</v>
          </cell>
          <cell r="H268" t="str">
            <v>-</v>
          </cell>
        </row>
        <row r="269">
          <cell r="B269" t="str">
            <v>PARTICULARS</v>
          </cell>
          <cell r="C269" t="str">
            <v>1997-98</v>
          </cell>
          <cell r="D269" t="str">
            <v>1998-99</v>
          </cell>
          <cell r="E269" t="str">
            <v>1999-00</v>
          </cell>
          <cell r="F269" t="str">
            <v>2000-01</v>
          </cell>
          <cell r="G269" t="str">
            <v>2001-02</v>
          </cell>
          <cell r="H269" t="str">
            <v>2002-03</v>
          </cell>
        </row>
        <row r="270">
          <cell r="B270" t="str">
            <v>-</v>
          </cell>
          <cell r="C270" t="str">
            <v>-</v>
          </cell>
          <cell r="D270" t="str">
            <v>-</v>
          </cell>
          <cell r="E270" t="str">
            <v>-</v>
          </cell>
          <cell r="F270" t="str">
            <v>-</v>
          </cell>
          <cell r="G270" t="str">
            <v>-</v>
          </cell>
          <cell r="H270" t="str">
            <v>-</v>
          </cell>
        </row>
        <row r="271">
          <cell r="B271" t="str">
            <v>FIXED  ASSETS/ L.T.FUNDS</v>
          </cell>
          <cell r="C271">
            <v>0.86290909797718074</v>
          </cell>
          <cell r="D271">
            <v>0.88910089898865063</v>
          </cell>
          <cell r="E271">
            <v>0.91570840320511304</v>
          </cell>
          <cell r="F271">
            <v>0.78256865294882583</v>
          </cell>
          <cell r="G271">
            <v>0.75275896688216593</v>
          </cell>
          <cell r="H271">
            <v>0.50332994562035283</v>
          </cell>
        </row>
        <row r="273">
          <cell r="B273" t="str">
            <v>RETURN  ON NET  WORTH</v>
          </cell>
          <cell r="D273">
            <v>0.1519653187978523</v>
          </cell>
          <cell r="E273">
            <v>0.12160496015966665</v>
          </cell>
          <cell r="F273">
            <v>1.0370389728042372E-2</v>
          </cell>
          <cell r="G273">
            <v>0.2262318480178111</v>
          </cell>
          <cell r="H273">
            <v>0.25359320547729158</v>
          </cell>
        </row>
        <row r="275">
          <cell r="B275" t="str">
            <v>RETURN ON  CAPITAL</v>
          </cell>
          <cell r="C275">
            <v>0.25235071988445718</v>
          </cell>
          <cell r="D275">
            <v>0.24241304948027412</v>
          </cell>
          <cell r="E275">
            <v>0.24197072934725916</v>
          </cell>
          <cell r="F275">
            <v>2.0194566720097167E-2</v>
          </cell>
          <cell r="G275">
            <v>0.44451252215808157</v>
          </cell>
          <cell r="H275">
            <v>0.61754945198899891</v>
          </cell>
        </row>
        <row r="277">
          <cell r="B277" t="str">
            <v>GROSS  PROFIT  RATIO</v>
          </cell>
          <cell r="C277">
            <v>0.15593409522988841</v>
          </cell>
          <cell r="D277">
            <v>0.19097239571982155</v>
          </cell>
          <cell r="E277">
            <v>0.16002017942137722</v>
          </cell>
          <cell r="F277">
            <v>0.16960916868170084</v>
          </cell>
          <cell r="G277">
            <v>0.18225580133212729</v>
          </cell>
          <cell r="H277">
            <v>0.16152898762545073</v>
          </cell>
        </row>
        <row r="279">
          <cell r="B279" t="str">
            <v>NET  PROFIT  RATIO</v>
          </cell>
          <cell r="C279">
            <v>4.5168491520220545E-2</v>
          </cell>
          <cell r="D279">
            <v>3.4537510033329236E-2</v>
          </cell>
          <cell r="E279">
            <v>2.6328003333991656E-2</v>
          </cell>
          <cell r="F279">
            <v>1.4339615823561998E-3</v>
          </cell>
          <cell r="G279">
            <v>3.2167486226461484E-2</v>
          </cell>
          <cell r="H279">
            <v>5.5120335184644112E-2</v>
          </cell>
        </row>
        <row r="281">
          <cell r="B281" t="str">
            <v>CAPITAL  TURNOVER RATIO</v>
          </cell>
          <cell r="C281">
            <v>5.5868750846259161</v>
          </cell>
          <cell r="D281">
            <v>7.0188339937170277</v>
          </cell>
          <cell r="E281">
            <v>9.1906221021650616</v>
          </cell>
          <cell r="F281">
            <v>14.083059803397708</v>
          </cell>
          <cell r="G281">
            <v>13.818690059542748</v>
          </cell>
          <cell r="H281">
            <v>11.203659228854635</v>
          </cell>
        </row>
        <row r="283">
          <cell r="B283" t="str">
            <v>WORKING  CAP.  TURNOVER</v>
          </cell>
          <cell r="C283">
            <v>19.395905149900752</v>
          </cell>
          <cell r="D283">
            <v>15.636262384467047</v>
          </cell>
          <cell r="E283">
            <v>14.890357896387071</v>
          </cell>
          <cell r="F283">
            <v>17.683108003769991</v>
          </cell>
          <cell r="G283">
            <v>13.005582529463348</v>
          </cell>
          <cell r="H283">
            <v>9.884921521640301</v>
          </cell>
        </row>
        <row r="285">
          <cell r="B285" t="str">
            <v>INT./PBIT (%)</v>
          </cell>
          <cell r="C285">
            <v>0.42661561864392322</v>
          </cell>
          <cell r="D285">
            <v>0.52433140790523691</v>
          </cell>
          <cell r="E285">
            <v>0.62069657104535536</v>
          </cell>
          <cell r="F285">
            <v>0.39888190840389803</v>
          </cell>
          <cell r="G285">
            <v>0.3693057171744159</v>
          </cell>
          <cell r="H285">
            <v>0.19998227107525859</v>
          </cell>
        </row>
        <row r="286">
          <cell r="B286" t="str">
            <v>=</v>
          </cell>
          <cell r="C286" t="str">
            <v>=</v>
          </cell>
          <cell r="D286" t="str">
            <v>=</v>
          </cell>
          <cell r="E286" t="str">
            <v>=</v>
          </cell>
          <cell r="F286" t="str">
            <v>=</v>
          </cell>
          <cell r="G286" t="str">
            <v>=</v>
          </cell>
          <cell r="H286" t="str">
            <v>=</v>
          </cell>
        </row>
        <row r="292">
          <cell r="B292" t="str">
            <v>-</v>
          </cell>
          <cell r="C292" t="str">
            <v>-</v>
          </cell>
          <cell r="D292" t="str">
            <v>-</v>
          </cell>
          <cell r="E292" t="str">
            <v>-</v>
          </cell>
          <cell r="F292" t="str">
            <v>-</v>
          </cell>
          <cell r="G292" t="str">
            <v>-</v>
          </cell>
          <cell r="H292" t="str">
            <v>-</v>
          </cell>
        </row>
        <row r="293">
          <cell r="B293" t="str">
            <v>PARTICULARS</v>
          </cell>
          <cell r="C293" t="str">
            <v>1997-98</v>
          </cell>
          <cell r="D293" t="str">
            <v>1998-99</v>
          </cell>
          <cell r="E293" t="str">
            <v>1999-00</v>
          </cell>
          <cell r="F293" t="str">
            <v>2000-01</v>
          </cell>
          <cell r="G293" t="str">
            <v>2001-02</v>
          </cell>
          <cell r="H293" t="str">
            <v>2002-03</v>
          </cell>
        </row>
        <row r="294">
          <cell r="B294" t="str">
            <v>-</v>
          </cell>
          <cell r="C294" t="str">
            <v>-</v>
          </cell>
          <cell r="D294" t="str">
            <v>-</v>
          </cell>
          <cell r="E294" t="str">
            <v>-</v>
          </cell>
          <cell r="F294" t="str">
            <v>-</v>
          </cell>
          <cell r="G294" t="str">
            <v>-</v>
          </cell>
          <cell r="H294" t="str">
            <v>-</v>
          </cell>
        </row>
        <row r="295">
          <cell r="B295" t="str">
            <v>GROSS REVENUE</v>
          </cell>
          <cell r="C295">
            <v>1479.634</v>
          </cell>
          <cell r="D295">
            <v>1901.05</v>
          </cell>
          <cell r="E295">
            <v>2331.3060000000005</v>
          </cell>
          <cell r="F295">
            <v>3361.9189999999999</v>
          </cell>
          <cell r="G295">
            <v>2984.9791999999998</v>
          </cell>
          <cell r="H295">
            <v>2597.6440000000002</v>
          </cell>
        </row>
        <row r="297">
          <cell r="B297" t="str">
            <v>GROWTH IN QUANTITY</v>
          </cell>
        </row>
        <row r="298">
          <cell r="B298" t="str">
            <v>GROWTH   IN  %</v>
          </cell>
          <cell r="C298" t="e">
            <v>#REF!</v>
          </cell>
          <cell r="D298">
            <v>0.28481097352453372</v>
          </cell>
          <cell r="E298">
            <v>0.22632545172404753</v>
          </cell>
          <cell r="F298">
            <v>0.4420753860711546</v>
          </cell>
          <cell r="G298">
            <v>-0.11212042883841047</v>
          </cell>
          <cell r="H298">
            <v>-0.1297614402137206</v>
          </cell>
        </row>
        <row r="300">
          <cell r="B300" t="str">
            <v>PROFIT BEFORE TAX</v>
          </cell>
          <cell r="C300">
            <v>67.093999999999923</v>
          </cell>
          <cell r="D300">
            <v>64.972999999999956</v>
          </cell>
          <cell r="E300">
            <v>60.519000000000688</v>
          </cell>
          <cell r="F300">
            <v>165.05199999999923</v>
          </cell>
          <cell r="G300">
            <v>105.79719999999952</v>
          </cell>
          <cell r="H300">
            <v>153.42500000000064</v>
          </cell>
        </row>
        <row r="302">
          <cell r="B302" t="str">
            <v>GROWTH   IN  %</v>
          </cell>
          <cell r="D302">
            <v>-3.1612364742003296E-2</v>
          </cell>
          <cell r="E302">
            <v>-6.8551552183203357E-2</v>
          </cell>
          <cell r="F302">
            <v>1.7272757315883829</v>
          </cell>
          <cell r="G302">
            <v>-0.35900685844461128</v>
          </cell>
          <cell r="H302">
            <v>0.45018015599657962</v>
          </cell>
        </row>
        <row r="304">
          <cell r="B304" t="str">
            <v>PROFIT AFTER TAX</v>
          </cell>
          <cell r="C304">
            <v>67.093999999999923</v>
          </cell>
          <cell r="D304">
            <v>64.972999999999956</v>
          </cell>
          <cell r="E304">
            <v>60.016000000000687</v>
          </cell>
          <cell r="F304">
            <v>3.2183634601524653E-3</v>
          </cell>
          <cell r="G304">
            <v>4.7619999999992331</v>
          </cell>
          <cell r="H304">
            <v>6.6095534436218364E-2</v>
          </cell>
        </row>
        <row r="306">
          <cell r="B306" t="str">
            <v>DIVIDEND (%)</v>
          </cell>
          <cell r="C306">
            <v>9.6473544058132368E-2</v>
          </cell>
          <cell r="D306">
            <v>9.4002074425615423E-2</v>
          </cell>
          <cell r="E306">
            <v>0</v>
          </cell>
          <cell r="F306">
            <v>0</v>
          </cell>
          <cell r="G306">
            <v>0</v>
          </cell>
          <cell r="H306">
            <v>0</v>
          </cell>
        </row>
        <row r="308">
          <cell r="B308" t="str">
            <v>SHARE CAPITAL</v>
          </cell>
          <cell r="C308">
            <v>265.87599999999998</v>
          </cell>
          <cell r="D308">
            <v>268.02600000000001</v>
          </cell>
          <cell r="E308">
            <v>248.03</v>
          </cell>
          <cell r="F308">
            <v>235.80600000000001</v>
          </cell>
          <cell r="G308">
            <v>220.01</v>
          </cell>
          <cell r="H308">
            <v>229.01</v>
          </cell>
        </row>
        <row r="310">
          <cell r="B310" t="str">
            <v>RESERVES</v>
          </cell>
          <cell r="C310">
            <v>101.946</v>
          </cell>
          <cell r="D310">
            <v>226.69499999999999</v>
          </cell>
          <cell r="E310">
            <v>250.63</v>
          </cell>
          <cell r="F310">
            <v>189.11</v>
          </cell>
          <cell r="G310">
            <v>223.72</v>
          </cell>
          <cell r="H310">
            <v>446.13900000000001</v>
          </cell>
        </row>
        <row r="312">
          <cell r="B312" t="str">
            <v>BORROWINGS</v>
          </cell>
          <cell r="C312">
            <v>384.58</v>
          </cell>
          <cell r="D312">
            <v>449.11799999999999</v>
          </cell>
          <cell r="E312">
            <v>755.16</v>
          </cell>
          <cell r="F312">
            <v>655.49</v>
          </cell>
          <cell r="G312">
            <v>382.80700000000002</v>
          </cell>
          <cell r="H312">
            <v>364.95400000000001</v>
          </cell>
        </row>
        <row r="314">
          <cell r="B314" t="str">
            <v>CAPITAL EMPLOYED</v>
          </cell>
          <cell r="C314">
            <v>823.51900000000001</v>
          </cell>
          <cell r="D314">
            <v>1208.6790000000001</v>
          </cell>
          <cell r="E314">
            <v>1459.56</v>
          </cell>
          <cell r="F314">
            <v>1119.931</v>
          </cell>
          <cell r="G314">
            <v>935.17700000000013</v>
          </cell>
          <cell r="H314">
            <v>1128.203</v>
          </cell>
        </row>
        <row r="316">
          <cell r="B316" t="str">
            <v>NET WORTH</v>
          </cell>
          <cell r="C316">
            <v>363.822</v>
          </cell>
          <cell r="D316">
            <v>491.28100000000001</v>
          </cell>
          <cell r="E316">
            <v>495.78399999999999</v>
          </cell>
          <cell r="F316">
            <v>422.60000000000008</v>
          </cell>
          <cell r="G316">
            <v>441.97500000000002</v>
          </cell>
          <cell r="H316">
            <v>673.39400000000001</v>
          </cell>
        </row>
        <row r="318">
          <cell r="B318" t="str">
            <v>GROSS BLOCK</v>
          </cell>
          <cell r="C318">
            <v>692.09</v>
          </cell>
          <cell r="D318">
            <v>1022.12</v>
          </cell>
          <cell r="E318">
            <v>1194.46</v>
          </cell>
          <cell r="F318">
            <v>1227.2090000000001</v>
          </cell>
          <cell r="G318">
            <v>1191.136</v>
          </cell>
          <cell r="H318">
            <v>1191.6199999999999</v>
          </cell>
        </row>
        <row r="320">
          <cell r="B320" t="str">
            <v>NET BLOCK</v>
          </cell>
          <cell r="C320">
            <v>577.13</v>
          </cell>
          <cell r="D320">
            <v>870.42000000000007</v>
          </cell>
          <cell r="E320">
            <v>994.93000000000006</v>
          </cell>
          <cell r="F320">
            <v>767.28899999999999</v>
          </cell>
          <cell r="G320">
            <v>588.58600000000001</v>
          </cell>
          <cell r="H320">
            <v>514.06999999999994</v>
          </cell>
        </row>
        <row r="321">
          <cell r="B321">
            <v>0</v>
          </cell>
        </row>
        <row r="322">
          <cell r="B322" t="str">
            <v>DEBT-EQUITY RATIO</v>
          </cell>
          <cell r="C322">
            <v>0.64284182924616984</v>
          </cell>
          <cell r="D322">
            <v>0.59602956352881553</v>
          </cell>
          <cell r="E322">
            <v>1.0175398964064994</v>
          </cell>
          <cell r="F322">
            <v>1.2875059157595834</v>
          </cell>
          <cell r="G322">
            <v>0.7299960405000282</v>
          </cell>
          <cell r="H322">
            <v>0.39062421108593198</v>
          </cell>
        </row>
        <row r="324">
          <cell r="B324" t="str">
            <v>NUMBER OF SHARES</v>
          </cell>
          <cell r="C324">
            <v>2290460</v>
          </cell>
          <cell r="D324">
            <v>2290460.0000000005</v>
          </cell>
          <cell r="E324">
            <v>2290500</v>
          </cell>
          <cell r="F324">
            <v>2168260.0000000005</v>
          </cell>
          <cell r="G324">
            <v>2132540</v>
          </cell>
          <cell r="H324">
            <v>2132540</v>
          </cell>
        </row>
        <row r="326">
          <cell r="B326" t="str">
            <v>BOOK VALUE PER SHARE AT YEAR END</v>
          </cell>
          <cell r="C326">
            <v>15.884232861521268</v>
          </cell>
          <cell r="D326">
            <v>21.449010242484039</v>
          </cell>
          <cell r="E326">
            <v>21.645230299061339</v>
          </cell>
          <cell r="F326">
            <v>19.490282530692813</v>
          </cell>
          <cell r="G326">
            <v>20.725285340485993</v>
          </cell>
          <cell r="H326">
            <v>31.577086479034392</v>
          </cell>
        </row>
        <row r="328">
          <cell r="B328" t="str">
            <v>EARNINGS PER SHARE</v>
          </cell>
          <cell r="C328">
            <v>2.9292805811932943</v>
          </cell>
          <cell r="D328">
            <v>2.8366790950289436</v>
          </cell>
          <cell r="E328">
            <v>2.6202139270901847</v>
          </cell>
          <cell r="F328">
            <v>0.2196231079298254</v>
          </cell>
          <cell r="G328">
            <v>4.5859491498400748</v>
          </cell>
          <cell r="H328">
            <v>6.6317630618886696</v>
          </cell>
        </row>
        <row r="330">
          <cell r="B330" t="str">
            <v>NET SALES PER SHARE</v>
          </cell>
          <cell r="C330">
            <v>64.852300411271102</v>
          </cell>
          <cell r="D330">
            <v>0</v>
          </cell>
          <cell r="E330">
            <v>82.131848941279202</v>
          </cell>
          <cell r="F330">
            <v>0</v>
          </cell>
          <cell r="G330">
            <v>106.89365732881916</v>
          </cell>
          <cell r="H330">
            <v>0</v>
          </cell>
        </row>
        <row r="332">
          <cell r="B332" t="str">
            <v>DIVIDEND PER SHARE</v>
          </cell>
          <cell r="C332">
            <v>1.1198623857216454</v>
          </cell>
          <cell r="D332">
            <v>4.1040696814445745E-3</v>
          </cell>
          <cell r="E332">
            <v>1.0999781707050862</v>
          </cell>
          <cell r="F332">
            <v>0</v>
          </cell>
          <cell r="G332">
            <v>0</v>
          </cell>
          <cell r="H332">
            <v>0</v>
          </cell>
        </row>
        <row r="334">
          <cell r="B334" t="str">
            <v>PAY-OUT RATIO</v>
          </cell>
          <cell r="C334">
            <v>0.38229946045846169</v>
          </cell>
          <cell r="D334">
            <v>0.38777646099148905</v>
          </cell>
          <cell r="E334">
            <v>0</v>
          </cell>
          <cell r="F334">
            <v>0</v>
          </cell>
          <cell r="G334">
            <v>0</v>
          </cell>
          <cell r="H334">
            <v>0</v>
          </cell>
        </row>
        <row r="336">
          <cell r="B336" t="str">
            <v>CURRENT RATIO</v>
          </cell>
          <cell r="C336">
            <v>1.4292223623371167</v>
          </cell>
          <cell r="D336">
            <v>1.4702810460071143</v>
          </cell>
          <cell r="E336">
            <v>1.4450908562291032</v>
          </cell>
          <cell r="F336">
            <v>2.0219241443108231</v>
          </cell>
          <cell r="G336">
            <v>2.6972576979764908</v>
          </cell>
          <cell r="H336">
            <v>2.6415403393603634</v>
          </cell>
        </row>
        <row r="338">
          <cell r="B338" t="str">
            <v>LIQUID RATIO</v>
          </cell>
          <cell r="C338">
            <v>1.0955807762365142</v>
          </cell>
          <cell r="D338">
            <v>1.1738459133018022</v>
          </cell>
          <cell r="E338">
            <v>1.1130949265881669</v>
          </cell>
          <cell r="F338">
            <v>1.0995211405561298</v>
          </cell>
          <cell r="G338">
            <v>1.6471455227944329</v>
          </cell>
          <cell r="H338">
            <v>1.8994061509856379</v>
          </cell>
        </row>
        <row r="339">
          <cell r="B339" t="str">
            <v>EVA (ECONOMIC VALUE ADDITION)</v>
          </cell>
          <cell r="C339" t="e">
            <v>#REF!</v>
          </cell>
          <cell r="D339" t="e">
            <v>#REF!</v>
          </cell>
          <cell r="E339" t="e">
            <v>#REF!</v>
          </cell>
          <cell r="F339" t="e">
            <v>#REF!</v>
          </cell>
          <cell r="G339" t="e">
            <v>#REF!</v>
          </cell>
          <cell r="H339" t="e">
            <v>#REF!</v>
          </cell>
        </row>
        <row r="341">
          <cell r="B341" t="str">
            <v>EVA (% OF CAPITAL EMPLOYED)</v>
          </cell>
          <cell r="C341" t="e">
            <v>#REF!</v>
          </cell>
          <cell r="D341" t="e">
            <v>#REF!</v>
          </cell>
          <cell r="E341" t="e">
            <v>#REF!</v>
          </cell>
          <cell r="F341" t="e">
            <v>#REF!</v>
          </cell>
          <cell r="G341" t="e">
            <v>#REF!</v>
          </cell>
          <cell r="H341" t="e">
            <v>#REF!</v>
          </cell>
        </row>
        <row r="343">
          <cell r="B343" t="str">
            <v>SOLVENCY RATIO</v>
          </cell>
          <cell r="C343">
            <v>2.6400735302966414</v>
          </cell>
          <cell r="D343">
            <v>2.2234587162502883</v>
          </cell>
          <cell r="E343">
            <v>2.2371533127645913</v>
          </cell>
          <cell r="F343">
            <v>3.9468833547162023</v>
          </cell>
          <cell r="G343">
            <v>4.2496658045333788</v>
          </cell>
          <cell r="H343">
            <v>3.3046907048016805</v>
          </cell>
        </row>
        <row r="345">
          <cell r="B345" t="str">
            <v>RETURN ON NET WORTH</v>
          </cell>
          <cell r="C345">
            <v>0.18441435647102133</v>
          </cell>
          <cell r="D345">
            <v>0.13225221410964388</v>
          </cell>
          <cell r="E345">
            <v>0.12105271650557639</v>
          </cell>
          <cell r="F345">
            <v>7.6156257930725622E-6</v>
          </cell>
          <cell r="G345">
            <v>1.0774365065895656E-2</v>
          </cell>
          <cell r="H345">
            <v>9.815284133244187E-5</v>
          </cell>
        </row>
        <row r="347">
          <cell r="B347" t="str">
            <v>FIXED ASSETS  PER SHARE</v>
          </cell>
          <cell r="C347">
            <v>25.197121975498373</v>
          </cell>
          <cell r="D347">
            <v>38.001973402722591</v>
          </cell>
          <cell r="E347">
            <v>43.437240777122902</v>
          </cell>
          <cell r="F347">
            <v>35.387315174379452</v>
          </cell>
          <cell r="G347">
            <v>27.600232586493103</v>
          </cell>
          <cell r="H347">
            <v>24.105995667138714</v>
          </cell>
        </row>
        <row r="350">
          <cell r="B350" t="str">
            <v>=</v>
          </cell>
          <cell r="C350" t="str">
            <v>=</v>
          </cell>
          <cell r="D350" t="str">
            <v>=</v>
          </cell>
          <cell r="E350" t="str">
            <v>=</v>
          </cell>
          <cell r="F350" t="str">
            <v>=</v>
          </cell>
          <cell r="G350" t="str">
            <v>=</v>
          </cell>
          <cell r="H350" t="str">
            <v>=</v>
          </cell>
        </row>
      </sheetData>
      <sheetData sheetId="3" refreshError="1">
        <row r="2">
          <cell r="B2" t="str">
            <v>COMBINED</v>
          </cell>
        </row>
        <row r="3">
          <cell r="B3">
            <v>0</v>
          </cell>
          <cell r="C3">
            <v>0</v>
          </cell>
          <cell r="D3">
            <v>0</v>
          </cell>
          <cell r="E3">
            <v>0</v>
          </cell>
          <cell r="F3">
            <v>0</v>
          </cell>
          <cell r="G3">
            <v>0</v>
          </cell>
          <cell r="H3">
            <v>0</v>
          </cell>
        </row>
        <row r="4">
          <cell r="B4" t="str">
            <v>BALANCE    SHEET     FOR    LAST    SIX  YEARS</v>
          </cell>
        </row>
        <row r="6">
          <cell r="B6" t="str">
            <v>-</v>
          </cell>
          <cell r="C6" t="str">
            <v>-</v>
          </cell>
          <cell r="D6" t="str">
            <v>-</v>
          </cell>
          <cell r="E6" t="str">
            <v>-</v>
          </cell>
          <cell r="F6" t="str">
            <v>-</v>
          </cell>
          <cell r="G6" t="str">
            <v>-</v>
          </cell>
          <cell r="H6" t="str">
            <v>-</v>
          </cell>
        </row>
        <row r="7">
          <cell r="B7" t="str">
            <v>PARTICULARS</v>
          </cell>
          <cell r="C7" t="str">
            <v>1997-98</v>
          </cell>
          <cell r="D7" t="str">
            <v>1998-99</v>
          </cell>
          <cell r="E7" t="str">
            <v>1999-00</v>
          </cell>
          <cell r="F7" t="str">
            <v>2000-01</v>
          </cell>
          <cell r="G7" t="str">
            <v>2001-02</v>
          </cell>
          <cell r="H7" t="str">
            <v>2002-03</v>
          </cell>
        </row>
        <row r="8">
          <cell r="B8" t="str">
            <v>-</v>
          </cell>
          <cell r="C8" t="str">
            <v>-</v>
          </cell>
          <cell r="D8" t="str">
            <v>-</v>
          </cell>
          <cell r="E8" t="str">
            <v>-</v>
          </cell>
          <cell r="F8" t="str">
            <v>-</v>
          </cell>
          <cell r="G8" t="str">
            <v>-</v>
          </cell>
          <cell r="H8" t="str">
            <v>-</v>
          </cell>
        </row>
        <row r="9">
          <cell r="B9" t="str">
            <v>SOURCES OF  FUNDS</v>
          </cell>
        </row>
        <row r="11">
          <cell r="B11" t="str">
            <v>Shareholders' Funds</v>
          </cell>
        </row>
        <row r="13">
          <cell r="B13" t="str">
            <v>a. Share  Capital</v>
          </cell>
          <cell r="C13">
            <v>298.60599999999999</v>
          </cell>
          <cell r="D13">
            <v>303.25600000000003</v>
          </cell>
          <cell r="E13">
            <v>283.26</v>
          </cell>
          <cell r="F13">
            <v>268.536</v>
          </cell>
          <cell r="G13">
            <v>252.73999999999998</v>
          </cell>
          <cell r="H13">
            <v>279.74</v>
          </cell>
        </row>
        <row r="14">
          <cell r="B14" t="str">
            <v xml:space="preserve">    Growth  %</v>
          </cell>
          <cell r="D14">
            <v>1.5572359564108003E-2</v>
          </cell>
          <cell r="E14">
            <v>-6.5937689608779493E-2</v>
          </cell>
          <cell r="F14">
            <v>-5.1980512603261989E-2</v>
          </cell>
          <cell r="G14">
            <v>-5.8822653201060643E-2</v>
          </cell>
          <cell r="H14">
            <v>0.10682915248872371</v>
          </cell>
        </row>
        <row r="16">
          <cell r="B16" t="str">
            <v>b. Share Application  Money</v>
          </cell>
          <cell r="C16">
            <v>0</v>
          </cell>
          <cell r="D16">
            <v>69.95</v>
          </cell>
          <cell r="E16">
            <v>119.49</v>
          </cell>
          <cell r="F16">
            <v>25.75</v>
          </cell>
          <cell r="G16">
            <v>91.35</v>
          </cell>
          <cell r="H16">
            <v>3.2</v>
          </cell>
        </row>
        <row r="17">
          <cell r="C17">
            <v>0</v>
          </cell>
          <cell r="D17">
            <v>0</v>
          </cell>
          <cell r="E17">
            <v>0</v>
          </cell>
          <cell r="F17">
            <v>0</v>
          </cell>
          <cell r="G17">
            <v>0</v>
          </cell>
          <cell r="H17">
            <v>0</v>
          </cell>
        </row>
        <row r="18">
          <cell r="B18" t="str">
            <v>c. Reserves and Surplus</v>
          </cell>
          <cell r="C18">
            <v>240.446</v>
          </cell>
          <cell r="D18">
            <v>445.875</v>
          </cell>
          <cell r="E18">
            <v>532.72</v>
          </cell>
          <cell r="F18">
            <v>447.12</v>
          </cell>
          <cell r="G18">
            <v>591.08699999999999</v>
          </cell>
          <cell r="H18">
            <v>1314.356</v>
          </cell>
        </row>
        <row r="19">
          <cell r="B19" t="str">
            <v xml:space="preserve">    Growth  %</v>
          </cell>
          <cell r="D19">
            <v>0.85436646897848167</v>
          </cell>
          <cell r="E19">
            <v>0.19477432015699472</v>
          </cell>
          <cell r="F19">
            <v>-0.1606847875056315</v>
          </cell>
          <cell r="G19">
            <v>0.32198738593666126</v>
          </cell>
          <cell r="H19">
            <v>1.2236252869712918</v>
          </cell>
        </row>
        <row r="21">
          <cell r="C21" t="str">
            <v>-</v>
          </cell>
          <cell r="D21" t="str">
            <v>-</v>
          </cell>
          <cell r="E21" t="str">
            <v>-</v>
          </cell>
          <cell r="F21" t="str">
            <v>-</v>
          </cell>
          <cell r="G21" t="str">
            <v>-</v>
          </cell>
          <cell r="H21" t="str">
            <v>-</v>
          </cell>
        </row>
        <row r="22">
          <cell r="C22">
            <v>539.05200000000002</v>
          </cell>
          <cell r="D22">
            <v>819.08100000000002</v>
          </cell>
          <cell r="E22">
            <v>935.47</v>
          </cell>
          <cell r="F22">
            <v>741.40599999999995</v>
          </cell>
          <cell r="G22">
            <v>935.17699999999991</v>
          </cell>
          <cell r="H22">
            <v>1597.296</v>
          </cell>
        </row>
        <row r="23">
          <cell r="C23" t="str">
            <v>-</v>
          </cell>
          <cell r="D23" t="str">
            <v>-</v>
          </cell>
          <cell r="E23" t="str">
            <v>-</v>
          </cell>
          <cell r="F23" t="str">
            <v>-</v>
          </cell>
          <cell r="G23" t="str">
            <v>-</v>
          </cell>
          <cell r="H23" t="str">
            <v>-</v>
          </cell>
        </row>
        <row r="24">
          <cell r="B24" t="str">
            <v>Loan  Funds</v>
          </cell>
          <cell r="C24">
            <v>0</v>
          </cell>
          <cell r="D24">
            <v>0</v>
          </cell>
          <cell r="E24">
            <v>0</v>
          </cell>
          <cell r="F24">
            <v>0</v>
          </cell>
          <cell r="G24">
            <v>0</v>
          </cell>
          <cell r="H24">
            <v>0</v>
          </cell>
        </row>
        <row r="26">
          <cell r="B26" t="str">
            <v>a. Secured  Loans</v>
          </cell>
          <cell r="C26">
            <v>697.56999999999994</v>
          </cell>
          <cell r="D26">
            <v>822.31799999999998</v>
          </cell>
          <cell r="E26">
            <v>1200.72</v>
          </cell>
          <cell r="F26">
            <v>840.28</v>
          </cell>
          <cell r="G26">
            <v>778.40700000000004</v>
          </cell>
          <cell r="H26">
            <v>1217.059</v>
          </cell>
        </row>
        <row r="27">
          <cell r="B27" t="str">
            <v xml:space="preserve">    Growth  %</v>
          </cell>
          <cell r="D27">
            <v>0.17883223189070641</v>
          </cell>
          <cell r="E27">
            <v>0.46016504563927829</v>
          </cell>
          <cell r="F27">
            <v>-0.30018655473382638</v>
          </cell>
          <cell r="G27">
            <v>-7.3633788737087563E-2</v>
          </cell>
          <cell r="H27">
            <v>0.56352525092914107</v>
          </cell>
        </row>
        <row r="29">
          <cell r="B29" t="str">
            <v>b.  Unsecured  Loans</v>
          </cell>
          <cell r="C29">
            <v>89.367000000000004</v>
          </cell>
          <cell r="D29">
            <v>310.14</v>
          </cell>
          <cell r="E29">
            <v>116.75</v>
          </cell>
          <cell r="F29">
            <v>13.775</v>
          </cell>
          <cell r="G29">
            <v>17.29</v>
          </cell>
          <cell r="H29">
            <v>98.785000000000011</v>
          </cell>
        </row>
        <row r="30">
          <cell r="C30" t="str">
            <v>-</v>
          </cell>
          <cell r="D30" t="str">
            <v>-</v>
          </cell>
          <cell r="E30" t="str">
            <v>-</v>
          </cell>
          <cell r="F30" t="str">
            <v>-</v>
          </cell>
          <cell r="G30" t="str">
            <v>-</v>
          </cell>
          <cell r="H30" t="str">
            <v>-</v>
          </cell>
        </row>
        <row r="31">
          <cell r="C31">
            <v>786.9369999999999</v>
          </cell>
          <cell r="D31">
            <v>1132.4580000000001</v>
          </cell>
          <cell r="E31">
            <v>1317.47</v>
          </cell>
          <cell r="F31">
            <v>854.05499999999995</v>
          </cell>
          <cell r="G31">
            <v>795.697</v>
          </cell>
          <cell r="H31">
            <v>1315.8440000000001</v>
          </cell>
        </row>
        <row r="32">
          <cell r="C32" t="str">
            <v>-</v>
          </cell>
          <cell r="D32" t="str">
            <v>-</v>
          </cell>
          <cell r="E32" t="str">
            <v>-</v>
          </cell>
          <cell r="F32" t="str">
            <v>-</v>
          </cell>
          <cell r="G32" t="str">
            <v>-</v>
          </cell>
          <cell r="H32" t="str">
            <v>-</v>
          </cell>
        </row>
        <row r="34">
          <cell r="C34" t="str">
            <v>-</v>
          </cell>
          <cell r="D34" t="str">
            <v>-</v>
          </cell>
          <cell r="E34" t="str">
            <v>-</v>
          </cell>
          <cell r="F34" t="str">
            <v>-</v>
          </cell>
          <cell r="G34" t="str">
            <v>-</v>
          </cell>
          <cell r="H34" t="str">
            <v>-</v>
          </cell>
        </row>
        <row r="35">
          <cell r="B35" t="str">
            <v>TOTAL</v>
          </cell>
          <cell r="C35">
            <v>1325.989</v>
          </cell>
          <cell r="D35">
            <v>1951.5390000000002</v>
          </cell>
          <cell r="E35">
            <v>2252.94</v>
          </cell>
          <cell r="F35">
            <v>1595.4609999999998</v>
          </cell>
          <cell r="G35">
            <v>1730.8739999999998</v>
          </cell>
          <cell r="H35">
            <v>2913.1400000000003</v>
          </cell>
        </row>
        <row r="36">
          <cell r="C36" t="str">
            <v>=</v>
          </cell>
          <cell r="D36" t="str">
            <v>=</v>
          </cell>
          <cell r="E36" t="str">
            <v>=</v>
          </cell>
          <cell r="F36" t="str">
            <v>=</v>
          </cell>
          <cell r="G36" t="str">
            <v>=</v>
          </cell>
          <cell r="H36" t="str">
            <v>=</v>
          </cell>
        </row>
        <row r="38">
          <cell r="B38" t="str">
            <v>APPLICATION  OF  FUNDS</v>
          </cell>
        </row>
        <row r="40">
          <cell r="B40" t="str">
            <v>Fixed  Assets</v>
          </cell>
        </row>
        <row r="42">
          <cell r="B42" t="str">
            <v>Gross  Block</v>
          </cell>
          <cell r="C42">
            <v>1006.83</v>
          </cell>
          <cell r="D42">
            <v>1474.41</v>
          </cell>
          <cell r="E42">
            <v>1648.41</v>
          </cell>
          <cell r="F42">
            <v>1687.9490000000001</v>
          </cell>
          <cell r="G42">
            <v>2004.2759999999998</v>
          </cell>
          <cell r="H42">
            <v>2627.8779999999997</v>
          </cell>
        </row>
        <row r="43">
          <cell r="B43" t="str">
            <v>Growth  %</v>
          </cell>
          <cell r="D43">
            <v>0.46440809272667682</v>
          </cell>
          <cell r="E43">
            <v>0.11801330701772234</v>
          </cell>
          <cell r="F43">
            <v>2.3986144223827801E-2</v>
          </cell>
          <cell r="G43">
            <v>0.18740317391105996</v>
          </cell>
          <cell r="H43">
            <v>0.31113579167739369</v>
          </cell>
        </row>
        <row r="44">
          <cell r="B44">
            <v>0</v>
          </cell>
        </row>
        <row r="45">
          <cell r="B45" t="str">
            <v>Less: Depreciation</v>
          </cell>
          <cell r="C45">
            <v>130.94999999999999</v>
          </cell>
          <cell r="D45">
            <v>185.14</v>
          </cell>
          <cell r="E45">
            <v>256.93</v>
          </cell>
          <cell r="F45">
            <v>650.89</v>
          </cell>
          <cell r="G45">
            <v>867.72</v>
          </cell>
          <cell r="H45">
            <v>1002.7239999999999</v>
          </cell>
        </row>
        <row r="46">
          <cell r="C46" t="str">
            <v>-</v>
          </cell>
          <cell r="D46" t="str">
            <v>-</v>
          </cell>
          <cell r="E46" t="str">
            <v>-</v>
          </cell>
          <cell r="F46" t="str">
            <v>-</v>
          </cell>
          <cell r="G46" t="str">
            <v>-</v>
          </cell>
          <cell r="H46" t="str">
            <v>-</v>
          </cell>
        </row>
        <row r="47">
          <cell r="B47" t="str">
            <v>Net  Block</v>
          </cell>
          <cell r="C47">
            <v>875.88000000000011</v>
          </cell>
          <cell r="D47">
            <v>1289.27</v>
          </cell>
          <cell r="E47">
            <v>1391.48</v>
          </cell>
          <cell r="F47">
            <v>1037.0590000000002</v>
          </cell>
          <cell r="G47">
            <v>1136.5559999999998</v>
          </cell>
          <cell r="H47">
            <v>1625.1539999999998</v>
          </cell>
        </row>
        <row r="49">
          <cell r="B49" t="str">
            <v>Investments</v>
          </cell>
          <cell r="C49">
            <v>65.63</v>
          </cell>
          <cell r="D49">
            <v>112.81899999999999</v>
          </cell>
          <cell r="E49">
            <v>56.809999999999995</v>
          </cell>
          <cell r="F49">
            <v>50.19</v>
          </cell>
          <cell r="G49">
            <v>50.19</v>
          </cell>
          <cell r="H49">
            <v>422.78999999999996</v>
          </cell>
        </row>
        <row r="50">
          <cell r="B50" t="str">
            <v>Growth  %</v>
          </cell>
          <cell r="D50">
            <v>0.71901569404235866</v>
          </cell>
          <cell r="E50">
            <v>-0.49645006603497638</v>
          </cell>
          <cell r="F50">
            <v>-0.11652878014434075</v>
          </cell>
          <cell r="G50">
            <v>0</v>
          </cell>
          <cell r="H50">
            <v>7.4237895995218164</v>
          </cell>
        </row>
        <row r="52">
          <cell r="B52" t="str">
            <v>Current Assets, Loans &amp; Advances</v>
          </cell>
        </row>
        <row r="54">
          <cell r="B54" t="str">
            <v>a. Inventories</v>
          </cell>
          <cell r="C54">
            <v>104.86</v>
          </cell>
          <cell r="D54">
            <v>129.08699999999999</v>
          </cell>
          <cell r="E54">
            <v>155.76</v>
          </cell>
          <cell r="F54">
            <v>228.06</v>
          </cell>
          <cell r="G54">
            <v>275.24300000000005</v>
          </cell>
          <cell r="H54">
            <v>405.64699999999999</v>
          </cell>
        </row>
        <row r="56">
          <cell r="B56" t="str">
            <v>b. Sundry  Debtors</v>
          </cell>
          <cell r="C56">
            <v>104.93</v>
          </cell>
          <cell r="D56">
            <v>79.63</v>
          </cell>
          <cell r="E56">
            <v>189.62</v>
          </cell>
          <cell r="F56">
            <v>198.18</v>
          </cell>
          <cell r="G56">
            <v>214.24799999999999</v>
          </cell>
          <cell r="H56">
            <v>146.32</v>
          </cell>
        </row>
        <row r="58">
          <cell r="B58" t="str">
            <v>c.  Cash &amp; Bank Balances</v>
          </cell>
          <cell r="C58">
            <v>25.63</v>
          </cell>
          <cell r="D58">
            <v>37.878</v>
          </cell>
          <cell r="E58">
            <v>29.16</v>
          </cell>
          <cell r="F58">
            <v>38.74</v>
          </cell>
          <cell r="G58">
            <v>3.2490000000000001</v>
          </cell>
          <cell r="H58">
            <v>4.3639999999999999</v>
          </cell>
        </row>
        <row r="60">
          <cell r="B60" t="str">
            <v>d.  Loans &amp;  Advances</v>
          </cell>
          <cell r="C60">
            <v>126.03399999999999</v>
          </cell>
          <cell r="D60">
            <v>335.98800000000006</v>
          </cell>
          <cell r="E60">
            <v>485.39</v>
          </cell>
          <cell r="F60">
            <v>73.804999999999993</v>
          </cell>
          <cell r="G60">
            <v>145.55700000000002</v>
          </cell>
          <cell r="H60">
            <v>136.51299999999998</v>
          </cell>
        </row>
        <row r="62">
          <cell r="B62" t="str">
            <v>e.  Deposits</v>
          </cell>
          <cell r="C62">
            <v>58.286000000000001</v>
          </cell>
          <cell r="D62">
            <v>34.449999999999996</v>
          </cell>
          <cell r="E62">
            <v>8.4699999999999989</v>
          </cell>
          <cell r="F62">
            <v>8.4849999999999994</v>
          </cell>
          <cell r="G62">
            <v>8.69</v>
          </cell>
          <cell r="H62">
            <v>114.32000000000001</v>
          </cell>
        </row>
        <row r="64">
          <cell r="B64" t="str">
            <v>f. Trade  Investments</v>
          </cell>
          <cell r="C64">
            <v>29.998999999999999</v>
          </cell>
          <cell r="D64">
            <v>58.198999999999998</v>
          </cell>
          <cell r="E64">
            <v>58.198999999999998</v>
          </cell>
          <cell r="F64">
            <v>58.198999999999998</v>
          </cell>
          <cell r="G64">
            <v>58.198999999999998</v>
          </cell>
          <cell r="H64">
            <v>178.19900000000001</v>
          </cell>
        </row>
        <row r="65">
          <cell r="C65" t="str">
            <v>-</v>
          </cell>
          <cell r="D65" t="str">
            <v>-</v>
          </cell>
          <cell r="E65" t="str">
            <v>-</v>
          </cell>
          <cell r="F65" t="str">
            <v>-</v>
          </cell>
          <cell r="G65" t="str">
            <v>-</v>
          </cell>
          <cell r="H65" t="str">
            <v>-</v>
          </cell>
        </row>
        <row r="66">
          <cell r="C66">
            <v>449.73900000000003</v>
          </cell>
          <cell r="D66">
            <v>675.23200000000008</v>
          </cell>
          <cell r="E66">
            <v>926.59900000000005</v>
          </cell>
          <cell r="F66">
            <v>605.46899999999994</v>
          </cell>
          <cell r="G66">
            <v>705.18600000000004</v>
          </cell>
          <cell r="H66">
            <v>985.36300000000006</v>
          </cell>
        </row>
        <row r="68">
          <cell r="B68" t="str">
            <v>Less: Current  Liabilities</v>
          </cell>
          <cell r="C68">
            <v>71.275000000000006</v>
          </cell>
          <cell r="D68">
            <v>131.01</v>
          </cell>
          <cell r="E68">
            <v>126.38999999999999</v>
          </cell>
          <cell r="F68">
            <v>100.91</v>
          </cell>
          <cell r="G68">
            <v>163.93899999999999</v>
          </cell>
          <cell r="H68">
            <v>123.041</v>
          </cell>
        </row>
        <row r="69">
          <cell r="C69" t="str">
            <v>-</v>
          </cell>
          <cell r="D69" t="str">
            <v>-</v>
          </cell>
          <cell r="E69" t="str">
            <v>-</v>
          </cell>
          <cell r="F69" t="str">
            <v>-</v>
          </cell>
          <cell r="G69" t="str">
            <v>-</v>
          </cell>
          <cell r="H69" t="str">
            <v>-</v>
          </cell>
        </row>
        <row r="70">
          <cell r="B70" t="str">
            <v>Net  Current  Assets</v>
          </cell>
          <cell r="C70">
            <v>378.46400000000006</v>
          </cell>
          <cell r="D70">
            <v>544.22200000000009</v>
          </cell>
          <cell r="E70">
            <v>800.20900000000006</v>
          </cell>
          <cell r="F70">
            <v>504.55899999999997</v>
          </cell>
          <cell r="G70">
            <v>541.24700000000007</v>
          </cell>
          <cell r="H70">
            <v>862.32200000000012</v>
          </cell>
        </row>
        <row r="72">
          <cell r="B72" t="str">
            <v>Miscellaneous Expenditure</v>
          </cell>
          <cell r="C72">
            <v>6.0209999999999999</v>
          </cell>
          <cell r="D72">
            <v>5.23</v>
          </cell>
          <cell r="E72">
            <v>4.4405000000000001</v>
          </cell>
          <cell r="F72">
            <v>3.6559999999999997</v>
          </cell>
          <cell r="G72">
            <v>2.8719999999999999</v>
          </cell>
          <cell r="H72">
            <v>2.8719999999999999</v>
          </cell>
        </row>
        <row r="74">
          <cell r="B74" t="str">
            <v>(to the extent not written off or adjusted)</v>
          </cell>
        </row>
        <row r="76">
          <cell r="B76" t="str">
            <v>Preliminary  Expenses</v>
          </cell>
          <cell r="C76">
            <v>4</v>
          </cell>
          <cell r="D76">
            <v>3.44</v>
          </cell>
          <cell r="E76">
            <v>2.8759999999999999</v>
          </cell>
          <cell r="F76">
            <v>2.3159999999999998</v>
          </cell>
          <cell r="G76">
            <v>1.7549999999999999</v>
          </cell>
          <cell r="H76">
            <v>1.7549999999999999</v>
          </cell>
        </row>
        <row r="78">
          <cell r="B78" t="str">
            <v>Deferred  Revenue  Expenditure</v>
          </cell>
          <cell r="C78">
            <v>2.0209999999999999</v>
          </cell>
          <cell r="D78">
            <v>1.79</v>
          </cell>
          <cell r="E78">
            <v>1.5645</v>
          </cell>
          <cell r="F78">
            <v>1.34</v>
          </cell>
          <cell r="G78">
            <v>1.117</v>
          </cell>
          <cell r="H78">
            <v>1.117</v>
          </cell>
        </row>
        <row r="80">
          <cell r="C80" t="str">
            <v>-</v>
          </cell>
          <cell r="D80" t="str">
            <v>-</v>
          </cell>
          <cell r="E80" t="str">
            <v>-</v>
          </cell>
          <cell r="F80" t="str">
            <v>-</v>
          </cell>
          <cell r="G80" t="str">
            <v>-</v>
          </cell>
          <cell r="H80" t="str">
            <v>-</v>
          </cell>
        </row>
        <row r="81">
          <cell r="B81" t="str">
            <v>TOTAL….</v>
          </cell>
          <cell r="C81">
            <v>1325.9950000000001</v>
          </cell>
          <cell r="D81">
            <v>1951.5410000000002</v>
          </cell>
          <cell r="E81">
            <v>2252.9395</v>
          </cell>
          <cell r="F81">
            <v>1595.4640000000002</v>
          </cell>
          <cell r="G81">
            <v>1730.865</v>
          </cell>
          <cell r="H81">
            <v>2913.1379999999995</v>
          </cell>
        </row>
        <row r="82">
          <cell r="C82" t="str">
            <v>=</v>
          </cell>
          <cell r="D82" t="str">
            <v>=</v>
          </cell>
          <cell r="E82" t="str">
            <v>=</v>
          </cell>
          <cell r="F82" t="str">
            <v>=</v>
          </cell>
          <cell r="G82" t="str">
            <v>=</v>
          </cell>
          <cell r="H82" t="str">
            <v>=</v>
          </cell>
        </row>
        <row r="87">
          <cell r="B87" t="str">
            <v>PROFIT  AND  LOSS  ACCOUNT  FOR  LAST SIX YEARS</v>
          </cell>
        </row>
        <row r="89">
          <cell r="B89" t="str">
            <v>-</v>
          </cell>
          <cell r="C89" t="str">
            <v>-</v>
          </cell>
          <cell r="D89" t="str">
            <v>-</v>
          </cell>
          <cell r="E89" t="str">
            <v>-</v>
          </cell>
          <cell r="F89" t="str">
            <v>-</v>
          </cell>
          <cell r="G89" t="str">
            <v>-</v>
          </cell>
          <cell r="H89" t="str">
            <v>-</v>
          </cell>
          <cell r="I89" t="str">
            <v>-</v>
          </cell>
          <cell r="J89" t="str">
            <v>-</v>
          </cell>
          <cell r="K89" t="str">
            <v>-</v>
          </cell>
          <cell r="L89" t="str">
            <v>-</v>
          </cell>
          <cell r="M89" t="str">
            <v>-</v>
          </cell>
          <cell r="N89" t="str">
            <v>-</v>
          </cell>
        </row>
        <row r="90">
          <cell r="B90" t="str">
            <v>PARTICULARS</v>
          </cell>
          <cell r="C90" t="str">
            <v>%</v>
          </cell>
          <cell r="D90" t="str">
            <v>1997-98</v>
          </cell>
          <cell r="E90" t="str">
            <v>%</v>
          </cell>
          <cell r="F90" t="str">
            <v>1998-99</v>
          </cell>
          <cell r="G90" t="str">
            <v>%</v>
          </cell>
          <cell r="H90" t="str">
            <v>1999-00</v>
          </cell>
          <cell r="I90" t="str">
            <v>%</v>
          </cell>
          <cell r="J90" t="str">
            <v>2000-01</v>
          </cell>
          <cell r="K90" t="str">
            <v>%</v>
          </cell>
          <cell r="L90" t="str">
            <v>2001-02</v>
          </cell>
          <cell r="M90" t="str">
            <v>%</v>
          </cell>
          <cell r="N90" t="str">
            <v>2002-03</v>
          </cell>
        </row>
        <row r="91">
          <cell r="B91" t="str">
            <v>-</v>
          </cell>
          <cell r="C91" t="str">
            <v>-</v>
          </cell>
          <cell r="D91" t="str">
            <v>-</v>
          </cell>
          <cell r="E91" t="str">
            <v>-</v>
          </cell>
          <cell r="F91" t="str">
            <v>-</v>
          </cell>
          <cell r="G91" t="str">
            <v>-</v>
          </cell>
          <cell r="H91" t="str">
            <v>-</v>
          </cell>
          <cell r="I91" t="str">
            <v>-</v>
          </cell>
          <cell r="J91" t="str">
            <v>-</v>
          </cell>
          <cell r="K91" t="str">
            <v>-</v>
          </cell>
          <cell r="L91" t="str">
            <v>-</v>
          </cell>
          <cell r="M91" t="str">
            <v>-</v>
          </cell>
          <cell r="N91" t="str">
            <v>-</v>
          </cell>
        </row>
        <row r="92">
          <cell r="B92" t="str">
            <v>INCOME</v>
          </cell>
        </row>
        <row r="94">
          <cell r="B94" t="str">
            <v>Sales</v>
          </cell>
          <cell r="D94">
            <v>2849.6959999999999</v>
          </cell>
          <cell r="F94">
            <v>2975.21</v>
          </cell>
          <cell r="H94">
            <v>4497.33</v>
          </cell>
          <cell r="J94">
            <v>5949.45</v>
          </cell>
          <cell r="L94">
            <v>6130.15</v>
          </cell>
          <cell r="N94">
            <v>7121.7079999999996</v>
          </cell>
        </row>
        <row r="96">
          <cell r="B96" t="str">
            <v xml:space="preserve">Other  Income </v>
          </cell>
          <cell r="D96">
            <v>3.6259999999999999</v>
          </cell>
          <cell r="F96">
            <v>9.7799999999999994</v>
          </cell>
          <cell r="H96">
            <v>8.23</v>
          </cell>
          <cell r="J96">
            <v>12.531000000000001</v>
          </cell>
          <cell r="L96">
            <v>1.8640000000000001</v>
          </cell>
          <cell r="N96">
            <v>0.79999999999999993</v>
          </cell>
        </row>
        <row r="98">
          <cell r="B98" t="str">
            <v>Increase/(Decrease)  in Stocks</v>
          </cell>
          <cell r="D98">
            <v>5.8120000000000012</v>
          </cell>
          <cell r="F98">
            <v>22.29</v>
          </cell>
          <cell r="H98">
            <v>47.985999999999997</v>
          </cell>
          <cell r="J98">
            <v>37.588000000000001</v>
          </cell>
          <cell r="L98">
            <v>-35.724800000000002</v>
          </cell>
          <cell r="N98">
            <v>241.82300000000001</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row>
        <row r="100">
          <cell r="B100" t="str">
            <v>TOTAL  INCOME</v>
          </cell>
          <cell r="C100">
            <v>1</v>
          </cell>
          <cell r="D100">
            <v>2859.134</v>
          </cell>
          <cell r="E100">
            <v>1</v>
          </cell>
          <cell r="F100">
            <v>3007.28</v>
          </cell>
          <cell r="G100">
            <v>1</v>
          </cell>
          <cell r="H100">
            <v>4553.5459999999994</v>
          </cell>
          <cell r="I100">
            <v>1</v>
          </cell>
          <cell r="J100">
            <v>5999.5689999999995</v>
          </cell>
          <cell r="K100">
            <v>1</v>
          </cell>
          <cell r="L100">
            <v>6096.2891999999993</v>
          </cell>
          <cell r="M100">
            <v>1</v>
          </cell>
          <cell r="N100">
            <v>7364.3310000000001</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row>
        <row r="103">
          <cell r="B103" t="str">
            <v>EXPENDITURE</v>
          </cell>
        </row>
        <row r="105">
          <cell r="B105" t="str">
            <v>Raw  Material  Consumed   Including</v>
          </cell>
          <cell r="C105">
            <v>0.78691105418633744</v>
          </cell>
          <cell r="D105">
            <v>2249.8841499999999</v>
          </cell>
          <cell r="E105">
            <v>0.75046320262828869</v>
          </cell>
          <cell r="F105">
            <v>2256.8529800000001</v>
          </cell>
          <cell r="G105">
            <v>0.79818365730795304</v>
          </cell>
          <cell r="H105">
            <v>3634.5659999999998</v>
          </cell>
          <cell r="I105">
            <v>0.789284030236172</v>
          </cell>
          <cell r="J105">
            <v>4735.3639999999996</v>
          </cell>
          <cell r="K105">
            <v>0.7836353957748593</v>
          </cell>
          <cell r="L105">
            <v>4777.268</v>
          </cell>
          <cell r="M105">
            <v>0.80453431547278365</v>
          </cell>
          <cell r="N105">
            <v>5924.857</v>
          </cell>
        </row>
        <row r="106">
          <cell r="B106" t="str">
            <v>Excise  Duty</v>
          </cell>
        </row>
        <row r="107">
          <cell r="C107">
            <v>0</v>
          </cell>
          <cell r="E107">
            <v>0</v>
          </cell>
          <cell r="G107">
            <v>0</v>
          </cell>
          <cell r="I107">
            <v>0</v>
          </cell>
          <cell r="K107">
            <v>0</v>
          </cell>
          <cell r="M107">
            <v>0</v>
          </cell>
        </row>
        <row r="108">
          <cell r="B108" t="str">
            <v>Power &amp; Fuel</v>
          </cell>
          <cell r="C108">
            <v>4.2264196081750624E-2</v>
          </cell>
          <cell r="D108">
            <v>120.839</v>
          </cell>
          <cell r="E108">
            <v>6.9750738208613772E-2</v>
          </cell>
          <cell r="F108">
            <v>209.76000000000002</v>
          </cell>
          <cell r="G108">
            <v>5.7670659305956287E-2</v>
          </cell>
          <cell r="H108">
            <v>262.60599999999999</v>
          </cell>
          <cell r="I108">
            <v>4.6116312688461461E-2</v>
          </cell>
          <cell r="J108">
            <v>276.678</v>
          </cell>
          <cell r="K108">
            <v>5.2251458149327953E-2</v>
          </cell>
          <cell r="L108">
            <v>318.53999999999996</v>
          </cell>
          <cell r="M108">
            <v>4.4358000747114705E-2</v>
          </cell>
          <cell r="N108">
            <v>326.66699999999997</v>
          </cell>
        </row>
        <row r="109">
          <cell r="G109">
            <v>0</v>
          </cell>
          <cell r="I109">
            <v>0</v>
          </cell>
          <cell r="K109">
            <v>0</v>
          </cell>
          <cell r="M109">
            <v>0</v>
          </cell>
        </row>
        <row r="110">
          <cell r="B110" t="str">
            <v>Other  Manufacturing   Expenses</v>
          </cell>
          <cell r="C110">
            <v>2.9910455403629212E-2</v>
          </cell>
          <cell r="D110">
            <v>85.518000000000001</v>
          </cell>
          <cell r="E110">
            <v>4.0598148492990344E-2</v>
          </cell>
          <cell r="F110">
            <v>122.09</v>
          </cell>
          <cell r="G110">
            <v>4.6129104658215819E-2</v>
          </cell>
          <cell r="H110">
            <v>210.05099999999999</v>
          </cell>
          <cell r="I110">
            <v>5.4390240365599599E-2</v>
          </cell>
          <cell r="J110">
            <v>326.31799999999998</v>
          </cell>
          <cell r="K110">
            <v>4.5248181467506504E-2</v>
          </cell>
          <cell r="L110">
            <v>275.846</v>
          </cell>
          <cell r="M110">
            <v>4.9649995362783125E-2</v>
          </cell>
          <cell r="N110">
            <v>365.63900000000001</v>
          </cell>
        </row>
        <row r="111">
          <cell r="C111">
            <v>0</v>
          </cell>
          <cell r="E111">
            <v>0</v>
          </cell>
          <cell r="G111">
            <v>0</v>
          </cell>
          <cell r="I111">
            <v>0</v>
          </cell>
          <cell r="K111">
            <v>0</v>
          </cell>
          <cell r="M111">
            <v>0</v>
          </cell>
        </row>
        <row r="112">
          <cell r="B112" t="str">
            <v>Payment  To  Employees</v>
          </cell>
          <cell r="C112">
            <v>1.1400654883611612E-2</v>
          </cell>
          <cell r="D112">
            <v>32.596000000000004</v>
          </cell>
          <cell r="E112">
            <v>1.4870580724109492E-2</v>
          </cell>
          <cell r="F112">
            <v>44.72</v>
          </cell>
          <cell r="G112">
            <v>8.412125407319922E-3</v>
          </cell>
          <cell r="H112">
            <v>38.305</v>
          </cell>
          <cell r="I112">
            <v>7.6982196554452502E-3</v>
          </cell>
          <cell r="J112">
            <v>46.186</v>
          </cell>
          <cell r="K112">
            <v>9.1855878490803896E-3</v>
          </cell>
          <cell r="L112">
            <v>55.998000000000005</v>
          </cell>
          <cell r="M112">
            <v>1.261187200846893E-2</v>
          </cell>
          <cell r="N112">
            <v>92.878</v>
          </cell>
        </row>
        <row r="113">
          <cell r="C113">
            <v>0</v>
          </cell>
          <cell r="E113">
            <v>0</v>
          </cell>
          <cell r="G113">
            <v>0</v>
          </cell>
          <cell r="I113">
            <v>0</v>
          </cell>
          <cell r="K113">
            <v>0</v>
          </cell>
          <cell r="M113">
            <v>0</v>
          </cell>
        </row>
        <row r="114">
          <cell r="B114" t="str">
            <v xml:space="preserve"> Administration   Exp.</v>
          </cell>
          <cell r="C114">
            <v>1.4559807270313318E-2</v>
          </cell>
          <cell r="D114">
            <v>41.628439999999998</v>
          </cell>
          <cell r="E114">
            <v>1.7091857093453219E-2</v>
          </cell>
          <cell r="F114">
            <v>51.4</v>
          </cell>
          <cell r="G114">
            <v>5.1832132584144321E-3</v>
          </cell>
          <cell r="H114">
            <v>23.602</v>
          </cell>
          <cell r="I114">
            <v>6.4632976135452404E-3</v>
          </cell>
          <cell r="J114">
            <v>38.777000000000001</v>
          </cell>
          <cell r="K114">
            <v>1.1706137563158915E-2</v>
          </cell>
          <cell r="L114">
            <v>71.364000000000004</v>
          </cell>
          <cell r="M114">
            <v>6.1564315889657863E-3</v>
          </cell>
          <cell r="N114">
            <v>45.338000000000001</v>
          </cell>
        </row>
        <row r="115">
          <cell r="G115">
            <v>0</v>
          </cell>
          <cell r="I115">
            <v>0</v>
          </cell>
          <cell r="K115">
            <v>0</v>
          </cell>
          <cell r="M115">
            <v>0</v>
          </cell>
        </row>
        <row r="116">
          <cell r="B116" t="str">
            <v>Selling  &amp;  Distribution   Exp.</v>
          </cell>
          <cell r="C116">
            <v>3.0462230871305786E-3</v>
          </cell>
          <cell r="D116">
            <v>8.7095599999999997</v>
          </cell>
          <cell r="E116">
            <v>3.0642307999255137E-3</v>
          </cell>
          <cell r="F116">
            <v>9.2149999999999999</v>
          </cell>
          <cell r="G116">
            <v>5.7010514443029683E-4</v>
          </cell>
          <cell r="H116">
            <v>2.5960000000000001</v>
          </cell>
          <cell r="I116">
            <v>1.9223047522247019E-3</v>
          </cell>
          <cell r="J116">
            <v>11.533000000000001</v>
          </cell>
          <cell r="K116">
            <v>1.6583858915354608E-3</v>
          </cell>
          <cell r="L116">
            <v>10.11</v>
          </cell>
          <cell r="M116">
            <v>2.71579319289152E-5</v>
          </cell>
          <cell r="N116">
            <v>0.2</v>
          </cell>
        </row>
        <row r="117">
          <cell r="C117">
            <v>0</v>
          </cell>
          <cell r="E117">
            <v>0</v>
          </cell>
          <cell r="G117">
            <v>0</v>
          </cell>
          <cell r="I117">
            <v>0</v>
          </cell>
          <cell r="K117">
            <v>0</v>
          </cell>
          <cell r="M117">
            <v>0</v>
          </cell>
        </row>
        <row r="118">
          <cell r="B118" t="str">
            <v>Interest &amp; Finance Expenses</v>
          </cell>
          <cell r="C118">
            <v>3.8193383031365442E-2</v>
          </cell>
          <cell r="D118">
            <v>109.2</v>
          </cell>
          <cell r="E118">
            <v>3.9544039796759863E-2</v>
          </cell>
          <cell r="F118">
            <v>118.92</v>
          </cell>
          <cell r="G118">
            <v>3.7615519860785422E-2</v>
          </cell>
          <cell r="H118">
            <v>171.28399999999999</v>
          </cell>
          <cell r="I118">
            <v>2.7042442548789757E-2</v>
          </cell>
          <cell r="J118">
            <v>162.24299999999999</v>
          </cell>
          <cell r="K118">
            <v>1.7525415296898977E-2</v>
          </cell>
          <cell r="L118">
            <v>106.84</v>
          </cell>
          <cell r="M118">
            <v>1.4187032060346012E-2</v>
          </cell>
          <cell r="N118">
            <v>104.47800000000001</v>
          </cell>
        </row>
        <row r="119">
          <cell r="C119">
            <v>0</v>
          </cell>
          <cell r="E119">
            <v>0</v>
          </cell>
          <cell r="G119">
            <v>0</v>
          </cell>
          <cell r="I119">
            <v>0</v>
          </cell>
          <cell r="K119">
            <v>0</v>
          </cell>
          <cell r="M119">
            <v>0</v>
          </cell>
        </row>
        <row r="120">
          <cell r="B120" t="str">
            <v>Depreciation</v>
          </cell>
          <cell r="C120">
            <v>1.5129406316737865E-2</v>
          </cell>
          <cell r="D120">
            <v>43.256999999999998</v>
          </cell>
          <cell r="E120">
            <v>1.8021268388710061E-2</v>
          </cell>
          <cell r="F120">
            <v>54.194999999999993</v>
          </cell>
          <cell r="G120">
            <v>1.5765076272425932E-2</v>
          </cell>
          <cell r="H120">
            <v>71.787000000000006</v>
          </cell>
          <cell r="I120">
            <v>2.459893369007007E-2</v>
          </cell>
          <cell r="J120">
            <v>147.583</v>
          </cell>
          <cell r="K120">
            <v>4.1314477010047368E-2</v>
          </cell>
          <cell r="L120">
            <v>251.86500000000001</v>
          </cell>
          <cell r="M120">
            <v>1.8331604052017759E-2</v>
          </cell>
          <cell r="N120">
            <v>135</v>
          </cell>
        </row>
        <row r="121">
          <cell r="C121">
            <v>0</v>
          </cell>
          <cell r="E121">
            <v>0</v>
          </cell>
          <cell r="G121">
            <v>0</v>
          </cell>
          <cell r="I121">
            <v>0</v>
          </cell>
          <cell r="K121">
            <v>0</v>
          </cell>
          <cell r="M121">
            <v>0</v>
          </cell>
        </row>
        <row r="122">
          <cell r="B122" t="str">
            <v>Preliminary Expenses w/off</v>
          </cell>
          <cell r="C122">
            <v>2.7280987879546744E-4</v>
          </cell>
          <cell r="D122">
            <v>0.78</v>
          </cell>
          <cell r="E122">
            <v>2.5937059402516557E-4</v>
          </cell>
          <cell r="F122">
            <v>0.78</v>
          </cell>
          <cell r="G122">
            <v>1.7129507421249289E-4</v>
          </cell>
          <cell r="H122">
            <v>0.78</v>
          </cell>
          <cell r="I122">
            <v>1.3000933900418515E-4</v>
          </cell>
          <cell r="J122">
            <v>0.78</v>
          </cell>
          <cell r="K122">
            <v>1.2794668599383377E-4</v>
          </cell>
          <cell r="L122">
            <v>0.78</v>
          </cell>
          <cell r="M122">
            <v>0</v>
          </cell>
          <cell r="N122">
            <v>0</v>
          </cell>
        </row>
        <row r="123">
          <cell r="C123">
            <v>0</v>
          </cell>
          <cell r="E123">
            <v>0</v>
          </cell>
          <cell r="G123">
            <v>0</v>
          </cell>
          <cell r="I123">
            <v>0</v>
          </cell>
          <cell r="K123">
            <v>0</v>
          </cell>
          <cell r="M123">
            <v>0</v>
          </cell>
        </row>
        <row r="124">
          <cell r="C124">
            <v>0</v>
          </cell>
          <cell r="D124" t="str">
            <v>-</v>
          </cell>
          <cell r="E124">
            <v>0</v>
          </cell>
          <cell r="F124" t="str">
            <v>-</v>
          </cell>
          <cell r="G124">
            <v>0</v>
          </cell>
          <cell r="H124" t="str">
            <v>-</v>
          </cell>
          <cell r="I124">
            <v>0</v>
          </cell>
          <cell r="J124" t="str">
            <v>-</v>
          </cell>
          <cell r="K124">
            <v>0</v>
          </cell>
          <cell r="L124" t="str">
            <v>-</v>
          </cell>
          <cell r="M124">
            <v>0</v>
          </cell>
          <cell r="N124" t="str">
            <v>-</v>
          </cell>
        </row>
        <row r="125">
          <cell r="B125" t="str">
            <v>TOTAL  EXPENDITURE</v>
          </cell>
          <cell r="C125">
            <v>0.94168799013967153</v>
          </cell>
          <cell r="D125">
            <v>2692.4121499999997</v>
          </cell>
          <cell r="E125">
            <v>0.95366343672687637</v>
          </cell>
          <cell r="F125">
            <v>2867.932980000001</v>
          </cell>
          <cell r="G125">
            <v>0.96970075628971353</v>
          </cell>
          <cell r="H125">
            <v>4415.5769999999993</v>
          </cell>
          <cell r="I125">
            <v>0.95764579088931223</v>
          </cell>
          <cell r="J125">
            <v>5745.4619999999995</v>
          </cell>
          <cell r="K125">
            <v>0.96265298568840851</v>
          </cell>
          <cell r="L125">
            <v>5868.610999999999</v>
          </cell>
          <cell r="M125">
            <v>0.94985640922440884</v>
          </cell>
          <cell r="N125">
            <v>6995.0569999999998</v>
          </cell>
        </row>
        <row r="126">
          <cell r="C126">
            <v>0</v>
          </cell>
          <cell r="D126" t="str">
            <v>-</v>
          </cell>
          <cell r="E126">
            <v>0</v>
          </cell>
          <cell r="F126" t="str">
            <v>-</v>
          </cell>
          <cell r="G126">
            <v>0</v>
          </cell>
          <cell r="H126" t="str">
            <v>-</v>
          </cell>
          <cell r="I126">
            <v>0</v>
          </cell>
          <cell r="J126" t="str">
            <v>-</v>
          </cell>
          <cell r="K126">
            <v>0</v>
          </cell>
          <cell r="L126" t="str">
            <v>-</v>
          </cell>
          <cell r="M126">
            <v>0</v>
          </cell>
          <cell r="N126" t="str">
            <v>-</v>
          </cell>
        </row>
        <row r="127">
          <cell r="B127" t="str">
            <v>Profit/ Loss Before Tax</v>
          </cell>
          <cell r="C127">
            <v>5.8312009860328459E-2</v>
          </cell>
          <cell r="D127">
            <v>166.72185000000036</v>
          </cell>
          <cell r="E127">
            <v>4.6336563273123632E-2</v>
          </cell>
          <cell r="F127">
            <v>139.34701999999925</v>
          </cell>
          <cell r="G127">
            <v>3.0299243710286462E-2</v>
          </cell>
          <cell r="H127">
            <v>137.96900000000005</v>
          </cell>
          <cell r="I127">
            <v>4.2354209110687782E-2</v>
          </cell>
          <cell r="J127">
            <v>254.10699999999997</v>
          </cell>
          <cell r="K127">
            <v>3.7347014311591438E-2</v>
          </cell>
          <cell r="L127">
            <v>227.67820000000029</v>
          </cell>
          <cell r="M127">
            <v>5.0143590775591204E-2</v>
          </cell>
          <cell r="N127">
            <v>369.27400000000034</v>
          </cell>
        </row>
        <row r="128">
          <cell r="C128">
            <v>0</v>
          </cell>
          <cell r="E128">
            <v>0</v>
          </cell>
          <cell r="G128">
            <v>0</v>
          </cell>
          <cell r="I128">
            <v>0</v>
          </cell>
          <cell r="K128">
            <v>0</v>
          </cell>
          <cell r="M128">
            <v>0</v>
          </cell>
        </row>
        <row r="129">
          <cell r="B129" t="str">
            <v>Less: Provision For  Taxation</v>
          </cell>
          <cell r="C129">
            <v>0</v>
          </cell>
          <cell r="D129">
            <v>0</v>
          </cell>
          <cell r="E129">
            <v>0</v>
          </cell>
          <cell r="F129">
            <v>0</v>
          </cell>
          <cell r="G129">
            <v>1.1046336196010759E-4</v>
          </cell>
          <cell r="H129">
            <v>0.503</v>
          </cell>
          <cell r="I129">
            <v>1.1167468863180006E-4</v>
          </cell>
          <cell r="J129">
            <v>0.67</v>
          </cell>
          <cell r="K129">
            <v>2.8295901710174778E-3</v>
          </cell>
          <cell r="L129">
            <v>17.25</v>
          </cell>
          <cell r="M129">
            <v>0</v>
          </cell>
          <cell r="N129">
            <v>0</v>
          </cell>
        </row>
        <row r="130">
          <cell r="C130">
            <v>0</v>
          </cell>
          <cell r="E130">
            <v>0</v>
          </cell>
          <cell r="G130">
            <v>0</v>
          </cell>
          <cell r="I130">
            <v>0</v>
          </cell>
          <cell r="K130">
            <v>0</v>
          </cell>
          <cell r="M130">
            <v>0</v>
          </cell>
        </row>
        <row r="131">
          <cell r="B131" t="str">
            <v xml:space="preserve"> Add:Depreciation written  OFF</v>
          </cell>
          <cell r="C131">
            <v>0</v>
          </cell>
          <cell r="D131">
            <v>0</v>
          </cell>
          <cell r="E131">
            <v>0</v>
          </cell>
          <cell r="F131">
            <v>0</v>
          </cell>
          <cell r="G131">
            <v>0</v>
          </cell>
          <cell r="H131">
            <v>0</v>
          </cell>
          <cell r="I131">
            <v>-4.1062949688552633E-2</v>
          </cell>
          <cell r="J131">
            <v>-246.36</v>
          </cell>
          <cell r="K131">
            <v>0</v>
          </cell>
          <cell r="L131">
            <v>0</v>
          </cell>
          <cell r="M131">
            <v>-3.9379001296927039E-3</v>
          </cell>
          <cell r="N131">
            <v>-29</v>
          </cell>
        </row>
        <row r="132">
          <cell r="C132">
            <v>0</v>
          </cell>
          <cell r="D132" t="str">
            <v>-</v>
          </cell>
          <cell r="E132">
            <v>0</v>
          </cell>
          <cell r="F132" t="str">
            <v>-</v>
          </cell>
          <cell r="G132">
            <v>0</v>
          </cell>
          <cell r="H132" t="str">
            <v>-</v>
          </cell>
          <cell r="I132">
            <v>0</v>
          </cell>
          <cell r="J132" t="str">
            <v>-</v>
          </cell>
          <cell r="K132">
            <v>0</v>
          </cell>
          <cell r="L132" t="str">
            <v>-</v>
          </cell>
          <cell r="M132">
            <v>0</v>
          </cell>
          <cell r="N132" t="str">
            <v>-</v>
          </cell>
        </row>
        <row r="133">
          <cell r="B133" t="str">
            <v>Profit/Loss After  Taxation</v>
          </cell>
          <cell r="C133">
            <v>5.8312009860328459E-2</v>
          </cell>
          <cell r="D133">
            <v>166.72185000000036</v>
          </cell>
          <cell r="E133">
            <v>4.6336563273123632E-2</v>
          </cell>
          <cell r="F133">
            <v>139.34701999999925</v>
          </cell>
          <cell r="G133">
            <v>3.0188780348326356E-2</v>
          </cell>
          <cell r="H133">
            <v>137.46600000000007</v>
          </cell>
          <cell r="I133">
            <v>1.1795847335033518E-3</v>
          </cell>
          <cell r="J133">
            <v>7.0769999999999698</v>
          </cell>
          <cell r="K133">
            <v>3.451742414057396E-2</v>
          </cell>
          <cell r="L133">
            <v>210.42820000000029</v>
          </cell>
          <cell r="M133">
            <v>4.6205690645898502E-2</v>
          </cell>
          <cell r="N133">
            <v>340.27400000000034</v>
          </cell>
        </row>
        <row r="134">
          <cell r="D134">
            <v>0</v>
          </cell>
          <cell r="F134">
            <v>0</v>
          </cell>
          <cell r="H134">
            <v>0</v>
          </cell>
          <cell r="I134">
            <v>0</v>
          </cell>
          <cell r="J134">
            <v>0</v>
          </cell>
          <cell r="L134">
            <v>0</v>
          </cell>
          <cell r="N134">
            <v>0</v>
          </cell>
        </row>
        <row r="135">
          <cell r="B135" t="str">
            <v xml:space="preserve">Balance  b/f from Previous Year </v>
          </cell>
          <cell r="D135">
            <v>94.43</v>
          </cell>
          <cell r="F135">
            <v>133.65185000000037</v>
          </cell>
          <cell r="H135">
            <v>218.1038699999996</v>
          </cell>
          <cell r="J135">
            <v>304.03986999999972</v>
          </cell>
          <cell r="L135">
            <v>285.98286999999971</v>
          </cell>
          <cell r="N135">
            <v>464.60106999999999</v>
          </cell>
        </row>
        <row r="136">
          <cell r="C136">
            <v>0</v>
          </cell>
          <cell r="D136" t="str">
            <v>-</v>
          </cell>
          <cell r="E136">
            <v>0</v>
          </cell>
          <cell r="F136" t="str">
            <v>-</v>
          </cell>
          <cell r="G136">
            <v>0</v>
          </cell>
          <cell r="H136" t="str">
            <v>-</v>
          </cell>
          <cell r="I136">
            <v>0</v>
          </cell>
          <cell r="J136" t="str">
            <v>-</v>
          </cell>
          <cell r="K136">
            <v>0</v>
          </cell>
          <cell r="L136" t="str">
            <v>-</v>
          </cell>
          <cell r="M136">
            <v>0</v>
          </cell>
          <cell r="N136" t="str">
            <v>-</v>
          </cell>
        </row>
        <row r="137">
          <cell r="B137" t="str">
            <v>BALANCE AVAILABLE FOR APPROPRIATION</v>
          </cell>
          <cell r="D137">
            <v>261.15185000000037</v>
          </cell>
          <cell r="F137">
            <v>272.99886999999961</v>
          </cell>
          <cell r="H137">
            <v>355.5698699999997</v>
          </cell>
          <cell r="J137">
            <v>311.11686999999972</v>
          </cell>
          <cell r="L137">
            <v>496.41107</v>
          </cell>
          <cell r="N137">
            <v>804.87507000000028</v>
          </cell>
        </row>
        <row r="138">
          <cell r="C138">
            <v>0</v>
          </cell>
          <cell r="D138" t="str">
            <v>=</v>
          </cell>
          <cell r="E138">
            <v>0</v>
          </cell>
          <cell r="F138" t="str">
            <v>=</v>
          </cell>
          <cell r="G138">
            <v>0</v>
          </cell>
          <cell r="H138" t="str">
            <v>=</v>
          </cell>
          <cell r="I138">
            <v>0</v>
          </cell>
          <cell r="J138" t="str">
            <v>=</v>
          </cell>
          <cell r="K138">
            <v>0</v>
          </cell>
          <cell r="L138" t="str">
            <v>=</v>
          </cell>
          <cell r="M138">
            <v>0</v>
          </cell>
          <cell r="N138" t="str">
            <v>=</v>
          </cell>
        </row>
        <row r="139">
          <cell r="B139" t="str">
            <v>APPROPRIATIONS</v>
          </cell>
        </row>
        <row r="141">
          <cell r="B141" t="str">
            <v>Total  Dividend</v>
          </cell>
          <cell r="C141">
            <v>0.14617924623081921</v>
          </cell>
          <cell r="D141">
            <v>43.65</v>
          </cell>
          <cell r="E141">
            <v>0.13650183343445801</v>
          </cell>
          <cell r="F141">
            <v>41.395000000000003</v>
          </cell>
          <cell r="G141">
            <v>5.1295629457035939E-2</v>
          </cell>
          <cell r="H141">
            <v>14.53</v>
          </cell>
          <cell r="I141">
            <v>0</v>
          </cell>
          <cell r="J141">
            <v>0</v>
          </cell>
          <cell r="K141">
            <v>1.2938197356967636E-2</v>
          </cell>
          <cell r="L141">
            <v>3.27</v>
          </cell>
          <cell r="M141">
            <v>0</v>
          </cell>
          <cell r="N141">
            <v>0</v>
          </cell>
        </row>
        <row r="142">
          <cell r="B142" t="str">
            <v>Interim  Dividend</v>
          </cell>
          <cell r="D142">
            <v>23.45</v>
          </cell>
          <cell r="F142">
            <v>37.635000000000005</v>
          </cell>
          <cell r="H142">
            <v>13.09</v>
          </cell>
          <cell r="J142">
            <v>0</v>
          </cell>
          <cell r="L142">
            <v>3.27</v>
          </cell>
          <cell r="N142">
            <v>0</v>
          </cell>
        </row>
        <row r="144">
          <cell r="B144" t="str">
            <v xml:space="preserve">Proposed Dividend </v>
          </cell>
          <cell r="C144">
            <v>0</v>
          </cell>
          <cell r="D144">
            <v>16.23</v>
          </cell>
          <cell r="F144">
            <v>0</v>
          </cell>
          <cell r="H144">
            <v>0</v>
          </cell>
          <cell r="J144">
            <v>0</v>
          </cell>
          <cell r="L144">
            <v>0</v>
          </cell>
          <cell r="N144">
            <v>0</v>
          </cell>
        </row>
        <row r="146">
          <cell r="B146" t="str">
            <v xml:space="preserve"> Tax  on Dividends</v>
          </cell>
          <cell r="D146">
            <v>3.9699999999999998</v>
          </cell>
          <cell r="F146">
            <v>3.76</v>
          </cell>
          <cell r="H146">
            <v>1.44</v>
          </cell>
          <cell r="J146">
            <v>0</v>
          </cell>
          <cell r="L146">
            <v>0</v>
          </cell>
          <cell r="N146">
            <v>0</v>
          </cell>
        </row>
        <row r="148">
          <cell r="B148" t="str">
            <v>Transfer to  Reserves</v>
          </cell>
          <cell r="D148">
            <v>83.85</v>
          </cell>
          <cell r="F148">
            <v>13.5</v>
          </cell>
          <cell r="H148">
            <v>37</v>
          </cell>
          <cell r="J148">
            <v>25.134</v>
          </cell>
          <cell r="L148">
            <v>28.54</v>
          </cell>
          <cell r="N148">
            <v>0</v>
          </cell>
        </row>
        <row r="150">
          <cell r="B150" t="str">
            <v>Balance Carried  to Balance Sheet</v>
          </cell>
          <cell r="D150">
            <v>133.65185000000037</v>
          </cell>
          <cell r="F150">
            <v>218.1038699999996</v>
          </cell>
          <cell r="H150">
            <v>304.03986999999972</v>
          </cell>
          <cell r="J150">
            <v>285.98286999999971</v>
          </cell>
          <cell r="L150">
            <v>464.60106999999999</v>
          </cell>
          <cell r="N150">
            <v>804.87507000000028</v>
          </cell>
        </row>
        <row r="151">
          <cell r="C151">
            <v>0</v>
          </cell>
          <cell r="D151" t="str">
            <v>-</v>
          </cell>
          <cell r="E151">
            <v>0</v>
          </cell>
          <cell r="F151" t="str">
            <v>-</v>
          </cell>
          <cell r="G151">
            <v>0</v>
          </cell>
          <cell r="H151" t="str">
            <v>-</v>
          </cell>
          <cell r="I151">
            <v>0</v>
          </cell>
          <cell r="J151" t="str">
            <v>-</v>
          </cell>
          <cell r="K151">
            <v>0</v>
          </cell>
          <cell r="L151" t="str">
            <v>-</v>
          </cell>
          <cell r="M151">
            <v>0</v>
          </cell>
          <cell r="N151" t="str">
            <v>-</v>
          </cell>
        </row>
        <row r="152">
          <cell r="D152">
            <v>261.15185000000037</v>
          </cell>
          <cell r="F152">
            <v>272.99886999999961</v>
          </cell>
          <cell r="H152">
            <v>355.5698699999997</v>
          </cell>
          <cell r="J152">
            <v>311.11686999999972</v>
          </cell>
          <cell r="L152">
            <v>496.41107</v>
          </cell>
          <cell r="N152">
            <v>804.87507000000028</v>
          </cell>
        </row>
        <row r="153">
          <cell r="C153">
            <v>0</v>
          </cell>
          <cell r="D153" t="str">
            <v>=</v>
          </cell>
          <cell r="E153">
            <v>0</v>
          </cell>
          <cell r="F153" t="str">
            <v>=</v>
          </cell>
          <cell r="G153">
            <v>0</v>
          </cell>
          <cell r="H153" t="str">
            <v>=</v>
          </cell>
          <cell r="I153">
            <v>0</v>
          </cell>
          <cell r="J153" t="str">
            <v>=</v>
          </cell>
          <cell r="K153">
            <v>0</v>
          </cell>
          <cell r="L153" t="str">
            <v>=</v>
          </cell>
          <cell r="M153">
            <v>0</v>
          </cell>
          <cell r="N153" t="str">
            <v>=</v>
          </cell>
        </row>
        <row r="176">
          <cell r="B176" t="str">
            <v>DETAILS  FOR  CALCULATING RATIOS</v>
          </cell>
        </row>
        <row r="178">
          <cell r="B178" t="str">
            <v>-</v>
          </cell>
          <cell r="C178" t="str">
            <v>-</v>
          </cell>
          <cell r="D178" t="str">
            <v>-</v>
          </cell>
          <cell r="E178" t="str">
            <v>-</v>
          </cell>
          <cell r="F178" t="str">
            <v>-</v>
          </cell>
          <cell r="G178" t="str">
            <v>-</v>
          </cell>
          <cell r="H178" t="str">
            <v>-</v>
          </cell>
        </row>
        <row r="179">
          <cell r="B179" t="str">
            <v>PARTICULARS</v>
          </cell>
          <cell r="C179" t="str">
            <v>1997-98</v>
          </cell>
          <cell r="D179" t="str">
            <v>1998-99</v>
          </cell>
          <cell r="E179" t="str">
            <v>1999-00</v>
          </cell>
          <cell r="F179" t="str">
            <v>2000-01</v>
          </cell>
          <cell r="G179" t="str">
            <v>2001-02</v>
          </cell>
          <cell r="H179" t="str">
            <v>2002-03</v>
          </cell>
        </row>
        <row r="180">
          <cell r="B180" t="str">
            <v>-</v>
          </cell>
          <cell r="C180" t="str">
            <v>-</v>
          </cell>
          <cell r="D180" t="str">
            <v>-</v>
          </cell>
          <cell r="E180" t="str">
            <v>-</v>
          </cell>
          <cell r="F180" t="str">
            <v>-</v>
          </cell>
          <cell r="G180" t="str">
            <v>-</v>
          </cell>
          <cell r="H180" t="str">
            <v>-</v>
          </cell>
        </row>
        <row r="181">
          <cell r="B181" t="str">
            <v>Total  Share  Capital</v>
          </cell>
          <cell r="C181">
            <v>298.60599999999999</v>
          </cell>
          <cell r="D181">
            <v>303.25600000000003</v>
          </cell>
          <cell r="E181">
            <v>283.26</v>
          </cell>
          <cell r="F181">
            <v>268.536</v>
          </cell>
          <cell r="G181">
            <v>252.73999999999998</v>
          </cell>
          <cell r="H181">
            <v>279.74</v>
          </cell>
        </row>
        <row r="183">
          <cell r="B183" t="str">
            <v>Total  Dividend</v>
          </cell>
          <cell r="C183">
            <v>43.65</v>
          </cell>
          <cell r="D183">
            <v>41.395000000000003</v>
          </cell>
          <cell r="E183">
            <v>14.53</v>
          </cell>
          <cell r="F183">
            <v>0</v>
          </cell>
          <cell r="G183">
            <v>3.27</v>
          </cell>
          <cell r="H183">
            <v>0</v>
          </cell>
        </row>
        <row r="185">
          <cell r="B185" t="str">
            <v>Loan  Funds</v>
          </cell>
          <cell r="C185">
            <v>786.9369999999999</v>
          </cell>
          <cell r="D185">
            <v>1132.4580000000001</v>
          </cell>
          <cell r="E185">
            <v>1317.47</v>
          </cell>
          <cell r="F185">
            <v>854.05499999999995</v>
          </cell>
          <cell r="G185">
            <v>795.697</v>
          </cell>
          <cell r="H185">
            <v>1315.8440000000001</v>
          </cell>
        </row>
        <row r="187">
          <cell r="B187" t="str">
            <v>Term  Loans</v>
          </cell>
          <cell r="C187">
            <v>433.46</v>
          </cell>
          <cell r="D187">
            <v>529.88</v>
          </cell>
          <cell r="E187">
            <v>778.13999999999987</v>
          </cell>
          <cell r="F187">
            <v>677.78</v>
          </cell>
          <cell r="G187">
            <v>672.27</v>
          </cell>
          <cell r="H187">
            <v>1017.4369999999999</v>
          </cell>
        </row>
        <row r="189">
          <cell r="B189" t="str">
            <v>Unsecured  Loan</v>
          </cell>
          <cell r="C189">
            <v>89.367000000000004</v>
          </cell>
          <cell r="D189">
            <v>310.14</v>
          </cell>
          <cell r="E189">
            <v>116.75</v>
          </cell>
          <cell r="F189">
            <v>13.775</v>
          </cell>
          <cell r="G189">
            <v>17.29</v>
          </cell>
          <cell r="H189">
            <v>98.785000000000011</v>
          </cell>
        </row>
        <row r="191">
          <cell r="B191" t="str">
            <v>Working  Capital  Loan</v>
          </cell>
          <cell r="C191">
            <v>264.11</v>
          </cell>
          <cell r="D191">
            <v>292.44</v>
          </cell>
          <cell r="E191">
            <v>422.58000000000004</v>
          </cell>
          <cell r="F191">
            <v>162.5</v>
          </cell>
          <cell r="G191">
            <v>106.137</v>
          </cell>
          <cell r="H191">
            <v>197.20699999999999</v>
          </cell>
        </row>
        <row r="193">
          <cell r="B193" t="str">
            <v>Debt</v>
          </cell>
          <cell r="C193">
            <v>433.45999999999992</v>
          </cell>
          <cell r="D193">
            <v>529.87800000000016</v>
          </cell>
          <cell r="E193">
            <v>778.14</v>
          </cell>
          <cell r="F193">
            <v>677.78</v>
          </cell>
          <cell r="G193">
            <v>672.27</v>
          </cell>
          <cell r="H193">
            <v>1019.852</v>
          </cell>
        </row>
        <row r="195">
          <cell r="B195" t="str">
            <v>Current  Assets:</v>
          </cell>
        </row>
        <row r="197">
          <cell r="B197" t="str">
            <v>a. Inventories</v>
          </cell>
          <cell r="C197">
            <v>104.86</v>
          </cell>
          <cell r="D197">
            <v>129.08699999999999</v>
          </cell>
          <cell r="E197">
            <v>155.76</v>
          </cell>
          <cell r="F197">
            <v>228.06</v>
          </cell>
          <cell r="G197">
            <v>275.24300000000005</v>
          </cell>
          <cell r="H197">
            <v>405.64699999999999</v>
          </cell>
        </row>
        <row r="199">
          <cell r="B199" t="str">
            <v>b. Sundry  Debtors</v>
          </cell>
          <cell r="C199">
            <v>104.93</v>
          </cell>
          <cell r="D199">
            <v>79.63</v>
          </cell>
          <cell r="E199">
            <v>189.62</v>
          </cell>
          <cell r="F199">
            <v>198.18</v>
          </cell>
          <cell r="G199">
            <v>214.24799999999999</v>
          </cell>
          <cell r="H199">
            <v>146.32</v>
          </cell>
        </row>
        <row r="201">
          <cell r="B201" t="str">
            <v>c.  Cash &amp; Bank Balances</v>
          </cell>
          <cell r="C201">
            <v>25.63</v>
          </cell>
          <cell r="D201">
            <v>37.878</v>
          </cell>
          <cell r="E201">
            <v>29.16</v>
          </cell>
          <cell r="F201">
            <v>38.74</v>
          </cell>
          <cell r="G201">
            <v>3.2490000000000001</v>
          </cell>
          <cell r="H201">
            <v>4.3639999999999999</v>
          </cell>
        </row>
        <row r="203">
          <cell r="B203" t="str">
            <v>d.  Loans &amp;  Advances</v>
          </cell>
          <cell r="C203">
            <v>126.03399999999999</v>
          </cell>
          <cell r="D203">
            <v>335.98800000000006</v>
          </cell>
          <cell r="E203">
            <v>485.39</v>
          </cell>
          <cell r="F203">
            <v>73.804999999999993</v>
          </cell>
          <cell r="G203">
            <v>145.55700000000002</v>
          </cell>
          <cell r="H203">
            <v>136.51299999999998</v>
          </cell>
        </row>
        <row r="205">
          <cell r="B205" t="str">
            <v>e.  Deposits</v>
          </cell>
          <cell r="C205">
            <v>58.286000000000001</v>
          </cell>
          <cell r="D205">
            <v>34.449999999999996</v>
          </cell>
          <cell r="E205">
            <v>8.4699999999999989</v>
          </cell>
          <cell r="F205">
            <v>8.4849999999999994</v>
          </cell>
          <cell r="G205">
            <v>8.69</v>
          </cell>
          <cell r="H205">
            <v>114.32000000000001</v>
          </cell>
        </row>
        <row r="207">
          <cell r="B207" t="str">
            <v>f. Trade  Investments</v>
          </cell>
          <cell r="C207">
            <v>29.998999999999999</v>
          </cell>
          <cell r="D207">
            <v>58.198999999999998</v>
          </cell>
          <cell r="E207">
            <v>58.198999999999998</v>
          </cell>
          <cell r="F207">
            <v>58.198999999999998</v>
          </cell>
          <cell r="G207">
            <v>58.198999999999998</v>
          </cell>
          <cell r="H207">
            <v>178.19900000000001</v>
          </cell>
        </row>
        <row r="208">
          <cell r="C208" t="str">
            <v>-</v>
          </cell>
          <cell r="D208" t="str">
            <v>-</v>
          </cell>
          <cell r="E208" t="str">
            <v>-</v>
          </cell>
          <cell r="F208" t="str">
            <v>-</v>
          </cell>
          <cell r="G208" t="str">
            <v>-</v>
          </cell>
          <cell r="H208" t="str">
            <v>-</v>
          </cell>
        </row>
        <row r="209">
          <cell r="B209" t="str">
            <v xml:space="preserve">         Total Current  Assets</v>
          </cell>
          <cell r="C209">
            <v>449.73900000000003</v>
          </cell>
          <cell r="D209">
            <v>675.23200000000008</v>
          </cell>
          <cell r="E209">
            <v>926.59900000000005</v>
          </cell>
          <cell r="F209">
            <v>605.46899999999994</v>
          </cell>
          <cell r="G209">
            <v>705.18600000000004</v>
          </cell>
          <cell r="H209">
            <v>985.36300000000006</v>
          </cell>
        </row>
        <row r="211">
          <cell r="B211" t="str">
            <v>Current Liabilities</v>
          </cell>
          <cell r="C211">
            <v>71.275000000000006</v>
          </cell>
          <cell r="D211">
            <v>131.01</v>
          </cell>
          <cell r="E211">
            <v>126.38999999999999</v>
          </cell>
          <cell r="F211">
            <v>100.91</v>
          </cell>
          <cell r="G211">
            <v>163.93899999999999</v>
          </cell>
          <cell r="H211">
            <v>123.041</v>
          </cell>
        </row>
        <row r="212">
          <cell r="C212" t="str">
            <v>-</v>
          </cell>
          <cell r="D212" t="str">
            <v>-</v>
          </cell>
          <cell r="E212" t="str">
            <v>-</v>
          </cell>
          <cell r="F212" t="str">
            <v>-</v>
          </cell>
          <cell r="G212" t="str">
            <v>-</v>
          </cell>
          <cell r="H212" t="str">
            <v>-</v>
          </cell>
        </row>
        <row r="213">
          <cell r="B213" t="str">
            <v xml:space="preserve">         Total  Current Liabilities</v>
          </cell>
          <cell r="C213">
            <v>319.15499999999997</v>
          </cell>
          <cell r="D213">
            <v>423.45</v>
          </cell>
          <cell r="E213">
            <v>548.97</v>
          </cell>
          <cell r="F213">
            <v>263.40999999999997</v>
          </cell>
          <cell r="G213">
            <v>270.07600000000002</v>
          </cell>
          <cell r="H213">
            <v>320.24799999999999</v>
          </cell>
        </row>
        <row r="214">
          <cell r="C214" t="str">
            <v>-</v>
          </cell>
          <cell r="D214" t="str">
            <v>-</v>
          </cell>
          <cell r="E214" t="str">
            <v>-</v>
          </cell>
          <cell r="F214" t="str">
            <v>-</v>
          </cell>
          <cell r="G214" t="str">
            <v>-</v>
          </cell>
          <cell r="H214" t="str">
            <v>-</v>
          </cell>
        </row>
        <row r="215">
          <cell r="B215" t="str">
            <v xml:space="preserve">Working  Capital  </v>
          </cell>
          <cell r="C215">
            <v>130.58400000000006</v>
          </cell>
          <cell r="D215">
            <v>251.7820000000001</v>
          </cell>
          <cell r="E215">
            <v>377.62900000000002</v>
          </cell>
          <cell r="F215">
            <v>342.05899999999997</v>
          </cell>
          <cell r="G215">
            <v>435.11</v>
          </cell>
          <cell r="H215">
            <v>665.11500000000001</v>
          </cell>
        </row>
        <row r="217">
          <cell r="B217" t="str">
            <v>L.T. Funds</v>
          </cell>
          <cell r="C217">
            <v>1057.8789999999999</v>
          </cell>
          <cell r="D217">
            <v>1585.7090000000001</v>
          </cell>
          <cell r="E217">
            <v>1707.9940000000001</v>
          </cell>
          <cell r="F217">
            <v>1404.895</v>
          </cell>
          <cell r="G217">
            <v>1531.6320000000001</v>
          </cell>
          <cell r="H217">
            <v>2710.9780000000001</v>
          </cell>
        </row>
        <row r="219">
          <cell r="B219" t="str">
            <v>Turnover</v>
          </cell>
          <cell r="C219">
            <v>2849.6959999999999</v>
          </cell>
          <cell r="D219">
            <v>2975.21</v>
          </cell>
          <cell r="E219">
            <v>4497.33</v>
          </cell>
          <cell r="F219">
            <v>5949.45</v>
          </cell>
          <cell r="G219">
            <v>6130.15</v>
          </cell>
          <cell r="H219">
            <v>7121.7079999999996</v>
          </cell>
        </row>
        <row r="221">
          <cell r="B221" t="str">
            <v>Gross  Profit</v>
          </cell>
          <cell r="C221">
            <v>487.50984999999991</v>
          </cell>
          <cell r="D221">
            <v>573.83701999999982</v>
          </cell>
          <cell r="E221">
            <v>662.39400000000012</v>
          </cell>
          <cell r="F221">
            <v>879.17</v>
          </cell>
          <cell r="G221">
            <v>985.3131999999996</v>
          </cell>
          <cell r="H221">
            <v>980.15699999999981</v>
          </cell>
        </row>
        <row r="223">
          <cell r="B223" t="str">
            <v>Net Profit for the Year</v>
          </cell>
          <cell r="C223">
            <v>166.72185000000036</v>
          </cell>
          <cell r="D223">
            <v>139.34701999999925</v>
          </cell>
          <cell r="E223">
            <v>137.96900000000005</v>
          </cell>
          <cell r="F223">
            <v>254.10699999999997</v>
          </cell>
          <cell r="G223">
            <v>227.67820000000029</v>
          </cell>
          <cell r="H223">
            <v>369.27400000000034</v>
          </cell>
        </row>
        <row r="225">
          <cell r="B225" t="str">
            <v>Interest  &amp;  Finance  Charges</v>
          </cell>
          <cell r="C225">
            <v>109.2</v>
          </cell>
          <cell r="D225">
            <v>118.92</v>
          </cell>
          <cell r="E225">
            <v>171.28399999999999</v>
          </cell>
          <cell r="F225">
            <v>162.24299999999999</v>
          </cell>
          <cell r="G225">
            <v>106.84</v>
          </cell>
          <cell r="H225">
            <v>104.47800000000001</v>
          </cell>
        </row>
        <row r="227">
          <cell r="B227" t="str">
            <v>PBIT</v>
          </cell>
          <cell r="C227">
            <v>275.92185000000035</v>
          </cell>
          <cell r="D227">
            <v>258.26701999999926</v>
          </cell>
          <cell r="E227">
            <v>309.25300000000004</v>
          </cell>
          <cell r="F227">
            <v>416.34999999999997</v>
          </cell>
          <cell r="G227">
            <v>334.51820000000032</v>
          </cell>
          <cell r="H227">
            <v>473.75200000000035</v>
          </cell>
        </row>
        <row r="229">
          <cell r="B229" t="str">
            <v xml:space="preserve">F.G.Inventory </v>
          </cell>
          <cell r="C229">
            <v>0</v>
          </cell>
          <cell r="D229">
            <v>0</v>
          </cell>
          <cell r="E229">
            <v>0</v>
          </cell>
          <cell r="F229">
            <v>0</v>
          </cell>
          <cell r="G229">
            <v>0</v>
          </cell>
          <cell r="H229">
            <v>0</v>
          </cell>
        </row>
        <row r="231">
          <cell r="B231" t="str">
            <v>R.M.Inventory</v>
          </cell>
          <cell r="C231">
            <v>0</v>
          </cell>
          <cell r="D231">
            <v>0</v>
          </cell>
          <cell r="E231">
            <v>0</v>
          </cell>
          <cell r="F231">
            <v>0</v>
          </cell>
          <cell r="G231">
            <v>0</v>
          </cell>
          <cell r="H231">
            <v>0</v>
          </cell>
        </row>
        <row r="232">
          <cell r="B232" t="str">
            <v>=</v>
          </cell>
          <cell r="C232" t="str">
            <v>=</v>
          </cell>
          <cell r="D232" t="str">
            <v>=</v>
          </cell>
          <cell r="E232" t="str">
            <v>=</v>
          </cell>
          <cell r="F232" t="str">
            <v>=</v>
          </cell>
          <cell r="G232" t="str">
            <v>=</v>
          </cell>
          <cell r="H232" t="str">
            <v>=</v>
          </cell>
        </row>
        <row r="236">
          <cell r="B236" t="str">
            <v>CALCULATION  OF  VARIOUS  RATIOS</v>
          </cell>
        </row>
        <row r="237">
          <cell r="H237" t="str">
            <v>(RS.IN LACS)</v>
          </cell>
        </row>
        <row r="238">
          <cell r="B238" t="str">
            <v>-</v>
          </cell>
          <cell r="C238" t="str">
            <v>-</v>
          </cell>
          <cell r="D238" t="str">
            <v>-</v>
          </cell>
          <cell r="E238" t="str">
            <v>-</v>
          </cell>
          <cell r="F238" t="str">
            <v>-</v>
          </cell>
          <cell r="G238" t="str">
            <v>-</v>
          </cell>
          <cell r="H238" t="str">
            <v>-</v>
          </cell>
        </row>
        <row r="239">
          <cell r="B239" t="str">
            <v>PARTICULARS</v>
          </cell>
          <cell r="C239" t="str">
            <v>1997-98</v>
          </cell>
          <cell r="D239" t="str">
            <v>1998-99</v>
          </cell>
          <cell r="E239" t="str">
            <v>1999-00</v>
          </cell>
          <cell r="F239" t="str">
            <v>2000-01</v>
          </cell>
          <cell r="G239" t="str">
            <v>2001-02</v>
          </cell>
          <cell r="H239" t="str">
            <v>2002-03</v>
          </cell>
        </row>
        <row r="240">
          <cell r="B240" t="str">
            <v>-</v>
          </cell>
          <cell r="C240" t="str">
            <v>-</v>
          </cell>
          <cell r="D240" t="str">
            <v>-</v>
          </cell>
          <cell r="E240" t="str">
            <v>-</v>
          </cell>
          <cell r="F240" t="str">
            <v>-</v>
          </cell>
          <cell r="G240" t="str">
            <v>-</v>
          </cell>
          <cell r="H240" t="str">
            <v>-</v>
          </cell>
        </row>
        <row r="241">
          <cell r="B241" t="str">
            <v>NET PROFIT AFTER TAX</v>
          </cell>
          <cell r="C241">
            <v>166.72185000000036</v>
          </cell>
          <cell r="D241">
            <v>139.34701999999925</v>
          </cell>
          <cell r="E241">
            <v>137.46600000000007</v>
          </cell>
          <cell r="F241">
            <v>7.0769999999999698</v>
          </cell>
          <cell r="G241">
            <v>210.42820000000029</v>
          </cell>
          <cell r="H241">
            <v>340.27400000000034</v>
          </cell>
        </row>
        <row r="243">
          <cell r="B243" t="str">
            <v>CASH PROFIT</v>
          </cell>
          <cell r="C243">
            <v>210.75885000000036</v>
          </cell>
          <cell r="D243">
            <v>194.32201999999924</v>
          </cell>
          <cell r="E243">
            <v>210.03300000000007</v>
          </cell>
          <cell r="F243">
            <v>155.43999999999997</v>
          </cell>
          <cell r="G243">
            <v>463.07320000000027</v>
          </cell>
          <cell r="H243">
            <v>475.27400000000034</v>
          </cell>
        </row>
        <row r="245">
          <cell r="B245" t="str">
            <v>CASH PROFIT RATIO</v>
          </cell>
          <cell r="C245">
            <v>7.3714226055861793</v>
          </cell>
          <cell r="D245">
            <v>6.4617202255858857</v>
          </cell>
          <cell r="E245">
            <v>4.6125151694964783</v>
          </cell>
          <cell r="F245">
            <v>2.5908527762577607</v>
          </cell>
          <cell r="G245">
            <v>7.5959847836615157</v>
          </cell>
          <cell r="H245">
            <v>6.4537294697916261</v>
          </cell>
        </row>
        <row r="247">
          <cell r="B247" t="str">
            <v>EQUITY SHARE CAPITAL</v>
          </cell>
          <cell r="C247">
            <v>261.77600000000001</v>
          </cell>
          <cell r="D247">
            <v>261.77600000000001</v>
          </cell>
          <cell r="E247">
            <v>261.77999999999997</v>
          </cell>
          <cell r="F247">
            <v>249.55600000000001</v>
          </cell>
          <cell r="G247">
            <v>245.98399999999998</v>
          </cell>
          <cell r="H247">
            <v>245.98400000000001</v>
          </cell>
        </row>
        <row r="249">
          <cell r="B249" t="str">
            <v>PREFERENCE SHARE CAPITAL</v>
          </cell>
          <cell r="C249">
            <v>36.83</v>
          </cell>
          <cell r="D249">
            <v>41.48</v>
          </cell>
          <cell r="E249">
            <v>21.48</v>
          </cell>
          <cell r="F249">
            <v>18.98</v>
          </cell>
          <cell r="G249">
            <v>6.7560000000000002</v>
          </cell>
          <cell r="H249">
            <v>33.756</v>
          </cell>
        </row>
        <row r="251">
          <cell r="B251" t="str">
            <v>RESERVES &amp; SURPLUS</v>
          </cell>
          <cell r="C251">
            <v>240.446</v>
          </cell>
          <cell r="D251">
            <v>445.875</v>
          </cell>
          <cell r="E251">
            <v>532.72</v>
          </cell>
          <cell r="F251">
            <v>447.12</v>
          </cell>
          <cell r="G251">
            <v>591.08699999999999</v>
          </cell>
          <cell r="H251">
            <v>1314.356</v>
          </cell>
        </row>
        <row r="253">
          <cell r="B253" t="str">
            <v>NET  WORTH</v>
          </cell>
          <cell r="C253">
            <v>535.05200000000002</v>
          </cell>
          <cell r="D253">
            <v>745.69100000000003</v>
          </cell>
          <cell r="E253">
            <v>813.10400000000004</v>
          </cell>
          <cell r="F253">
            <v>713.33999999999992</v>
          </cell>
          <cell r="G253">
            <v>842.072</v>
          </cell>
          <cell r="H253">
            <v>1592.3409999999999</v>
          </cell>
        </row>
        <row r="255">
          <cell r="B255" t="str">
            <v>UNSECURED  LOAN</v>
          </cell>
          <cell r="C255">
            <v>89.367000000000004</v>
          </cell>
          <cell r="D255">
            <v>310.14</v>
          </cell>
          <cell r="E255">
            <v>116.75</v>
          </cell>
          <cell r="F255">
            <v>13.775</v>
          </cell>
          <cell r="G255">
            <v>17.29</v>
          </cell>
          <cell r="H255">
            <v>98.785000000000011</v>
          </cell>
        </row>
        <row r="257">
          <cell r="B257" t="str">
            <v>TERM LOANS</v>
          </cell>
          <cell r="C257">
            <v>433.46</v>
          </cell>
          <cell r="D257">
            <v>529.88</v>
          </cell>
          <cell r="E257">
            <v>778.13999999999987</v>
          </cell>
          <cell r="F257">
            <v>677.78</v>
          </cell>
          <cell r="G257">
            <v>672.27</v>
          </cell>
          <cell r="H257">
            <v>1017.4369999999999</v>
          </cell>
        </row>
        <row r="259">
          <cell r="B259" t="str">
            <v>EQUITY SHARES OF Rs.10 EACH</v>
          </cell>
          <cell r="C259">
            <v>2617760</v>
          </cell>
          <cell r="D259">
            <v>2617760</v>
          </cell>
          <cell r="E259">
            <v>2617799.9999999995</v>
          </cell>
          <cell r="F259">
            <v>2495560</v>
          </cell>
          <cell r="G259">
            <v>2459839.9999999995</v>
          </cell>
          <cell r="H259">
            <v>2459840</v>
          </cell>
        </row>
        <row r="261">
          <cell r="B261" t="str">
            <v>EPS</v>
          </cell>
          <cell r="C261">
            <v>6.3688745339527069</v>
          </cell>
          <cell r="D261">
            <v>5.3231396308293828</v>
          </cell>
          <cell r="E261">
            <v>5.2512033004813237</v>
          </cell>
          <cell r="F261">
            <v>0.28358364455272439</v>
          </cell>
          <cell r="G261">
            <v>8.554548263301692</v>
          </cell>
          <cell r="H261">
            <v>13.833176141537674</v>
          </cell>
        </row>
        <row r="263">
          <cell r="B263" t="str">
            <v>CASH  EPS</v>
          </cell>
          <cell r="C263">
            <v>8.0511143114724177</v>
          </cell>
          <cell r="D263">
            <v>7.4232175600513122</v>
          </cell>
          <cell r="E263">
            <v>8.0232638093055275</v>
          </cell>
          <cell r="F263">
            <v>6.2286621038965189</v>
          </cell>
          <cell r="G263">
            <v>18.82533823338105</v>
          </cell>
          <cell r="H263">
            <v>19.321337973201523</v>
          </cell>
        </row>
        <row r="265">
          <cell r="B265" t="str">
            <v>DIVIDEND %</v>
          </cell>
          <cell r="C265">
            <v>0.14617924623081921</v>
          </cell>
          <cell r="D265">
            <v>0.13650183343445801</v>
          </cell>
          <cell r="E265">
            <v>5.1295629457035939E-2</v>
          </cell>
          <cell r="F265">
            <v>0</v>
          </cell>
          <cell r="G265">
            <v>1.2938197356967636E-2</v>
          </cell>
          <cell r="H265">
            <v>0</v>
          </cell>
        </row>
        <row r="267">
          <cell r="B267" t="str">
            <v>NET  WORTH</v>
          </cell>
          <cell r="C267">
            <v>535.05200000000002</v>
          </cell>
          <cell r="D267">
            <v>745.69100000000003</v>
          </cell>
          <cell r="E267">
            <v>813.10400000000004</v>
          </cell>
          <cell r="F267">
            <v>713.33999999999992</v>
          </cell>
          <cell r="G267">
            <v>842.072</v>
          </cell>
          <cell r="H267">
            <v>1592.3409999999999</v>
          </cell>
        </row>
        <row r="269">
          <cell r="B269" t="str">
            <v>BOOK VALUE PER SHARE</v>
          </cell>
          <cell r="C269">
            <v>20.439306888332009</v>
          </cell>
          <cell r="D269">
            <v>28.485842858016017</v>
          </cell>
          <cell r="E269">
            <v>31.060585224234096</v>
          </cell>
          <cell r="F269">
            <v>28.584365833720682</v>
          </cell>
          <cell r="G269">
            <v>34.232795628984</v>
          </cell>
          <cell r="H269">
            <v>64.733519253284754</v>
          </cell>
        </row>
        <row r="271">
          <cell r="B271" t="str">
            <v>DEBT -EQUITY RATIO</v>
          </cell>
          <cell r="C271">
            <v>0.69418131094665592</v>
          </cell>
          <cell r="D271">
            <v>0.50185872549678889</v>
          </cell>
          <cell r="E271">
            <v>0.83684105246630114</v>
          </cell>
          <cell r="F271">
            <v>0.93214965995750343</v>
          </cell>
          <cell r="G271">
            <v>0.78228965209073709</v>
          </cell>
          <cell r="H271">
            <v>0.60306091917456184</v>
          </cell>
        </row>
        <row r="273">
          <cell r="B273" t="str">
            <v>CURRENT  RATIO</v>
          </cell>
          <cell r="C273">
            <v>1.4091554260469052</v>
          </cell>
          <cell r="D273">
            <v>1.5945967646711539</v>
          </cell>
          <cell r="E273">
            <v>1.6878864054502067</v>
          </cell>
          <cell r="F273">
            <v>2.2985801602065221</v>
          </cell>
          <cell r="G273">
            <v>2.611065033546113</v>
          </cell>
          <cell r="H273">
            <v>3.0768747970323003</v>
          </cell>
        </row>
        <row r="275">
          <cell r="B275" t="str">
            <v>LIQUID  RATIO</v>
          </cell>
          <cell r="C275">
            <v>1.0806003352602969</v>
          </cell>
          <cell r="D275">
            <v>1.28975085606329</v>
          </cell>
          <cell r="E275">
            <v>1.4041550540102374</v>
          </cell>
          <cell r="F275">
            <v>1.432781595231768</v>
          </cell>
          <cell r="G275">
            <v>1.5919333817147765</v>
          </cell>
          <cell r="H275">
            <v>1.810209587569634</v>
          </cell>
        </row>
        <row r="276">
          <cell r="B276" t="str">
            <v>=</v>
          </cell>
          <cell r="C276" t="str">
            <v>=</v>
          </cell>
          <cell r="D276" t="str">
            <v>=</v>
          </cell>
          <cell r="E276" t="str">
            <v>=</v>
          </cell>
          <cell r="F276" t="str">
            <v>=</v>
          </cell>
          <cell r="G276" t="str">
            <v>=</v>
          </cell>
          <cell r="H276" t="str">
            <v>=</v>
          </cell>
        </row>
        <row r="278">
          <cell r="H278" t="str">
            <v>(RS.IN LACS)</v>
          </cell>
        </row>
        <row r="279">
          <cell r="B279" t="str">
            <v>-</v>
          </cell>
          <cell r="C279" t="str">
            <v>-</v>
          </cell>
          <cell r="D279" t="str">
            <v>-</v>
          </cell>
          <cell r="E279" t="str">
            <v>-</v>
          </cell>
          <cell r="F279" t="str">
            <v>-</v>
          </cell>
          <cell r="G279" t="str">
            <v>-</v>
          </cell>
          <cell r="H279" t="str">
            <v>-</v>
          </cell>
        </row>
        <row r="280">
          <cell r="B280" t="str">
            <v>PARTICULARS</v>
          </cell>
          <cell r="C280" t="str">
            <v>1997-98</v>
          </cell>
          <cell r="D280" t="str">
            <v>1998-99</v>
          </cell>
          <cell r="E280" t="str">
            <v>1999-00</v>
          </cell>
          <cell r="F280" t="str">
            <v>2000-01</v>
          </cell>
          <cell r="G280" t="str">
            <v>2001-02</v>
          </cell>
          <cell r="H280" t="str">
            <v>2002-03</v>
          </cell>
        </row>
        <row r="281">
          <cell r="B281" t="str">
            <v>-</v>
          </cell>
          <cell r="C281" t="str">
            <v>-</v>
          </cell>
          <cell r="D281" t="str">
            <v>-</v>
          </cell>
          <cell r="E281" t="str">
            <v>-</v>
          </cell>
          <cell r="F281" t="str">
            <v>-</v>
          </cell>
          <cell r="G281" t="str">
            <v>-</v>
          </cell>
          <cell r="H281" t="str">
            <v>-</v>
          </cell>
        </row>
        <row r="282">
          <cell r="B282" t="str">
            <v>FIXED  ASSETS/ L.T.FUNDS</v>
          </cell>
          <cell r="C282">
            <v>0.82795858505556896</v>
          </cell>
          <cell r="D282">
            <v>0.81305586333936419</v>
          </cell>
          <cell r="E282">
            <v>0.81468670264649634</v>
          </cell>
          <cell r="F282">
            <v>0.73817545083440417</v>
          </cell>
          <cell r="G282">
            <v>0.74205553292174609</v>
          </cell>
          <cell r="H282">
            <v>0.59947148224736602</v>
          </cell>
        </row>
        <row r="284">
          <cell r="B284" t="str">
            <v>RETURN  ON NET  WORTH</v>
          </cell>
          <cell r="D284">
            <v>0.21760340677247386</v>
          </cell>
          <cell r="E284">
            <v>0.17637469968790001</v>
          </cell>
          <cell r="F284">
            <v>9.2725314521855638E-3</v>
          </cell>
          <cell r="G284">
            <v>0.27057551311163897</v>
          </cell>
          <cell r="H284">
            <v>0.27955322289192536</v>
          </cell>
        </row>
        <row r="286">
          <cell r="B286" t="str">
            <v>RETURN ON  CAPITAL</v>
          </cell>
          <cell r="C286">
            <v>0.55833389148242285</v>
          </cell>
          <cell r="D286">
            <v>0.45950292821905991</v>
          </cell>
          <cell r="E286">
            <v>0.48529972463461157</v>
          </cell>
          <cell r="F286">
            <v>2.6354008401108117E-2</v>
          </cell>
          <cell r="G286">
            <v>0.83258763947139469</v>
          </cell>
          <cell r="H286">
            <v>1.2163937942375074</v>
          </cell>
        </row>
        <row r="288">
          <cell r="B288" t="str">
            <v>GROSS  PROFIT  RATIO</v>
          </cell>
          <cell r="C288">
            <v>0.17107433564843405</v>
          </cell>
          <cell r="D288">
            <v>0.19287277872822417</v>
          </cell>
          <cell r="E288">
            <v>0.14728605639346015</v>
          </cell>
          <cell r="F288">
            <v>0.14777332358453302</v>
          </cell>
          <cell r="G288">
            <v>0.16073231486994602</v>
          </cell>
          <cell r="H288">
            <v>0.13762948438773392</v>
          </cell>
        </row>
        <row r="290">
          <cell r="B290" t="str">
            <v>NET  PROFIT  RATIO</v>
          </cell>
          <cell r="C290">
            <v>5.8505135284605922E-2</v>
          </cell>
          <cell r="D290">
            <v>4.6836028381189644E-2</v>
          </cell>
          <cell r="E290">
            <v>3.0566135907305017E-2</v>
          </cell>
          <cell r="F290">
            <v>1.1895217204951668E-3</v>
          </cell>
          <cell r="G290">
            <v>3.432676198787963E-2</v>
          </cell>
          <cell r="H290">
            <v>4.7779830344069199E-2</v>
          </cell>
        </row>
        <row r="292">
          <cell r="B292" t="str">
            <v>CAPITAL  TURNOVER RATIO</v>
          </cell>
          <cell r="C292">
            <v>9.543331346322578</v>
          </cell>
          <cell r="D292">
            <v>9.8108858522172682</v>
          </cell>
          <cell r="E292">
            <v>15.877038762973946</v>
          </cell>
          <cell r="F292">
            <v>22.155130038430602</v>
          </cell>
          <cell r="G292">
            <v>24.25476774550922</v>
          </cell>
          <cell r="H292">
            <v>25.458311289054119</v>
          </cell>
        </row>
        <row r="294">
          <cell r="B294" t="str">
            <v>WORKING  CAP.  TURNOVER</v>
          </cell>
          <cell r="C294">
            <v>21.822704159774542</v>
          </cell>
          <cell r="D294">
            <v>11.81661119539919</v>
          </cell>
          <cell r="E294">
            <v>11.909387255745719</v>
          </cell>
          <cell r="F294">
            <v>17.393052075811482</v>
          </cell>
          <cell r="G294">
            <v>14.088736181655213</v>
          </cell>
          <cell r="H294">
            <v>10.707483668237822</v>
          </cell>
        </row>
        <row r="296">
          <cell r="B296" t="str">
            <v>ASSET COVERAGE RATIO</v>
          </cell>
          <cell r="C296">
            <v>2.0206708808194533</v>
          </cell>
          <cell r="D296">
            <v>2.4331358043330567</v>
          </cell>
          <cell r="E296">
            <v>1.7882129179839106</v>
          </cell>
          <cell r="F296">
            <v>1.5300820325179265</v>
          </cell>
          <cell r="G296">
            <v>1.6906243027355079</v>
          </cell>
          <cell r="H296">
            <v>1.5973018476819694</v>
          </cell>
        </row>
        <row r="298">
          <cell r="B298" t="str">
            <v>INT./PBIT (%)</v>
          </cell>
          <cell r="C298">
            <v>0.39576423541665823</v>
          </cell>
          <cell r="D298">
            <v>0.46045368084550764</v>
          </cell>
          <cell r="E298">
            <v>0.55386366502507645</v>
          </cell>
          <cell r="F298">
            <v>0.3896793563107962</v>
          </cell>
          <cell r="G298">
            <v>0.31938471509173461</v>
          </cell>
          <cell r="H298">
            <v>0.22053310592884026</v>
          </cell>
        </row>
        <row r="299">
          <cell r="B299" t="str">
            <v>=</v>
          </cell>
          <cell r="C299" t="str">
            <v>=</v>
          </cell>
          <cell r="D299" t="str">
            <v>=</v>
          </cell>
          <cell r="E299" t="str">
            <v>=</v>
          </cell>
          <cell r="F299" t="str">
            <v>=</v>
          </cell>
          <cell r="G299" t="str">
            <v>=</v>
          </cell>
          <cell r="H299" t="str">
            <v>=</v>
          </cell>
        </row>
        <row r="330">
          <cell r="B330" t="str">
            <v>-</v>
          </cell>
          <cell r="C330" t="str">
            <v>-</v>
          </cell>
          <cell r="D330" t="str">
            <v>-</v>
          </cell>
          <cell r="E330" t="str">
            <v>-</v>
          </cell>
          <cell r="F330" t="str">
            <v>-</v>
          </cell>
          <cell r="G330" t="str">
            <v>-</v>
          </cell>
          <cell r="H330" t="str">
            <v>-</v>
          </cell>
        </row>
        <row r="331">
          <cell r="B331" t="str">
            <v>PARTICULARS</v>
          </cell>
          <cell r="C331" t="str">
            <v>1997-98</v>
          </cell>
          <cell r="D331" t="str">
            <v>1998-99</v>
          </cell>
          <cell r="E331" t="str">
            <v>1999-00</v>
          </cell>
          <cell r="F331" t="str">
            <v>2000-01</v>
          </cell>
          <cell r="G331" t="str">
            <v>2001-02</v>
          </cell>
          <cell r="H331" t="str">
            <v>2002-03</v>
          </cell>
        </row>
        <row r="332">
          <cell r="B332" t="str">
            <v>-</v>
          </cell>
          <cell r="C332" t="str">
            <v>-</v>
          </cell>
          <cell r="D332" t="str">
            <v>-</v>
          </cell>
          <cell r="E332" t="str">
            <v>-</v>
          </cell>
          <cell r="F332" t="str">
            <v>-</v>
          </cell>
          <cell r="G332" t="str">
            <v>-</v>
          </cell>
          <cell r="H332" t="str">
            <v>-</v>
          </cell>
        </row>
        <row r="333">
          <cell r="B333" t="str">
            <v>GROSS REVENUE</v>
          </cell>
          <cell r="C333">
            <v>2859.134</v>
          </cell>
          <cell r="D333">
            <v>3007.28</v>
          </cell>
          <cell r="E333">
            <v>4553.5459999999994</v>
          </cell>
          <cell r="F333">
            <v>5999.5689999999995</v>
          </cell>
          <cell r="G333">
            <v>6096.2891999999993</v>
          </cell>
          <cell r="H333">
            <v>7364.3310000000001</v>
          </cell>
        </row>
        <row r="335">
          <cell r="B335" t="str">
            <v>GROWTH IN QUANTITY</v>
          </cell>
        </row>
        <row r="336">
          <cell r="B336" t="str">
            <v>GROWTH   IN  %</v>
          </cell>
          <cell r="C336" t="e">
            <v>#REF!</v>
          </cell>
          <cell r="D336">
            <v>5.1814990133376114E-2</v>
          </cell>
          <cell r="E336">
            <v>0.51417427043707242</v>
          </cell>
          <cell r="F336">
            <v>0.31755976551022003</v>
          </cell>
          <cell r="G336">
            <v>1.6121191372246865E-2</v>
          </cell>
          <cell r="H336">
            <v>0.20800223847648189</v>
          </cell>
        </row>
        <row r="338">
          <cell r="B338" t="str">
            <v>PROFIT BEFORE TAX</v>
          </cell>
          <cell r="C338">
            <v>166.72185000000036</v>
          </cell>
          <cell r="D338">
            <v>139.34701999999925</v>
          </cell>
          <cell r="E338">
            <v>137.96900000000005</v>
          </cell>
          <cell r="F338">
            <v>254.10699999999997</v>
          </cell>
          <cell r="G338">
            <v>227.67820000000029</v>
          </cell>
          <cell r="H338">
            <v>369.27400000000034</v>
          </cell>
        </row>
        <row r="340">
          <cell r="B340" t="str">
            <v>GROWTH   IN  %</v>
          </cell>
          <cell r="D340">
            <v>-0.16419461516292588</v>
          </cell>
          <cell r="E340">
            <v>-9.889124288407488E-3</v>
          </cell>
          <cell r="F340">
            <v>0.84176880313693569</v>
          </cell>
          <cell r="G340">
            <v>-0.10400657990531424</v>
          </cell>
          <cell r="H340">
            <v>0.62191197927601272</v>
          </cell>
        </row>
        <row r="342">
          <cell r="B342" t="str">
            <v>PROFIT AFTER TAX</v>
          </cell>
          <cell r="C342">
            <v>166.72185000000036</v>
          </cell>
          <cell r="D342">
            <v>139.34701999999925</v>
          </cell>
          <cell r="E342">
            <v>137.46600000000007</v>
          </cell>
          <cell r="F342">
            <v>7.0769999999999698</v>
          </cell>
          <cell r="G342">
            <v>210.42820000000029</v>
          </cell>
          <cell r="H342">
            <v>340.27400000000034</v>
          </cell>
        </row>
        <row r="344">
          <cell r="B344" t="str">
            <v>DIVIDEND (%)</v>
          </cell>
          <cell r="C344">
            <v>0.14617924623081921</v>
          </cell>
          <cell r="D344">
            <v>0.13650183343445801</v>
          </cell>
          <cell r="E344">
            <v>5.1295629457035939E-2</v>
          </cell>
          <cell r="F344">
            <v>0</v>
          </cell>
          <cell r="G344">
            <v>1.2938197356967636E-2</v>
          </cell>
          <cell r="H344">
            <v>0</v>
          </cell>
        </row>
        <row r="346">
          <cell r="B346" t="str">
            <v>SHARE CAPITAL</v>
          </cell>
          <cell r="C346">
            <v>298.60599999999999</v>
          </cell>
          <cell r="D346">
            <v>303.25600000000003</v>
          </cell>
          <cell r="E346">
            <v>283.26</v>
          </cell>
          <cell r="F346">
            <v>268.536</v>
          </cell>
          <cell r="G346">
            <v>252.73999999999998</v>
          </cell>
          <cell r="H346">
            <v>279.74</v>
          </cell>
        </row>
        <row r="348">
          <cell r="B348" t="str">
            <v>RESERVES</v>
          </cell>
          <cell r="C348">
            <v>240.446</v>
          </cell>
          <cell r="D348">
            <v>445.875</v>
          </cell>
          <cell r="E348">
            <v>532.72</v>
          </cell>
          <cell r="F348">
            <v>447.12</v>
          </cell>
          <cell r="G348">
            <v>591.08699999999999</v>
          </cell>
          <cell r="H348">
            <v>1314.356</v>
          </cell>
        </row>
        <row r="350">
          <cell r="B350" t="str">
            <v>BORROWINGS</v>
          </cell>
          <cell r="C350">
            <v>697.56999999999994</v>
          </cell>
          <cell r="D350">
            <v>822.31799999999998</v>
          </cell>
          <cell r="E350">
            <v>1200.72</v>
          </cell>
          <cell r="F350">
            <v>840.28</v>
          </cell>
          <cell r="G350">
            <v>778.40700000000004</v>
          </cell>
          <cell r="H350">
            <v>1217.059</v>
          </cell>
        </row>
        <row r="352">
          <cell r="B352" t="str">
            <v>CAPITAL EMPLOYED</v>
          </cell>
          <cell r="C352">
            <v>1325.989</v>
          </cell>
          <cell r="D352">
            <v>1951.5390000000002</v>
          </cell>
          <cell r="E352">
            <v>2252.94</v>
          </cell>
          <cell r="F352">
            <v>1595.4609999999998</v>
          </cell>
          <cell r="G352">
            <v>1730.8739999999998</v>
          </cell>
          <cell r="H352">
            <v>2913.1400000000003</v>
          </cell>
        </row>
        <row r="354">
          <cell r="B354" t="str">
            <v>NET WORTH</v>
          </cell>
          <cell r="C354">
            <v>535.05200000000002</v>
          </cell>
          <cell r="D354">
            <v>745.69100000000003</v>
          </cell>
          <cell r="E354">
            <v>813.10400000000004</v>
          </cell>
          <cell r="F354">
            <v>713.33999999999992</v>
          </cell>
          <cell r="G354">
            <v>842.072</v>
          </cell>
          <cell r="H354">
            <v>1592.3409999999999</v>
          </cell>
        </row>
        <row r="356">
          <cell r="B356" t="str">
            <v>GROSS BLOCK</v>
          </cell>
          <cell r="C356">
            <v>1006.83</v>
          </cell>
          <cell r="D356">
            <v>1474.41</v>
          </cell>
          <cell r="E356">
            <v>1648.41</v>
          </cell>
          <cell r="F356">
            <v>1687.9490000000001</v>
          </cell>
          <cell r="G356">
            <v>2004.2759999999998</v>
          </cell>
          <cell r="H356">
            <v>2627.8779999999997</v>
          </cell>
        </row>
        <row r="358">
          <cell r="B358" t="str">
            <v>NET BLOCK</v>
          </cell>
          <cell r="C358">
            <v>875.88000000000011</v>
          </cell>
          <cell r="D358">
            <v>1289.27</v>
          </cell>
          <cell r="E358">
            <v>1391.48</v>
          </cell>
          <cell r="F358">
            <v>1037.0590000000002</v>
          </cell>
          <cell r="G358">
            <v>1136.5559999999998</v>
          </cell>
          <cell r="H358">
            <v>1625.1539999999998</v>
          </cell>
        </row>
        <row r="359">
          <cell r="B359">
            <v>0</v>
          </cell>
        </row>
        <row r="360">
          <cell r="B360" t="str">
            <v>DEBT-EQUITY RATIO</v>
          </cell>
          <cell r="C360">
            <v>0.81012686617375484</v>
          </cell>
          <cell r="D360">
            <v>0.71058655663002523</v>
          </cell>
          <cell r="E360">
            <v>0.95699935063657282</v>
          </cell>
          <cell r="F360">
            <v>0.95014999859814397</v>
          </cell>
          <cell r="G360">
            <v>0.79835215991031638</v>
          </cell>
          <cell r="H360">
            <v>0.64047336594360127</v>
          </cell>
        </row>
        <row r="362">
          <cell r="B362" t="str">
            <v>NUMBER OF SHARES</v>
          </cell>
          <cell r="C362">
            <v>2617760</v>
          </cell>
          <cell r="D362">
            <v>2617760</v>
          </cell>
          <cell r="E362">
            <v>2617799.9999999995</v>
          </cell>
          <cell r="F362">
            <v>2495560</v>
          </cell>
          <cell r="G362">
            <v>2459839.9999999995</v>
          </cell>
          <cell r="H362">
            <v>2459840</v>
          </cell>
        </row>
        <row r="364">
          <cell r="B364" t="str">
            <v>BOOK VALUE PER SHARE AT YEAR END</v>
          </cell>
          <cell r="C364">
            <v>20.439306888332009</v>
          </cell>
          <cell r="D364">
            <v>28.485842858016017</v>
          </cell>
          <cell r="E364">
            <v>31.060585224234096</v>
          </cell>
          <cell r="F364">
            <v>28.584365833720682</v>
          </cell>
          <cell r="G364">
            <v>34.232795628984</v>
          </cell>
          <cell r="H364">
            <v>64.733519253284754</v>
          </cell>
        </row>
        <row r="366">
          <cell r="B366" t="str">
            <v>EARNINGS PER SHARE</v>
          </cell>
          <cell r="C366">
            <v>6.3688745339527069</v>
          </cell>
          <cell r="D366">
            <v>5.3231396308293828</v>
          </cell>
          <cell r="E366">
            <v>5.2512033004813237</v>
          </cell>
          <cell r="F366">
            <v>0.28358364455272439</v>
          </cell>
          <cell r="G366">
            <v>8.554548263301692</v>
          </cell>
          <cell r="H366">
            <v>13.833176141537674</v>
          </cell>
        </row>
        <row r="368">
          <cell r="B368" t="str">
            <v>NET SALES PER SHARE</v>
          </cell>
          <cell r="C368">
            <v>108.86009412627591</v>
          </cell>
          <cell r="D368">
            <v>0</v>
          </cell>
          <cell r="E368">
            <v>113.65306746122701</v>
          </cell>
          <cell r="F368">
            <v>0</v>
          </cell>
          <cell r="G368">
            <v>182.83018407701317</v>
          </cell>
          <cell r="H368">
            <v>0</v>
          </cell>
        </row>
        <row r="370">
          <cell r="B370" t="str">
            <v>DIVIDEND PER SHARE</v>
          </cell>
          <cell r="C370">
            <v>1.6674561457123649</v>
          </cell>
          <cell r="D370">
            <v>5.2144517998005168E-3</v>
          </cell>
          <cell r="E370">
            <v>1.5812896325158534</v>
          </cell>
          <cell r="F370">
            <v>2.0554757031301966E-3</v>
          </cell>
          <cell r="G370">
            <v>0.59068882528944988</v>
          </cell>
          <cell r="H370">
            <v>0</v>
          </cell>
        </row>
        <row r="372">
          <cell r="B372" t="str">
            <v>PAY-OUT RATIO</v>
          </cell>
          <cell r="C372">
            <v>0.26181331361186255</v>
          </cell>
          <cell r="D372">
            <v>0.29706412092630491</v>
          </cell>
          <cell r="E372">
            <v>0.10569886371902865</v>
          </cell>
          <cell r="F372">
            <v>0</v>
          </cell>
          <cell r="G372">
            <v>1.5539742296897448E-2</v>
          </cell>
          <cell r="H372">
            <v>0</v>
          </cell>
        </row>
        <row r="374">
          <cell r="B374" t="str">
            <v>CURRENT RATIO</v>
          </cell>
          <cell r="C374">
            <v>1.4091554260469052</v>
          </cell>
          <cell r="D374">
            <v>1.5945967646711539</v>
          </cell>
          <cell r="E374">
            <v>1.6878864054502067</v>
          </cell>
          <cell r="F374">
            <v>2.2985801602065221</v>
          </cell>
          <cell r="G374">
            <v>2.611065033546113</v>
          </cell>
          <cell r="H374">
            <v>3.0768747970323003</v>
          </cell>
        </row>
        <row r="376">
          <cell r="B376" t="str">
            <v>LIQUID RATIO</v>
          </cell>
          <cell r="C376">
            <v>1.0806003352602969</v>
          </cell>
          <cell r="D376">
            <v>1.28975085606329</v>
          </cell>
          <cell r="E376">
            <v>1.4041550540102374</v>
          </cell>
          <cell r="F376">
            <v>1.432781595231768</v>
          </cell>
          <cell r="G376">
            <v>1.5919333817147765</v>
          </cell>
          <cell r="H376">
            <v>1.810209587569634</v>
          </cell>
        </row>
        <row r="377">
          <cell r="B377" t="str">
            <v>EVA (ECONOMIC VALUE ADDITION)</v>
          </cell>
          <cell r="C377" t="e">
            <v>#REF!</v>
          </cell>
          <cell r="D377" t="e">
            <v>#REF!</v>
          </cell>
          <cell r="E377" t="e">
            <v>#REF!</v>
          </cell>
          <cell r="F377" t="e">
            <v>#REF!</v>
          </cell>
          <cell r="G377" t="e">
            <v>#REF!</v>
          </cell>
          <cell r="H377" t="e">
            <v>#REF!</v>
          </cell>
        </row>
        <row r="379">
          <cell r="B379" t="str">
            <v>EVA (% OF CAPITAL EMPLOYED)</v>
          </cell>
          <cell r="C379" t="e">
            <v>#REF!</v>
          </cell>
          <cell r="D379" t="e">
            <v>#REF!</v>
          </cell>
          <cell r="E379" t="e">
            <v>#REF!</v>
          </cell>
          <cell r="F379" t="e">
            <v>#REF!</v>
          </cell>
          <cell r="G379" t="e">
            <v>#REF!</v>
          </cell>
          <cell r="H379" t="e">
            <v>#REF!</v>
          </cell>
        </row>
        <row r="381">
          <cell r="B381" t="str">
            <v>RETURN ON NET WORTH</v>
          </cell>
          <cell r="C381">
            <v>0.31159933987724625</v>
          </cell>
          <cell r="D381">
            <v>0.18686965512524523</v>
          </cell>
          <cell r="E381">
            <v>0.16906324406226025</v>
          </cell>
          <cell r="F381">
            <v>9.9209353183614696E-3</v>
          </cell>
          <cell r="G381">
            <v>0.24989335828765272</v>
          </cell>
          <cell r="H381">
            <v>0.21369417731503515</v>
          </cell>
        </row>
        <row r="383">
          <cell r="B383" t="str">
            <v>FIXED ASSETS  PER SHARE</v>
          </cell>
          <cell r="C383">
            <v>33.459140639325227</v>
          </cell>
          <cell r="D383">
            <v>49.250886253896461</v>
          </cell>
          <cell r="E383">
            <v>53.154557261822916</v>
          </cell>
          <cell r="F383">
            <v>41.556163746814349</v>
          </cell>
          <cell r="G383">
            <v>46.204468583322495</v>
          </cell>
          <cell r="H383">
            <v>66.067467802783909</v>
          </cell>
        </row>
        <row r="386">
          <cell r="B386" t="str">
            <v>=</v>
          </cell>
          <cell r="C386" t="str">
            <v>=</v>
          </cell>
          <cell r="D386" t="str">
            <v>=</v>
          </cell>
          <cell r="E386" t="str">
            <v>=</v>
          </cell>
          <cell r="F386" t="str">
            <v>=</v>
          </cell>
          <cell r="G386" t="str">
            <v>=</v>
          </cell>
          <cell r="H386" t="str">
            <v>=</v>
          </cell>
        </row>
      </sheetData>
      <sheetData sheetId="4" refreshError="1"/>
      <sheetData sheetId="5" refreshError="1"/>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590"/>
      <sheetName val="DEP. CO.ACT 590"/>
      <sheetName val="current ac 590"/>
      <sheetName val="JOB WORK"/>
      <sheetName val="BS_5901"/>
      <sheetName val="DEP__CO_ACT_5901"/>
      <sheetName val="current_ac_5901"/>
      <sheetName val="JOB_WORK1"/>
      <sheetName val="BS_590"/>
      <sheetName val="DEP__CO_ACT_590"/>
      <sheetName val="current_ac_590"/>
      <sheetName val="JOB_WORK"/>
      <sheetName val="BS_5902"/>
      <sheetName val="DEP__CO_ACT_5902"/>
      <sheetName val="current_ac_5902"/>
      <sheetName val="JOB_WORK2"/>
    </sheetNames>
    <sheetDataSet>
      <sheetData sheetId="0" refreshError="1">
        <row r="3">
          <cell r="B3" t="str">
            <v xml:space="preserve">M/S HOTEL ROYAL </v>
          </cell>
        </row>
        <row r="5">
          <cell r="B5" t="str">
            <v xml:space="preserve"> BALANCE SHEET AS ON 30TH SEPTEMBER, 2000</v>
          </cell>
        </row>
        <row r="7">
          <cell r="G7" t="str">
            <v xml:space="preserve">CURRENT </v>
          </cell>
          <cell r="H7" t="str">
            <v>PREVIOUS</v>
          </cell>
        </row>
        <row r="8">
          <cell r="C8" t="str">
            <v>PARTICULARS</v>
          </cell>
          <cell r="F8" t="str">
            <v>SCH</v>
          </cell>
          <cell r="G8" t="str">
            <v>PERIOD</v>
          </cell>
          <cell r="H8" t="str">
            <v>YEAR</v>
          </cell>
        </row>
        <row r="9">
          <cell r="G9" t="str">
            <v>Rupees</v>
          </cell>
          <cell r="H9" t="str">
            <v>Rupees</v>
          </cell>
        </row>
        <row r="11">
          <cell r="B11" t="str">
            <v>I.</v>
          </cell>
          <cell r="C11" t="str">
            <v>SOURCES  OF FUNDS</v>
          </cell>
        </row>
        <row r="13">
          <cell r="C13" t="str">
            <v>Partners Capital</v>
          </cell>
          <cell r="F13" t="str">
            <v>A</v>
          </cell>
          <cell r="G13">
            <v>1000000</v>
          </cell>
          <cell r="H13">
            <v>1000000</v>
          </cell>
        </row>
        <row r="14">
          <cell r="C14" t="str">
            <v>Partners Current Account</v>
          </cell>
          <cell r="F14" t="str">
            <v>B</v>
          </cell>
          <cell r="G14">
            <v>8754452.4597460609</v>
          </cell>
          <cell r="H14">
            <v>8226798.5200000005</v>
          </cell>
        </row>
        <row r="16">
          <cell r="C16" t="str">
            <v>LOAN FUNDS</v>
          </cell>
        </row>
        <row r="17">
          <cell r="C17" t="str">
            <v>Secured Loans</v>
          </cell>
          <cell r="F17" t="str">
            <v>C</v>
          </cell>
          <cell r="G17">
            <v>697051.58000000007</v>
          </cell>
          <cell r="H17">
            <v>302260.44</v>
          </cell>
        </row>
        <row r="18">
          <cell r="C18" t="str">
            <v>Unsecured Loans</v>
          </cell>
          <cell r="F18" t="str">
            <v>D</v>
          </cell>
          <cell r="G18">
            <v>2083568</v>
          </cell>
          <cell r="H18">
            <v>697396.4</v>
          </cell>
        </row>
        <row r="20">
          <cell r="G20">
            <v>12535072.039746061</v>
          </cell>
          <cell r="H20">
            <v>10226455.359999999</v>
          </cell>
        </row>
        <row r="22">
          <cell r="B22" t="str">
            <v>II.</v>
          </cell>
          <cell r="C22" t="str">
            <v>APPLICATION OF FUNDS</v>
          </cell>
        </row>
        <row r="23">
          <cell r="C23" t="str">
            <v>FIXED ASSETS</v>
          </cell>
          <cell r="F23" t="str">
            <v>E</v>
          </cell>
        </row>
        <row r="25">
          <cell r="C25" t="str">
            <v>Gross Block</v>
          </cell>
          <cell r="G25">
            <v>5196699.32</v>
          </cell>
          <cell r="H25">
            <v>4835159.32</v>
          </cell>
        </row>
        <row r="26">
          <cell r="C26" t="str">
            <v>Less: Depreciation</v>
          </cell>
          <cell r="G26">
            <v>172357.19210684934</v>
          </cell>
          <cell r="H26">
            <v>348543</v>
          </cell>
        </row>
        <row r="27">
          <cell r="C27" t="str">
            <v>Net Block</v>
          </cell>
          <cell r="G27">
            <v>5024342.1278931508</v>
          </cell>
          <cell r="H27">
            <v>4486616.32</v>
          </cell>
        </row>
        <row r="29">
          <cell r="C29" t="str">
            <v>Capital Work in Progress</v>
          </cell>
          <cell r="G29">
            <v>4413049</v>
          </cell>
          <cell r="H29">
            <v>2350796</v>
          </cell>
        </row>
        <row r="31">
          <cell r="C31" t="str">
            <v>CURRENT ASSETS, LOANS &amp;  ADVANCES</v>
          </cell>
        </row>
        <row r="33">
          <cell r="C33" t="str">
            <v>A.CURRENT ASSETS</v>
          </cell>
        </row>
        <row r="34">
          <cell r="C34" t="str">
            <v>Sundry Debtors</v>
          </cell>
          <cell r="D34" t="str">
            <v>`</v>
          </cell>
          <cell r="F34" t="str">
            <v>F</v>
          </cell>
          <cell r="G34">
            <v>1452613.64</v>
          </cell>
          <cell r="H34">
            <v>1183026.58</v>
          </cell>
        </row>
        <row r="35">
          <cell r="C35" t="str">
            <v>Cash &amp; Bank Balances</v>
          </cell>
          <cell r="F35" t="str">
            <v>G</v>
          </cell>
          <cell r="G35">
            <v>40240.699999999997</v>
          </cell>
          <cell r="H35">
            <v>138366.25</v>
          </cell>
        </row>
        <row r="37">
          <cell r="C37" t="str">
            <v xml:space="preserve">B. LOANS AND ADVANCES </v>
          </cell>
        </row>
        <row r="38">
          <cell r="C38" t="str">
            <v>Loans &amp; Advances</v>
          </cell>
          <cell r="F38" t="str">
            <v>H</v>
          </cell>
          <cell r="G38">
            <v>2326597.42</v>
          </cell>
          <cell r="H38">
            <v>2295462.06</v>
          </cell>
        </row>
        <row r="40">
          <cell r="G40">
            <v>3819451.76</v>
          </cell>
          <cell r="H40">
            <v>3616854.89</v>
          </cell>
        </row>
        <row r="41">
          <cell r="C41" t="str">
            <v>LESS:  CURRENT LIABILITIES</v>
          </cell>
        </row>
        <row r="42">
          <cell r="C42" t="str">
            <v>&amp; PROVISIONS</v>
          </cell>
        </row>
        <row r="43">
          <cell r="C43" t="str">
            <v>Current Liabilities</v>
          </cell>
          <cell r="F43" t="str">
            <v>I</v>
          </cell>
          <cell r="G43">
            <v>267337.84999999998</v>
          </cell>
          <cell r="H43">
            <v>192311.85</v>
          </cell>
        </row>
        <row r="44">
          <cell r="C44" t="str">
            <v>Provisions</v>
          </cell>
          <cell r="F44" t="str">
            <v>J</v>
          </cell>
          <cell r="G44">
            <v>474433</v>
          </cell>
          <cell r="H44">
            <v>55500</v>
          </cell>
        </row>
        <row r="45">
          <cell r="G45">
            <v>741770.85</v>
          </cell>
          <cell r="H45">
            <v>247811.85</v>
          </cell>
        </row>
        <row r="46">
          <cell r="C46" t="str">
            <v>NET CURRENT ASSETS</v>
          </cell>
          <cell r="G46">
            <v>3077680.9099999997</v>
          </cell>
          <cell r="H46">
            <v>3369043.04</v>
          </cell>
        </row>
        <row r="48">
          <cell r="C48" t="str">
            <v>MISCELLANEOUS EXPENDITURE</v>
          </cell>
        </row>
        <row r="49">
          <cell r="C49" t="str">
            <v>(to the extent not written off or adjusted)</v>
          </cell>
          <cell r="G49">
            <v>20000</v>
          </cell>
          <cell r="H49">
            <v>20000</v>
          </cell>
        </row>
        <row r="51">
          <cell r="G51">
            <v>12535072.03789315</v>
          </cell>
          <cell r="H51">
            <v>10226455.359999999</v>
          </cell>
        </row>
        <row r="53">
          <cell r="G53">
            <v>-1.852910965681076E-3</v>
          </cell>
          <cell r="H53">
            <v>0</v>
          </cell>
        </row>
        <row r="55">
          <cell r="B55" t="str">
            <v>AS PER OUR REPORT OF EVEN DATE</v>
          </cell>
          <cell r="F55" t="str">
            <v xml:space="preserve">                             FOR M/S HOTEL ROYAL</v>
          </cell>
        </row>
        <row r="56">
          <cell r="B56" t="str">
            <v>FOR AJMERA &amp; ASSOCIATES</v>
          </cell>
        </row>
        <row r="57">
          <cell r="B57" t="str">
            <v>CHARTERED ACCOUNTANTS</v>
          </cell>
        </row>
        <row r="60">
          <cell r="B60" t="str">
            <v>PARTNER</v>
          </cell>
          <cell r="D60">
            <v>0</v>
          </cell>
          <cell r="E60">
            <v>0</v>
          </cell>
          <cell r="F60" t="str">
            <v>DIRECTOR</v>
          </cell>
          <cell r="G60" t="str">
            <v xml:space="preserve">          DIRECTOR</v>
          </cell>
        </row>
        <row r="61">
          <cell r="C61">
            <v>0</v>
          </cell>
        </row>
        <row r="62">
          <cell r="C62">
            <v>0</v>
          </cell>
        </row>
        <row r="63">
          <cell r="B63" t="str">
            <v>PLACE : MUMBAI</v>
          </cell>
        </row>
        <row r="64">
          <cell r="B64" t="str">
            <v>DATE   :    /12/2001</v>
          </cell>
        </row>
        <row r="70">
          <cell r="B70" t="str">
            <v xml:space="preserve">M/S HOTEL ROYAL </v>
          </cell>
        </row>
        <row r="72">
          <cell r="B72" t="str">
            <v xml:space="preserve"> PROFIT AND LOSS ACCOUNT FOR THE YEAR ENDED  30TH SEPTEMBER, 2000</v>
          </cell>
        </row>
        <row r="74">
          <cell r="G74" t="str">
            <v xml:space="preserve">CURRENT </v>
          </cell>
          <cell r="H74" t="str">
            <v>PREVIOUS</v>
          </cell>
        </row>
        <row r="75">
          <cell r="C75" t="str">
            <v>PARTICULARS</v>
          </cell>
          <cell r="F75" t="str">
            <v>SCH</v>
          </cell>
          <cell r="G75" t="str">
            <v>PERIOD</v>
          </cell>
          <cell r="H75" t="str">
            <v>YEAR</v>
          </cell>
        </row>
        <row r="76">
          <cell r="G76" t="str">
            <v>Rupees</v>
          </cell>
          <cell r="H76" t="str">
            <v>Rupees</v>
          </cell>
        </row>
        <row r="77">
          <cell r="B77" t="str">
            <v>I</v>
          </cell>
          <cell r="C77" t="str">
            <v>INCOME</v>
          </cell>
        </row>
        <row r="79">
          <cell r="C79" t="str">
            <v>Income from Operations</v>
          </cell>
          <cell r="G79">
            <v>2820865</v>
          </cell>
          <cell r="H79">
            <v>5322840.5</v>
          </cell>
        </row>
        <row r="80">
          <cell r="C80" t="str">
            <v>Other Income</v>
          </cell>
          <cell r="G80">
            <v>244670.5</v>
          </cell>
          <cell r="H80">
            <v>799811.3</v>
          </cell>
        </row>
        <row r="81">
          <cell r="E81" t="str">
            <v xml:space="preserve">TOTAL </v>
          </cell>
          <cell r="G81">
            <v>3065535.5</v>
          </cell>
          <cell r="H81">
            <v>6122651.7999999998</v>
          </cell>
        </row>
        <row r="83">
          <cell r="B83" t="str">
            <v>II</v>
          </cell>
          <cell r="C83" t="str">
            <v>EXPENDITURE</v>
          </cell>
        </row>
        <row r="85">
          <cell r="C85" t="str">
            <v>Payments to &amp; Provision for Employees</v>
          </cell>
          <cell r="F85" t="str">
            <v>K</v>
          </cell>
          <cell r="G85">
            <v>367058.4</v>
          </cell>
          <cell r="H85">
            <v>965216.54999999993</v>
          </cell>
        </row>
        <row r="86">
          <cell r="C86" t="str">
            <v>Administrative &amp; Other Expenses</v>
          </cell>
          <cell r="F86" t="str">
            <v>L</v>
          </cell>
          <cell r="G86">
            <v>1690735.39</v>
          </cell>
          <cell r="H86">
            <v>2746245.9499999997</v>
          </cell>
        </row>
        <row r="87">
          <cell r="C87" t="str">
            <v>Selling &amp; Distribution Expenses</v>
          </cell>
          <cell r="F87" t="str">
            <v>M</v>
          </cell>
          <cell r="G87">
            <v>107351.8</v>
          </cell>
          <cell r="H87">
            <v>75328</v>
          </cell>
        </row>
        <row r="88">
          <cell r="C88" t="str">
            <v>Financial Expenses</v>
          </cell>
          <cell r="F88" t="str">
            <v>N</v>
          </cell>
          <cell r="G88">
            <v>75061.279999999984</v>
          </cell>
          <cell r="H88">
            <v>199916.39</v>
          </cell>
        </row>
        <row r="89">
          <cell r="C89" t="str">
            <v>Depreciation</v>
          </cell>
          <cell r="F89" t="str">
            <v>E</v>
          </cell>
          <cell r="G89">
            <v>172357.19210684934</v>
          </cell>
          <cell r="H89">
            <v>348543</v>
          </cell>
        </row>
        <row r="91">
          <cell r="E91" t="str">
            <v xml:space="preserve">TOTAL </v>
          </cell>
          <cell r="G91">
            <v>2412564.0621068492</v>
          </cell>
          <cell r="H91">
            <v>4335249.8899999997</v>
          </cell>
        </row>
        <row r="93">
          <cell r="B93">
            <v>0</v>
          </cell>
          <cell r="C93" t="str">
            <v>PROFIT BEFORE INTEREST AND REMUNERATION</v>
          </cell>
          <cell r="G93">
            <v>652971.43789315084</v>
          </cell>
          <cell r="H93">
            <v>1787401.9100000001</v>
          </cell>
        </row>
        <row r="94">
          <cell r="C94" t="str">
            <v>Interest on Capital &amp; Current Account</v>
          </cell>
          <cell r="G94">
            <v>593430.77</v>
          </cell>
          <cell r="H94">
            <v>976718</v>
          </cell>
        </row>
        <row r="95">
          <cell r="C95" t="str">
            <v>Remuneration to Partners</v>
          </cell>
          <cell r="G95">
            <v>50000</v>
          </cell>
          <cell r="H95">
            <v>376772</v>
          </cell>
        </row>
        <row r="97">
          <cell r="B97" t="str">
            <v>IV</v>
          </cell>
          <cell r="C97" t="str">
            <v>PROFIT AFTER TAX</v>
          </cell>
          <cell r="G97">
            <v>9540.6678931508213</v>
          </cell>
          <cell r="H97">
            <v>433911.91000000015</v>
          </cell>
        </row>
        <row r="99">
          <cell r="C99" t="str">
            <v>Add: Balance Brought Forward</v>
          </cell>
          <cell r="G99">
            <v>0</v>
          </cell>
          <cell r="H99">
            <v>0</v>
          </cell>
        </row>
        <row r="101">
          <cell r="C101" t="str">
            <v>Balance carried to Balance sheet</v>
          </cell>
          <cell r="G101">
            <v>9540.6678931508213</v>
          </cell>
          <cell r="H101">
            <v>433911.91000000015</v>
          </cell>
        </row>
        <row r="103">
          <cell r="C103" t="str">
            <v>NOTES FORMING PART OF ACCOUNTS</v>
          </cell>
          <cell r="F103" t="str">
            <v>O</v>
          </cell>
        </row>
        <row r="106">
          <cell r="B106" t="str">
            <v>AS PER OUR REPORT OF EVEN DATE</v>
          </cell>
          <cell r="F106" t="str">
            <v xml:space="preserve">                             FOR M/S HOTEL ROYAL</v>
          </cell>
        </row>
        <row r="107">
          <cell r="B107" t="str">
            <v>FOR AJMERA &amp; ASSOCIATES</v>
          </cell>
        </row>
        <row r="108">
          <cell r="B108" t="str">
            <v>CHARTERED ACCOUNTANTS</v>
          </cell>
        </row>
        <row r="111">
          <cell r="C111">
            <v>0</v>
          </cell>
          <cell r="F111" t="str">
            <v>DIRECTOR</v>
          </cell>
          <cell r="G111" t="str">
            <v>DIRECTOR</v>
          </cell>
        </row>
        <row r="112">
          <cell r="B112" t="str">
            <v>PARTNER</v>
          </cell>
        </row>
        <row r="113">
          <cell r="C113">
            <v>0</v>
          </cell>
        </row>
        <row r="114">
          <cell r="B114" t="str">
            <v>PLACE : MUMBAI</v>
          </cell>
        </row>
        <row r="115">
          <cell r="B115" t="str">
            <v>DATE   :   /12/2001</v>
          </cell>
        </row>
        <row r="126">
          <cell r="B126" t="str">
            <v xml:space="preserve">M/S HOTEL ROYAL </v>
          </cell>
        </row>
        <row r="128">
          <cell r="B128" t="str">
            <v>SCHEDULES ANNEXED TO AND FORMING PART OF THE BALANCE SHEET AS ON</v>
          </cell>
        </row>
        <row r="129">
          <cell r="B129" t="str">
            <v>30TH SEPTEMBER.,2000 AND PROFIT AND LOSS ACCOUNT FOR THE PERIOD ENDED ON</v>
          </cell>
        </row>
        <row r="130">
          <cell r="B130" t="str">
            <v>THAT DATE.</v>
          </cell>
        </row>
        <row r="132">
          <cell r="G132" t="str">
            <v xml:space="preserve">CURRENT </v>
          </cell>
          <cell r="H132" t="str">
            <v>PREVIOUS</v>
          </cell>
        </row>
        <row r="133">
          <cell r="G133" t="str">
            <v>PERIOD</v>
          </cell>
          <cell r="H133" t="str">
            <v>YEAR</v>
          </cell>
        </row>
        <row r="134">
          <cell r="C134" t="str">
            <v>PARTICULARS</v>
          </cell>
        </row>
        <row r="135">
          <cell r="G135" t="str">
            <v>Rupees</v>
          </cell>
          <cell r="H135" t="str">
            <v>Rupees</v>
          </cell>
        </row>
        <row r="137">
          <cell r="B137" t="str">
            <v>SCHEDULE "A"</v>
          </cell>
        </row>
        <row r="138">
          <cell r="B138" t="str">
            <v xml:space="preserve">PARTNERS CAPITAL </v>
          </cell>
          <cell r="G138">
            <v>1000000</v>
          </cell>
          <cell r="H138">
            <v>1000000</v>
          </cell>
        </row>
        <row r="140">
          <cell r="G140">
            <v>1000000</v>
          </cell>
          <cell r="H140">
            <v>1000000</v>
          </cell>
        </row>
        <row r="142">
          <cell r="B142" t="str">
            <v>SCHEDULE "B"</v>
          </cell>
        </row>
        <row r="143">
          <cell r="B143" t="str">
            <v>RESERVES AND SURPLUS</v>
          </cell>
        </row>
        <row r="144">
          <cell r="B144" t="str">
            <v>Surplus as per Profit &amp; Loss A/c</v>
          </cell>
          <cell r="G144">
            <v>9540.6678931508213</v>
          </cell>
          <cell r="H144">
            <v>433911.91000000015</v>
          </cell>
        </row>
        <row r="146">
          <cell r="G146">
            <v>9540.6678931508213</v>
          </cell>
          <cell r="H146">
            <v>433911.91000000015</v>
          </cell>
        </row>
        <row r="148">
          <cell r="B148" t="str">
            <v>SCHEDULE "C"</v>
          </cell>
        </row>
        <row r="149">
          <cell r="B149" t="str">
            <v>SECURED LOANS</v>
          </cell>
        </row>
        <row r="151">
          <cell r="B151" t="str">
            <v>Car Loan</v>
          </cell>
        </row>
        <row r="152">
          <cell r="B152" t="str">
            <v xml:space="preserve"> - From ANZ Grindlays</v>
          </cell>
          <cell r="G152">
            <v>254277</v>
          </cell>
          <cell r="H152">
            <v>302260.44</v>
          </cell>
        </row>
        <row r="153">
          <cell r="B153" t="str">
            <v xml:space="preserve"> - From SCB Bank</v>
          </cell>
          <cell r="G153">
            <v>442774.58</v>
          </cell>
          <cell r="H153">
            <v>0</v>
          </cell>
        </row>
        <row r="155">
          <cell r="G155">
            <v>697051.58000000007</v>
          </cell>
          <cell r="H155">
            <v>302260.44</v>
          </cell>
        </row>
        <row r="157">
          <cell r="B157" t="str">
            <v>SCHEDULE "D"</v>
          </cell>
        </row>
        <row r="159">
          <cell r="B159" t="str">
            <v>UNSECURED LOANS</v>
          </cell>
        </row>
        <row r="160">
          <cell r="B160" t="str">
            <v>From Others</v>
          </cell>
          <cell r="G160">
            <v>604931</v>
          </cell>
          <cell r="H160">
            <v>697396.4</v>
          </cell>
        </row>
        <row r="161">
          <cell r="B161" t="str">
            <v>From Sabal Holdings Pvt. Ltd.</v>
          </cell>
          <cell r="G161">
            <v>725658</v>
          </cell>
          <cell r="H161">
            <v>0</v>
          </cell>
        </row>
        <row r="162">
          <cell r="B162" t="str">
            <v>From Ratish Holdings Pvt. Ltd.</v>
          </cell>
          <cell r="G162">
            <v>752979</v>
          </cell>
          <cell r="H162">
            <v>0</v>
          </cell>
        </row>
        <row r="164">
          <cell r="G164">
            <v>2083568</v>
          </cell>
          <cell r="H164">
            <v>697396.4</v>
          </cell>
        </row>
        <row r="167">
          <cell r="B167" t="str">
            <v xml:space="preserve">HOTEL ROYAL(DIV.OF BALAN HOTELS PVT.LTD. </v>
          </cell>
        </row>
        <row r="169">
          <cell r="B169" t="str">
            <v>SCHEDULES ANNEXED TO AND FORMING PART OF THE BALANCE SHEET AS ON</v>
          </cell>
        </row>
        <row r="170">
          <cell r="B170" t="str">
            <v>30TH SEPTEMBER,,2000 AND PROFIT AND LOSS ACCOUNT FOR THE PERIOD ENDED ON</v>
          </cell>
        </row>
        <row r="171">
          <cell r="B171" t="str">
            <v>THAT DATE.</v>
          </cell>
        </row>
        <row r="173">
          <cell r="G173" t="str">
            <v>CURRENT</v>
          </cell>
          <cell r="H173" t="str">
            <v>PREVIOUS</v>
          </cell>
        </row>
        <row r="174">
          <cell r="C174" t="str">
            <v>PARTICULARS</v>
          </cell>
          <cell r="G174" t="str">
            <v>PERIOD</v>
          </cell>
          <cell r="H174" t="str">
            <v>YEAR</v>
          </cell>
        </row>
        <row r="175">
          <cell r="G175" t="str">
            <v>Rupees</v>
          </cell>
          <cell r="H175" t="str">
            <v>Rupees</v>
          </cell>
        </row>
        <row r="176">
          <cell r="B176" t="str">
            <v>SCHEDULE "F"</v>
          </cell>
        </row>
        <row r="178">
          <cell r="B178" t="str">
            <v>SUNDRY DEBTORS</v>
          </cell>
          <cell r="G178">
            <v>1452613.64</v>
          </cell>
          <cell r="H178">
            <v>1183026.58</v>
          </cell>
        </row>
        <row r="179">
          <cell r="B179" t="str">
            <v>(unsecured, considered good)</v>
          </cell>
        </row>
        <row r="181">
          <cell r="G181">
            <v>1452613.64</v>
          </cell>
          <cell r="H181">
            <v>1183026.58</v>
          </cell>
        </row>
        <row r="183">
          <cell r="B183" t="str">
            <v>SCHEDULE "G"</v>
          </cell>
        </row>
        <row r="185">
          <cell r="B185" t="str">
            <v>CASH &amp; BANK BALANCES</v>
          </cell>
        </row>
        <row r="186">
          <cell r="B186" t="str">
            <v>Cash in hand</v>
          </cell>
          <cell r="G186">
            <v>10010.39</v>
          </cell>
          <cell r="H186">
            <v>12904.04</v>
          </cell>
        </row>
        <row r="187">
          <cell r="B187" t="str">
            <v>Balance with Scheduled Bank in</v>
          </cell>
        </row>
        <row r="188">
          <cell r="B188" t="str">
            <v xml:space="preserve">Current account </v>
          </cell>
          <cell r="D188" t="str">
            <v>Bharat Co-op Bank</v>
          </cell>
          <cell r="G188">
            <v>501</v>
          </cell>
          <cell r="H188">
            <v>501</v>
          </cell>
        </row>
        <row r="189">
          <cell r="D189" t="str">
            <v>Nedungadi Bank</v>
          </cell>
          <cell r="G189">
            <v>4873.76</v>
          </cell>
          <cell r="H189">
            <v>4873.76</v>
          </cell>
        </row>
        <row r="190">
          <cell r="D190" t="str">
            <v>Bank Of Madura</v>
          </cell>
          <cell r="G190">
            <v>24855.55</v>
          </cell>
          <cell r="H190">
            <v>120087.45</v>
          </cell>
        </row>
        <row r="192">
          <cell r="G192">
            <v>40240.699999999997</v>
          </cell>
          <cell r="H192">
            <v>138366.25</v>
          </cell>
        </row>
        <row r="195">
          <cell r="B195" t="str">
            <v xml:space="preserve">HOTEL ROYAL(DIV.OF BALAN HOTELS PVT.LTD. </v>
          </cell>
        </row>
        <row r="197">
          <cell r="B197" t="str">
            <v>SCHEDULES ANNEXED TO AND FORMING PART OF THE BALANCE SHEET AS ON</v>
          </cell>
        </row>
        <row r="198">
          <cell r="B198" t="str">
            <v>30TH SEPTEMBER,2000 AND PROFIT AND LOSS ACCOUNT FOR THE PERIOD ENDED ON</v>
          </cell>
        </row>
        <row r="199">
          <cell r="B199" t="str">
            <v>THAT DATE.</v>
          </cell>
        </row>
        <row r="201">
          <cell r="G201" t="str">
            <v>CURRENT</v>
          </cell>
          <cell r="H201" t="str">
            <v>PREVIOUS</v>
          </cell>
        </row>
        <row r="202">
          <cell r="C202" t="str">
            <v>PARTICULARS</v>
          </cell>
          <cell r="G202" t="str">
            <v>PERIOD</v>
          </cell>
          <cell r="H202" t="str">
            <v>YEAR</v>
          </cell>
        </row>
        <row r="203">
          <cell r="G203" t="str">
            <v>Rupees</v>
          </cell>
          <cell r="H203" t="str">
            <v>Rupees</v>
          </cell>
        </row>
        <row r="204">
          <cell r="B204" t="str">
            <v>SCHEDULE "H"</v>
          </cell>
        </row>
        <row r="206">
          <cell r="B206" t="str">
            <v>LOANS &amp; ADVANCES</v>
          </cell>
        </row>
        <row r="207">
          <cell r="B207" t="str">
            <v>(Unsecured, Considered Good, unless otherwise stated)</v>
          </cell>
        </row>
        <row r="208">
          <cell r="B208" t="str">
            <v>Advance recoverable in cash or in kind</v>
          </cell>
          <cell r="G208">
            <v>2043371.42</v>
          </cell>
          <cell r="H208">
            <v>1812179.42</v>
          </cell>
        </row>
        <row r="209">
          <cell r="B209" t="str">
            <v>Security Deposits</v>
          </cell>
          <cell r="G209">
            <v>68520</v>
          </cell>
          <cell r="H209">
            <v>246732.64</v>
          </cell>
        </row>
        <row r="210">
          <cell r="B210" t="str">
            <v>Prepaid Expenses</v>
          </cell>
          <cell r="G210">
            <v>71297</v>
          </cell>
          <cell r="H210">
            <v>0</v>
          </cell>
        </row>
        <row r="211">
          <cell r="B211" t="str">
            <v>Provision Of Income</v>
          </cell>
          <cell r="G211">
            <v>3333</v>
          </cell>
          <cell r="H211">
            <v>0</v>
          </cell>
        </row>
        <row r="212">
          <cell r="B212" t="str">
            <v>Advance Tax and T D S</v>
          </cell>
          <cell r="G212">
            <v>126576</v>
          </cell>
          <cell r="H212">
            <v>236550</v>
          </cell>
        </row>
        <row r="213">
          <cell r="B213" t="str">
            <v>Staff Loan</v>
          </cell>
          <cell r="G213">
            <v>13500</v>
          </cell>
          <cell r="H213">
            <v>0</v>
          </cell>
        </row>
        <row r="215">
          <cell r="G215">
            <v>2326597.42</v>
          </cell>
          <cell r="H215">
            <v>2295462.06</v>
          </cell>
        </row>
        <row r="217">
          <cell r="B217" t="str">
            <v>SCHEDULE "I"</v>
          </cell>
        </row>
        <row r="219">
          <cell r="B219" t="str">
            <v>CURRENT LIABILITIES</v>
          </cell>
        </row>
        <row r="220">
          <cell r="B220" t="str">
            <v>Creditors for Capital Items</v>
          </cell>
          <cell r="G220">
            <v>147365</v>
          </cell>
          <cell r="H220">
            <v>103079</v>
          </cell>
        </row>
        <row r="221">
          <cell r="B221" t="str">
            <v>Creditors for expenses.</v>
          </cell>
          <cell r="G221">
            <v>119972.85</v>
          </cell>
          <cell r="H221">
            <v>89232.85</v>
          </cell>
        </row>
        <row r="223">
          <cell r="G223">
            <v>267337.84999999998</v>
          </cell>
          <cell r="H223">
            <v>192311.85</v>
          </cell>
        </row>
        <row r="225">
          <cell r="B225" t="str">
            <v>SCHEDULE "J"</v>
          </cell>
        </row>
        <row r="227">
          <cell r="B227" t="str">
            <v>PROVISIONS</v>
          </cell>
        </row>
        <row r="228">
          <cell r="B228" t="str">
            <v>Provision for Expenses</v>
          </cell>
          <cell r="G228">
            <v>474433</v>
          </cell>
          <cell r="H228">
            <v>55500</v>
          </cell>
        </row>
        <row r="230">
          <cell r="G230">
            <v>474433</v>
          </cell>
          <cell r="H230">
            <v>55500</v>
          </cell>
        </row>
        <row r="234">
          <cell r="B234" t="str">
            <v xml:space="preserve">HOTEL ROYAL(DIV.OF BALAN HOTELS PVT.LTD. </v>
          </cell>
        </row>
        <row r="236">
          <cell r="B236" t="str">
            <v>SCHEDULES ANNEXED TO AND FORMING PART OF THE BALANCE SHEET AS ON</v>
          </cell>
        </row>
        <row r="237">
          <cell r="B237" t="str">
            <v>30TH SEPTEMBER,2000 AND PROFIT AND LOSS ACCOUNT FOR THE PERIOD ENDED ON</v>
          </cell>
        </row>
        <row r="238">
          <cell r="B238" t="str">
            <v>THAT DATE.</v>
          </cell>
        </row>
        <row r="240">
          <cell r="G240" t="str">
            <v>CURRENT</v>
          </cell>
          <cell r="H240" t="str">
            <v>PREVIOUS</v>
          </cell>
        </row>
        <row r="241">
          <cell r="C241" t="str">
            <v>PARTICULARS</v>
          </cell>
          <cell r="G241" t="str">
            <v>PERIOD</v>
          </cell>
          <cell r="H241" t="str">
            <v>YEAR</v>
          </cell>
        </row>
        <row r="242">
          <cell r="G242" t="str">
            <v>Rupees</v>
          </cell>
          <cell r="H242" t="str">
            <v>Rupees</v>
          </cell>
        </row>
        <row r="244">
          <cell r="B244" t="str">
            <v>SCHEDULE "K"</v>
          </cell>
        </row>
        <row r="246">
          <cell r="B246" t="str">
            <v>PAYMENTS TO &amp; PROVISIONS FOR EMPLOYEES</v>
          </cell>
        </row>
        <row r="247">
          <cell r="B247" t="str">
            <v>Salary, Wages &amp; Bonus</v>
          </cell>
          <cell r="G247">
            <v>208290</v>
          </cell>
          <cell r="H247">
            <v>558181.6</v>
          </cell>
        </row>
        <row r="248">
          <cell r="B248" t="str">
            <v>Contribution to ESIC Fund</v>
          </cell>
          <cell r="G248">
            <v>9544.4</v>
          </cell>
          <cell r="H248">
            <v>32209.75</v>
          </cell>
        </row>
        <row r="249">
          <cell r="B249" t="str">
            <v>Contribution to P.F</v>
          </cell>
          <cell r="G249">
            <v>33858</v>
          </cell>
          <cell r="H249">
            <v>130786</v>
          </cell>
        </row>
        <row r="250">
          <cell r="B250" t="str">
            <v>Staff Meals</v>
          </cell>
          <cell r="G250">
            <v>79434</v>
          </cell>
          <cell r="H250">
            <v>187399</v>
          </cell>
        </row>
        <row r="251">
          <cell r="B251" t="str">
            <v>Leave Salary &amp; Gratuity</v>
          </cell>
          <cell r="G251">
            <v>22467</v>
          </cell>
          <cell r="H251">
            <v>42870</v>
          </cell>
        </row>
        <row r="252">
          <cell r="B252" t="str">
            <v>Cash Handling expenses</v>
          </cell>
          <cell r="G252">
            <v>10113</v>
          </cell>
          <cell r="H252">
            <v>12000</v>
          </cell>
        </row>
        <row r="253">
          <cell r="B253" t="str">
            <v>Life Insurance of Employees</v>
          </cell>
          <cell r="G253">
            <v>3222</v>
          </cell>
          <cell r="H253">
            <v>0</v>
          </cell>
        </row>
        <row r="254">
          <cell r="B254" t="str">
            <v>Profession Tax</v>
          </cell>
          <cell r="G254">
            <v>130</v>
          </cell>
          <cell r="H254">
            <v>1770.2</v>
          </cell>
        </row>
        <row r="256">
          <cell r="G256">
            <v>367058.4</v>
          </cell>
          <cell r="H256">
            <v>965216.54999999993</v>
          </cell>
        </row>
        <row r="258">
          <cell r="B258" t="str">
            <v>SCHEDULE "L"</v>
          </cell>
        </row>
        <row r="260">
          <cell r="B260" t="str">
            <v>ADMINISTRATIVE &amp; OTHER EXPENSES</v>
          </cell>
        </row>
        <row r="261">
          <cell r="B261" t="str">
            <v>Rent, Rates &amp; Taxes</v>
          </cell>
          <cell r="G261">
            <v>188235.64</v>
          </cell>
          <cell r="H261">
            <v>275279</v>
          </cell>
        </row>
        <row r="262">
          <cell r="B262" t="str">
            <v>Traveling &amp; Conveyance</v>
          </cell>
          <cell r="G262">
            <v>22517.5</v>
          </cell>
          <cell r="H262">
            <v>62786</v>
          </cell>
        </row>
        <row r="263">
          <cell r="B263" t="str">
            <v>Insurance</v>
          </cell>
          <cell r="G263">
            <v>6893</v>
          </cell>
          <cell r="H263">
            <v>103590</v>
          </cell>
        </row>
        <row r="264">
          <cell r="B264" t="str">
            <v>Postage, Telephone &amp; Telegrams</v>
          </cell>
          <cell r="G264">
            <v>111111.5</v>
          </cell>
          <cell r="H264">
            <v>78786</v>
          </cell>
        </row>
        <row r="265">
          <cell r="B265" t="str">
            <v>Printing &amp; Stationary</v>
          </cell>
          <cell r="G265">
            <v>42246.25</v>
          </cell>
          <cell r="H265">
            <v>56772.2</v>
          </cell>
        </row>
        <row r="266">
          <cell r="B266" t="str">
            <v>Newspaper and Periodicals</v>
          </cell>
          <cell r="G266">
            <v>25738.6</v>
          </cell>
          <cell r="H266">
            <v>46299.35</v>
          </cell>
        </row>
        <row r="267">
          <cell r="B267" t="str">
            <v>Electricity Charges</v>
          </cell>
          <cell r="G267">
            <v>706281</v>
          </cell>
          <cell r="H267">
            <v>932861</v>
          </cell>
        </row>
        <row r="268">
          <cell r="B268" t="str">
            <v>Laundry Charges</v>
          </cell>
          <cell r="G268">
            <v>56167</v>
          </cell>
          <cell r="H268">
            <v>114778</v>
          </cell>
        </row>
        <row r="269">
          <cell r="B269" t="str">
            <v>Vehicle Expenses</v>
          </cell>
          <cell r="G269">
            <v>87097</v>
          </cell>
          <cell r="H269">
            <v>142165</v>
          </cell>
        </row>
        <row r="270">
          <cell r="B270" t="str">
            <v>Professional &amp; Consultancy charges</v>
          </cell>
          <cell r="G270">
            <v>3617</v>
          </cell>
          <cell r="H270">
            <v>87200</v>
          </cell>
        </row>
        <row r="271">
          <cell r="B271" t="str">
            <v>Audit fees</v>
          </cell>
          <cell r="G271">
            <v>0</v>
          </cell>
          <cell r="H271">
            <v>10500</v>
          </cell>
        </row>
        <row r="272">
          <cell r="B272" t="str">
            <v>Staff Welfare Expenses</v>
          </cell>
          <cell r="G272">
            <v>38302.65</v>
          </cell>
          <cell r="H272">
            <v>62066.55</v>
          </cell>
        </row>
        <row r="273">
          <cell r="B273" t="str">
            <v>House Keeping Expenses</v>
          </cell>
          <cell r="G273">
            <v>135838.25</v>
          </cell>
          <cell r="H273">
            <v>322056.34999999998</v>
          </cell>
        </row>
        <row r="274">
          <cell r="B274" t="str">
            <v>Repair &amp; Maintainence</v>
          </cell>
          <cell r="G274">
            <v>208964</v>
          </cell>
          <cell r="H274">
            <v>341955</v>
          </cell>
        </row>
        <row r="275">
          <cell r="B275" t="str">
            <v>Mansoon Shed Expenses</v>
          </cell>
          <cell r="G275">
            <v>0</v>
          </cell>
          <cell r="H275">
            <v>66840</v>
          </cell>
        </row>
        <row r="276">
          <cell r="B276" t="str">
            <v>Miscellaneous Expenses</v>
          </cell>
          <cell r="G276">
            <v>29198</v>
          </cell>
          <cell r="H276">
            <v>29447</v>
          </cell>
        </row>
        <row r="277">
          <cell r="B277" t="str">
            <v>Office Expenses</v>
          </cell>
          <cell r="G277">
            <v>28528</v>
          </cell>
          <cell r="H277">
            <v>12864.5</v>
          </cell>
        </row>
        <row r="279">
          <cell r="G279">
            <v>1690735.39</v>
          </cell>
          <cell r="H279">
            <v>2746245.9499999997</v>
          </cell>
        </row>
        <row r="282">
          <cell r="B282" t="str">
            <v xml:space="preserve">HOTEL ROYAL(DIV.OF BALAN HOTELS PVT.LTD. </v>
          </cell>
        </row>
        <row r="284">
          <cell r="B284" t="str">
            <v>SCHEDULES ANNEXED TO AND FORMING PART OF THE BALANCE SHEET AS AT</v>
          </cell>
        </row>
        <row r="285">
          <cell r="B285" t="str">
            <v>30TH SEPTEMBER ,2000 AND PROFIT AND LOSS ACCOUNT FOR THE PERIOD ENDED ON</v>
          </cell>
        </row>
        <row r="286">
          <cell r="B286" t="str">
            <v>THAT DATE.</v>
          </cell>
        </row>
        <row r="288">
          <cell r="G288" t="str">
            <v>CURRENT</v>
          </cell>
          <cell r="H288" t="str">
            <v>PREVIOUS</v>
          </cell>
        </row>
        <row r="289">
          <cell r="C289" t="str">
            <v>PARTICULARS</v>
          </cell>
          <cell r="G289" t="str">
            <v>PERIOD</v>
          </cell>
          <cell r="H289" t="str">
            <v>YEAR</v>
          </cell>
        </row>
        <row r="290">
          <cell r="G290" t="str">
            <v>Rupees</v>
          </cell>
          <cell r="H290" t="str">
            <v>Rupees</v>
          </cell>
        </row>
        <row r="292">
          <cell r="B292" t="str">
            <v>SCHEDULE "M"</v>
          </cell>
        </row>
        <row r="294">
          <cell r="B294" t="str">
            <v>SELLING &amp; DISTRIBUTION EXPENSES</v>
          </cell>
        </row>
        <row r="295">
          <cell r="B295" t="str">
            <v>Business Promotion</v>
          </cell>
          <cell r="G295">
            <v>19049</v>
          </cell>
          <cell r="H295">
            <v>10597</v>
          </cell>
        </row>
        <row r="296">
          <cell r="B296" t="str">
            <v xml:space="preserve">Credit Card Commission </v>
          </cell>
          <cell r="G296">
            <v>22607.8</v>
          </cell>
          <cell r="H296">
            <v>42570</v>
          </cell>
        </row>
        <row r="297">
          <cell r="B297" t="str">
            <v>Cash Discount on Sales</v>
          </cell>
          <cell r="G297">
            <v>63194</v>
          </cell>
          <cell r="H297">
            <v>0</v>
          </cell>
        </row>
        <row r="298">
          <cell r="B298" t="str">
            <v>Advertisement</v>
          </cell>
          <cell r="G298">
            <v>2501</v>
          </cell>
          <cell r="H298">
            <v>22161</v>
          </cell>
        </row>
        <row r="299">
          <cell r="G299">
            <v>107351.8</v>
          </cell>
          <cell r="H299">
            <v>75328</v>
          </cell>
        </row>
        <row r="301">
          <cell r="B301" t="str">
            <v>SCHEDULE "N"</v>
          </cell>
        </row>
        <row r="303">
          <cell r="B303" t="str">
            <v>FINANCIAL EXPENSES</v>
          </cell>
        </row>
        <row r="304">
          <cell r="B304" t="str">
            <v>Interest on Loan</v>
          </cell>
        </row>
        <row r="305">
          <cell r="B305" t="str">
            <v>- From ANZ Grindlays &amp; SCB</v>
          </cell>
          <cell r="G305">
            <v>30391.14</v>
          </cell>
          <cell r="H305">
            <v>74448.39</v>
          </cell>
        </row>
        <row r="307">
          <cell r="B307" t="str">
            <v>Interest on Unsecured Loan</v>
          </cell>
        </row>
        <row r="308">
          <cell r="B308" t="str">
            <v>-From Others</v>
          </cell>
          <cell r="G308">
            <v>43587.6</v>
          </cell>
          <cell r="H308">
            <v>114197</v>
          </cell>
        </row>
        <row r="309">
          <cell r="B309" t="str">
            <v>Bank charges</v>
          </cell>
          <cell r="G309">
            <v>1082.54</v>
          </cell>
          <cell r="H309">
            <v>11271</v>
          </cell>
        </row>
        <row r="311">
          <cell r="G311">
            <v>75061.279999999984</v>
          </cell>
          <cell r="H311">
            <v>199916.39</v>
          </cell>
        </row>
        <row r="315">
          <cell r="B315" t="str">
            <v xml:space="preserve">HOTEL ROYAL(DIV.OF BALAN HOTELS PVT.LTD. </v>
          </cell>
        </row>
        <row r="317">
          <cell r="B317" t="str">
            <v xml:space="preserve">GROUPING FORMING PART OF THE BALANCE SHEET AND </v>
          </cell>
        </row>
        <row r="318">
          <cell r="B318" t="str">
            <v>PROFIT AND LOSS ACCOUNTS FOR THE PERIOD 30.09.2000</v>
          </cell>
        </row>
        <row r="321">
          <cell r="B321" t="str">
            <v>DETAILS OF LOAN</v>
          </cell>
        </row>
        <row r="323">
          <cell r="B323" t="str">
            <v>Balan And Associates</v>
          </cell>
          <cell r="G323">
            <v>160576.9</v>
          </cell>
        </row>
        <row r="324">
          <cell r="B324" t="str">
            <v>Premji Nagda</v>
          </cell>
          <cell r="G324">
            <v>67381.5</v>
          </cell>
        </row>
        <row r="325">
          <cell r="B325" t="str">
            <v>Yogesh Siney</v>
          </cell>
          <cell r="G325">
            <v>231394.6</v>
          </cell>
        </row>
        <row r="326">
          <cell r="B326" t="str">
            <v>Sanjay Agarwal</v>
          </cell>
        </row>
        <row r="327">
          <cell r="B327" t="str">
            <v>Madhuben Chedda</v>
          </cell>
          <cell r="G327">
            <v>145578</v>
          </cell>
        </row>
        <row r="329">
          <cell r="G329">
            <v>604931</v>
          </cell>
        </row>
        <row r="331">
          <cell r="B331" t="str">
            <v>CREDITORS FOR EXPENSES</v>
          </cell>
        </row>
        <row r="333">
          <cell r="B333" t="str">
            <v>VMS Audit fees</v>
          </cell>
          <cell r="G333">
            <v>24250</v>
          </cell>
        </row>
        <row r="334">
          <cell r="B334" t="str">
            <v>TDS</v>
          </cell>
          <cell r="G334">
            <v>81122.850000000006</v>
          </cell>
        </row>
        <row r="335">
          <cell r="B335" t="str">
            <v>VMS Professional Fees</v>
          </cell>
          <cell r="G335">
            <v>14600</v>
          </cell>
        </row>
        <row r="336">
          <cell r="B336" t="str">
            <v>Jaspal Premi - Gratuity</v>
          </cell>
        </row>
        <row r="338">
          <cell r="G338">
            <v>119972.85</v>
          </cell>
        </row>
        <row r="340">
          <cell r="B340" t="str">
            <v>TDS</v>
          </cell>
        </row>
        <row r="341">
          <cell r="B341" t="str">
            <v>TDS on Salary</v>
          </cell>
          <cell r="G341">
            <v>1500</v>
          </cell>
        </row>
        <row r="342">
          <cell r="B342" t="str">
            <v>TDS on Interest</v>
          </cell>
          <cell r="G342">
            <v>65249.85</v>
          </cell>
        </row>
        <row r="343">
          <cell r="B343" t="str">
            <v>TDS on Contractors</v>
          </cell>
          <cell r="G343">
            <v>14373</v>
          </cell>
        </row>
        <row r="345">
          <cell r="G345">
            <v>81122.850000000006</v>
          </cell>
        </row>
        <row r="347">
          <cell r="B347" t="str">
            <v>PROVISION FOR EXPENSES</v>
          </cell>
        </row>
        <row r="348">
          <cell r="B348" t="str">
            <v>Water Tax</v>
          </cell>
          <cell r="G348">
            <v>58953</v>
          </cell>
        </row>
        <row r="349">
          <cell r="B349" t="str">
            <v>Staff Meals</v>
          </cell>
          <cell r="G349">
            <v>4301</v>
          </cell>
        </row>
        <row r="350">
          <cell r="B350" t="str">
            <v>Property Tax</v>
          </cell>
          <cell r="G350">
            <v>31671</v>
          </cell>
        </row>
        <row r="351">
          <cell r="B351" t="str">
            <v>Luxury Tax</v>
          </cell>
          <cell r="G351">
            <v>107037</v>
          </cell>
        </row>
        <row r="352">
          <cell r="B352" t="str">
            <v>Providend Fund</v>
          </cell>
          <cell r="G352">
            <v>3429</v>
          </cell>
        </row>
        <row r="353">
          <cell r="B353" t="str">
            <v>ESIC</v>
          </cell>
          <cell r="G353">
            <v>10643</v>
          </cell>
        </row>
        <row r="354">
          <cell r="B354" t="str">
            <v>Life Insurance</v>
          </cell>
          <cell r="G354">
            <v>5592</v>
          </cell>
        </row>
        <row r="355">
          <cell r="B355" t="str">
            <v>A.C.Maintainence</v>
          </cell>
          <cell r="G355">
            <v>17933</v>
          </cell>
        </row>
        <row r="356">
          <cell r="B356" t="str">
            <v xml:space="preserve">Newspaper </v>
          </cell>
          <cell r="G356">
            <v>2819</v>
          </cell>
        </row>
        <row r="357">
          <cell r="B357" t="str">
            <v>Cable T.V.Charge</v>
          </cell>
          <cell r="G357">
            <v>500</v>
          </cell>
        </row>
        <row r="358">
          <cell r="B358" t="str">
            <v>PF Consultancy</v>
          </cell>
          <cell r="G358">
            <v>117</v>
          </cell>
        </row>
        <row r="359">
          <cell r="B359" t="str">
            <v>Audit Fees</v>
          </cell>
          <cell r="G359">
            <v>16650</v>
          </cell>
        </row>
        <row r="360">
          <cell r="B360" t="str">
            <v>Vehicle Maintainence</v>
          </cell>
          <cell r="G360">
            <v>9688</v>
          </cell>
        </row>
        <row r="361">
          <cell r="B361" t="str">
            <v>Cash Handling Expenses</v>
          </cell>
          <cell r="G361">
            <v>113</v>
          </cell>
        </row>
        <row r="362">
          <cell r="B362" t="str">
            <v>Salaries</v>
          </cell>
          <cell r="G362">
            <v>6146</v>
          </cell>
        </row>
        <row r="363">
          <cell r="B363" t="str">
            <v>Electricity</v>
          </cell>
          <cell r="G363">
            <v>128455</v>
          </cell>
        </row>
        <row r="364">
          <cell r="B364" t="str">
            <v>Laundry</v>
          </cell>
          <cell r="G364">
            <v>7253</v>
          </cell>
        </row>
        <row r="365">
          <cell r="B365" t="str">
            <v>Printing &amp; Stationery</v>
          </cell>
          <cell r="G365">
            <v>12245</v>
          </cell>
        </row>
        <row r="366">
          <cell r="B366" t="str">
            <v>Telephone</v>
          </cell>
          <cell r="G366">
            <v>47728</v>
          </cell>
        </row>
        <row r="367">
          <cell r="B367" t="str">
            <v>Professional Tax</v>
          </cell>
          <cell r="G367">
            <v>3160</v>
          </cell>
        </row>
        <row r="369">
          <cell r="G369">
            <v>474433</v>
          </cell>
        </row>
        <row r="371">
          <cell r="B371" t="str">
            <v>LOANS AND ADVANCES</v>
          </cell>
        </row>
        <row r="373">
          <cell r="B373" t="str">
            <v>A.V.Balan</v>
          </cell>
          <cell r="G373">
            <v>1903062.5</v>
          </cell>
        </row>
        <row r="374">
          <cell r="B374" t="str">
            <v>Mrs. Savitha M.</v>
          </cell>
          <cell r="G374">
            <v>125308.92</v>
          </cell>
        </row>
        <row r="375">
          <cell r="B375" t="str">
            <v>Kismat Ltd</v>
          </cell>
          <cell r="G375">
            <v>15000</v>
          </cell>
        </row>
        <row r="377">
          <cell r="G377">
            <v>2043371.42</v>
          </cell>
        </row>
        <row r="379">
          <cell r="B379" t="str">
            <v>SECURITY DEPOSITS</v>
          </cell>
        </row>
        <row r="380">
          <cell r="B380" t="str">
            <v>Security deposit</v>
          </cell>
          <cell r="G380">
            <v>23000</v>
          </cell>
        </row>
        <row r="381">
          <cell r="B381" t="str">
            <v xml:space="preserve">Maruti Booking </v>
          </cell>
          <cell r="G381">
            <v>5000</v>
          </cell>
        </row>
        <row r="382">
          <cell r="B382" t="str">
            <v>Electricity Deposit</v>
          </cell>
          <cell r="G382">
            <v>38320</v>
          </cell>
        </row>
        <row r="383">
          <cell r="B383" t="str">
            <v>Gas Deposit</v>
          </cell>
          <cell r="G383">
            <v>2200</v>
          </cell>
        </row>
        <row r="385">
          <cell r="G385">
            <v>68520</v>
          </cell>
        </row>
        <row r="390">
          <cell r="B390" t="str">
            <v xml:space="preserve">HOTEL ROYAL(DIV.OF BALAN HOTELS PVT.LTD. </v>
          </cell>
        </row>
        <row r="392">
          <cell r="B392" t="str">
            <v xml:space="preserve">GROUPING FORMING PART OF THE BALANCE SHEET AND </v>
          </cell>
        </row>
        <row r="393">
          <cell r="B393" t="str">
            <v>PROFIT AND LOSS ACCOUNTS FOR THE PERIOD 30.09.2000</v>
          </cell>
        </row>
        <row r="397">
          <cell r="B397" t="str">
            <v>RENT RATES &amp; TAXES</v>
          </cell>
        </row>
        <row r="399">
          <cell r="B399" t="str">
            <v>Water Tax</v>
          </cell>
          <cell r="G399">
            <v>58953</v>
          </cell>
        </row>
        <row r="400">
          <cell r="B400" t="str">
            <v>Property Tax</v>
          </cell>
          <cell r="G400">
            <v>65753</v>
          </cell>
        </row>
        <row r="401">
          <cell r="B401" t="str">
            <v>Luxury Tax</v>
          </cell>
          <cell r="G401">
            <v>62091.64</v>
          </cell>
        </row>
        <row r="402">
          <cell r="B402" t="str">
            <v>Maharashtra Labour Welfare</v>
          </cell>
          <cell r="G402">
            <v>438</v>
          </cell>
        </row>
        <row r="403">
          <cell r="B403" t="str">
            <v>Legal Charges</v>
          </cell>
          <cell r="G403">
            <v>1000</v>
          </cell>
        </row>
        <row r="405">
          <cell r="G405">
            <v>188235.64</v>
          </cell>
        </row>
        <row r="407">
          <cell r="B407" t="str">
            <v>HOUSE KEEPING EXPENSES</v>
          </cell>
        </row>
        <row r="408">
          <cell r="B408" t="str">
            <v>Cable T.V. Charge</v>
          </cell>
          <cell r="G408">
            <v>6500</v>
          </cell>
        </row>
        <row r="409">
          <cell r="B409" t="str">
            <v>House Keeping Expense</v>
          </cell>
          <cell r="G409">
            <v>129338.25</v>
          </cell>
        </row>
        <row r="411">
          <cell r="G411">
            <v>135838.25</v>
          </cell>
        </row>
        <row r="413">
          <cell r="B413" t="str">
            <v>REPAIR &amp; MAINTAINENCE</v>
          </cell>
        </row>
        <row r="414">
          <cell r="B414" t="str">
            <v>Repair &amp; Maintainence</v>
          </cell>
          <cell r="G414">
            <v>20639</v>
          </cell>
        </row>
        <row r="415">
          <cell r="B415" t="str">
            <v>Monsoon Shed</v>
          </cell>
          <cell r="G415">
            <v>52252</v>
          </cell>
        </row>
        <row r="416">
          <cell r="B416" t="str">
            <v>A.C. Maintainence</v>
          </cell>
          <cell r="G416">
            <v>114733</v>
          </cell>
        </row>
        <row r="417">
          <cell r="B417" t="str">
            <v>Computer Maintainence</v>
          </cell>
          <cell r="G417">
            <v>14880</v>
          </cell>
        </row>
        <row r="418">
          <cell r="B418" t="str">
            <v>EPABX Maintainence</v>
          </cell>
          <cell r="G418">
            <v>6460</v>
          </cell>
        </row>
        <row r="420">
          <cell r="G420">
            <v>208964</v>
          </cell>
        </row>
        <row r="422">
          <cell r="B422" t="str">
            <v>OFFICE EXPENSES</v>
          </cell>
        </row>
        <row r="423">
          <cell r="B423" t="str">
            <v>Office Expenses</v>
          </cell>
          <cell r="G423">
            <v>24891</v>
          </cell>
        </row>
        <row r="424">
          <cell r="B424" t="str">
            <v>Membership &amp; Subscription</v>
          </cell>
          <cell r="G424">
            <v>3637</v>
          </cell>
        </row>
        <row r="426">
          <cell r="G426">
            <v>28528</v>
          </cell>
        </row>
      </sheetData>
      <sheetData sheetId="1">
        <row r="27">
          <cell r="F27">
            <v>5196699.32</v>
          </cell>
        </row>
      </sheetData>
      <sheetData sheetId="2">
        <row r="25">
          <cell r="E25">
            <v>8226798.5200000005</v>
          </cell>
        </row>
      </sheetData>
      <sheetData sheetId="3" refreshError="1"/>
      <sheetData sheetId="4">
        <row r="3">
          <cell r="B3" t="str">
            <v xml:space="preserve">M/S HOTEL ROYAL </v>
          </cell>
        </row>
      </sheetData>
      <sheetData sheetId="5">
        <row r="27">
          <cell r="F27">
            <v>5196699.32</v>
          </cell>
        </row>
      </sheetData>
      <sheetData sheetId="6">
        <row r="25">
          <cell r="E25">
            <v>8226798.5200000005</v>
          </cell>
        </row>
      </sheetData>
      <sheetData sheetId="7"/>
      <sheetData sheetId="8">
        <row r="3">
          <cell r="B3" t="str">
            <v xml:space="preserve">M/S HOTEL ROYAL </v>
          </cell>
        </row>
      </sheetData>
      <sheetData sheetId="9">
        <row r="27">
          <cell r="F27">
            <v>5196699.32</v>
          </cell>
        </row>
      </sheetData>
      <sheetData sheetId="10">
        <row r="25">
          <cell r="E25">
            <v>8226798.5200000005</v>
          </cell>
        </row>
      </sheetData>
      <sheetData sheetId="11"/>
      <sheetData sheetId="12">
        <row r="3">
          <cell r="B3" t="str">
            <v xml:space="preserve">M/S HOTEL ROYAL </v>
          </cell>
        </row>
      </sheetData>
      <sheetData sheetId="13">
        <row r="27">
          <cell r="F27">
            <v>5196699.32</v>
          </cell>
        </row>
      </sheetData>
      <sheetData sheetId="14">
        <row r="25">
          <cell r="E25">
            <v>8226798.5200000005</v>
          </cell>
        </row>
      </sheetData>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sheetName val="Diff. Accounts"/>
      <sheetName val="BS&amp;PLA"/>
      <sheetName val="suppliers"/>
      <sheetName val="nav 05 06"/>
      <sheetName val="NRP02"/>
      <sheetName val="NRP 01"/>
      <sheetName val="Def. Tax"/>
      <sheetName val="FBT"/>
      <sheetName val="Annexure II (FBT)"/>
      <sheetName val="3CD "/>
      <sheetName val="TB"/>
      <sheetName val="BS&amp;PLA "/>
      <sheetName val="COMP. "/>
      <sheetName val="F.goods"/>
      <sheetName val="Grey Stock"/>
      <sheetName val="Stock working"/>
      <sheetName val="Monthwise"/>
      <sheetName val="Manuf. grey"/>
      <sheetName val="Yarn purchased"/>
      <sheetName val="Co. Dep."/>
      <sheetName val="ANN-B"/>
      <sheetName val="IT- DEP"/>
      <sheetName val="ANN-C"/>
      <sheetName val="ANN-D"/>
      <sheetName val="ANN-E"/>
      <sheetName val="unsecured"/>
      <sheetName val="ANN-F"/>
      <sheetName val="Sheet1"/>
      <sheetName val="ANN-G"/>
      <sheetName val="Debtors"/>
      <sheetName val="creditors"/>
      <sheetName val="Diff__Accounts1"/>
      <sheetName val="nav_05_061"/>
      <sheetName val="NRP_011"/>
      <sheetName val="Def__Tax1"/>
      <sheetName val="Annexure_II_(FBT)1"/>
      <sheetName val="3CD_1"/>
      <sheetName val="BS&amp;PLA_1"/>
      <sheetName val="COMP__1"/>
      <sheetName val="F_goods1"/>
      <sheetName val="Grey_Stock1"/>
      <sheetName val="Stock_working1"/>
      <sheetName val="Manuf__grey1"/>
      <sheetName val="Yarn_purchased1"/>
      <sheetName val="Co__Dep_1"/>
      <sheetName val="IT-_DEP1"/>
      <sheetName val="Diff__Accounts"/>
      <sheetName val="nav_05_06"/>
      <sheetName val="NRP_01"/>
      <sheetName val="Def__Tax"/>
      <sheetName val="Annexure_II_(FBT)"/>
      <sheetName val="3CD_"/>
      <sheetName val="BS&amp;PLA_"/>
      <sheetName val="COMP__"/>
      <sheetName val="F_goods"/>
      <sheetName val="Grey_Stock"/>
      <sheetName val="Stock_working"/>
      <sheetName val="Manuf__grey"/>
      <sheetName val="Yarn_purchased"/>
      <sheetName val="Co__Dep_"/>
      <sheetName val="IT-_DEP"/>
      <sheetName val="Diff__Accounts2"/>
      <sheetName val="nav_05_062"/>
      <sheetName val="NRP_012"/>
      <sheetName val="Def__Tax2"/>
      <sheetName val="Annexure_II_(FBT)2"/>
      <sheetName val="3CD_2"/>
      <sheetName val="BS&amp;PLA_2"/>
      <sheetName val="COMP__2"/>
      <sheetName val="F_goods2"/>
      <sheetName val="Grey_Stock2"/>
      <sheetName val="Stock_working2"/>
      <sheetName val="Manuf__grey2"/>
      <sheetName val="Yarn_purchased2"/>
      <sheetName val="Co__Dep_2"/>
      <sheetName val="IT-_DE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amp;PLA"/>
      <sheetName val="computation"/>
      <sheetName val="Sheet2"/>
      <sheetName val="IT- DEP"/>
      <sheetName val="fixed assets"/>
      <sheetName val="BS 590"/>
      <sheetName val="IT-_DEP1"/>
      <sheetName val="fixed_assets1"/>
      <sheetName val="BS_5901"/>
      <sheetName val="IT-_DEP"/>
      <sheetName val="fixed_assets"/>
      <sheetName val="BS_590"/>
      <sheetName val="IT-_DEP2"/>
      <sheetName val="fixed_assets2"/>
      <sheetName val="BS_5902"/>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it97"/>
      <sheetName val="DEPIT979"/>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sheetName val="sch 5"/>
      <sheetName val=" BS-sch 1-4"/>
      <sheetName val="BS-sch 6 &amp; 7"/>
      <sheetName val="BS-sch 8 &amp; 9"/>
      <sheetName val="PL-sch 10, 11 &amp; 12"/>
      <sheetName val="PL-sch 13, 14 &amp; 15"/>
      <sheetName val="GP Margin"/>
      <sheetName val="TRIAL BALANCE"/>
      <sheetName val="Clause 12 (b)"/>
      <sheetName val="pl-excl"/>
      <sheetName val="pl-incl"/>
      <sheetName val="dow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M"/>
      <sheetName val="Anx-N"/>
      <sheetName val="Anx_M"/>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ed Parties"/>
      <sheetName val="P&amp;L"/>
      <sheetName val="BS"/>
      <sheetName val="VARIANCE ANALYSIS "/>
      <sheetName val="Sch 1-4"/>
      <sheetName val="Sch-5"/>
      <sheetName val="Sch-6-11"/>
      <sheetName val="Sch 12 &amp;13"/>
      <sheetName val="P&amp;L Sch 14-16"/>
      <sheetName val="P&amp;L Sch 17-19"/>
      <sheetName val="Data Entry"/>
      <sheetName val="TRIAL BALANCE (2)"/>
      <sheetName val="TRIAL BALANCE"/>
      <sheetName val="TB Download"/>
      <sheetName val="TBdownload-2002"/>
      <sheetName val="CC wise Download"/>
      <sheetName val="SIF P&amp;L BS"/>
      <sheetName val="SIF P&amp;L"/>
      <sheetName val="SIF Workings"/>
      <sheetName val="SIF Results Back up"/>
      <sheetName val="PROVISIONS"/>
      <sheetName val="Pl-Incl"/>
      <sheetName val="pl-Excl"/>
      <sheetName val="sch-I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tnal"/>
      <sheetName val="HONOTE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Bsheet &amp; P&amp; L "/>
      <sheetName val="depreciation"/>
      <sheetName val="comp31.3.02"/>
      <sheetName val="P&amp;L  Mar31.3.02"/>
      <sheetName val="80IB +80HHC  31.3.02"/>
      <sheetName val="80IB+80 HHC"/>
      <sheetName val="compu-gau"/>
      <sheetName val="Sheet1"/>
      <sheetName val="BS &amp; Pr &amp; Loss (2)"/>
      <sheetName val="Stock Reco."/>
      <sheetName val="ratios"/>
      <sheetName val="final__Bsheet_&amp;_P&amp;_L_1"/>
      <sheetName val="comp31_3_021"/>
      <sheetName val="P&amp;L__Mar31_3_021"/>
      <sheetName val="80IB_+80HHC__31_3_021"/>
      <sheetName val="80IB+80_HHC1"/>
      <sheetName val="BS_&amp;_Pr_&amp;_Loss_(2)1"/>
      <sheetName val="Stock_Reco_1"/>
      <sheetName val="final__Bsheet_&amp;_P&amp;_L_"/>
      <sheetName val="comp31_3_02"/>
      <sheetName val="P&amp;L__Mar31_3_02"/>
      <sheetName val="80IB_+80HHC__31_3_02"/>
      <sheetName val="80IB+80_HHC"/>
      <sheetName val="BS_&amp;_Pr_&amp;_Loss_(2)"/>
      <sheetName val="Stock_Reco_"/>
      <sheetName val="final__Bsheet_&amp;_P&amp;_L_2"/>
      <sheetName val="comp31_3_022"/>
      <sheetName val="P&amp;L__Mar31_3_022"/>
      <sheetName val="80IB_+80HHC__31_3_022"/>
      <sheetName val="80IB+80_HHC2"/>
      <sheetName val="BS_&amp;_Pr_&amp;_Loss_(2)2"/>
      <sheetName val="Stock_Reco_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_Gains"/>
      <sheetName val="Sheet1"/>
    </sheetNames>
    <sheetDataSet>
      <sheetData sheetId="0"/>
      <sheetData sheetId="1">
        <row r="1">
          <cell r="A1" t="str">
            <v>N/A</v>
          </cell>
          <cell r="B1" t="str">
            <v>Aarti Industries Ltd.</v>
          </cell>
          <cell r="C1" t="str">
            <v>Residential</v>
          </cell>
        </row>
        <row r="2">
          <cell r="A2" t="str">
            <v>No</v>
          </cell>
          <cell r="B2" t="str">
            <v>Aban Loyd Chiles Offshore Ltd.</v>
          </cell>
          <cell r="C2" t="str">
            <v>Other</v>
          </cell>
        </row>
        <row r="3">
          <cell r="A3" t="str">
            <v>Yes</v>
          </cell>
          <cell r="B3" t="str">
            <v>Abbott India Ltd.</v>
          </cell>
          <cell r="C3" t="str">
            <v>Shares/Units</v>
          </cell>
        </row>
        <row r="4">
          <cell r="B4" t="str">
            <v>Adani Exports Ltd.</v>
          </cell>
          <cell r="C4" t="str">
            <v>Land</v>
          </cell>
        </row>
        <row r="5">
          <cell r="B5" t="str">
            <v>AFT Industries Ltd.</v>
          </cell>
          <cell r="C5" t="str">
            <v>Debentures</v>
          </cell>
        </row>
        <row r="6">
          <cell r="B6" t="str">
            <v>Aftek Infosys Ltd.</v>
          </cell>
        </row>
        <row r="7">
          <cell r="B7" t="str">
            <v>Agro Dutch Industries Ltd.</v>
          </cell>
        </row>
        <row r="8">
          <cell r="B8" t="str">
            <v>Agro Tech Foods Ltd.</v>
          </cell>
        </row>
        <row r="9">
          <cell r="B9" t="str">
            <v>Ahmedabad Electricity Co.Ltd.</v>
          </cell>
        </row>
        <row r="10">
          <cell r="B10" t="str">
            <v>Ajanta Pharma Ltd.</v>
          </cell>
        </row>
        <row r="11">
          <cell r="B11" t="str">
            <v>Aksh Optifibre Ltd.</v>
          </cell>
        </row>
        <row r="12">
          <cell r="B12" t="str">
            <v>Albright &amp; Wilson Chemicals India Ltd.</v>
          </cell>
        </row>
        <row r="13">
          <cell r="B13" t="str">
            <v>Alembic Ltd.</v>
          </cell>
        </row>
        <row r="14">
          <cell r="B14" t="str">
            <v>Alfa Laval (India) Ltd.</v>
          </cell>
        </row>
        <row r="15">
          <cell r="B15" t="str">
            <v>Alps Industries Ltd.</v>
          </cell>
        </row>
        <row r="16">
          <cell r="B16" t="str">
            <v>Alstom Ltd.</v>
          </cell>
        </row>
        <row r="17">
          <cell r="B17" t="str">
            <v>Alstom Power India Ltd.</v>
          </cell>
        </row>
        <row r="18">
          <cell r="B18" t="str">
            <v>Amara Raja Batteries Ltd.</v>
          </cell>
        </row>
        <row r="19">
          <cell r="B19" t="str">
            <v>Ambalal Sarabhai Enterprise Ltd.</v>
          </cell>
        </row>
        <row r="20">
          <cell r="B20" t="str">
            <v>Amtrex Hitachi Appliances Ltd.</v>
          </cell>
        </row>
        <row r="21">
          <cell r="B21" t="str">
            <v>Andhra Bank</v>
          </cell>
        </row>
        <row r="22">
          <cell r="B22" t="str">
            <v>Apollo Hospitals Enterprises Ltd.</v>
          </cell>
        </row>
        <row r="23">
          <cell r="B23" t="str">
            <v>Apollo Tyres Ltd.</v>
          </cell>
        </row>
        <row r="24">
          <cell r="B24" t="str">
            <v>Archies Greetings &amp; Gifts Ltd.</v>
          </cell>
        </row>
        <row r="25">
          <cell r="B25" t="str">
            <v>Arvind Mills Ltd.</v>
          </cell>
        </row>
        <row r="26">
          <cell r="B26" t="str">
            <v>Asea Brown Boveri Ltd.</v>
          </cell>
        </row>
        <row r="27">
          <cell r="B27" t="str">
            <v>Ashima Ltd.</v>
          </cell>
        </row>
        <row r="28">
          <cell r="B28" t="str">
            <v>Ashok Leyland Finance Ltd.</v>
          </cell>
        </row>
        <row r="29">
          <cell r="B29" t="str">
            <v>Ashok Leyland Ltd.</v>
          </cell>
        </row>
        <row r="30">
          <cell r="B30" t="str">
            <v>Asian Hotels Ltd.</v>
          </cell>
        </row>
        <row r="31">
          <cell r="B31" t="str">
            <v>Asian Paints (India) Ltd.</v>
          </cell>
        </row>
        <row r="32">
          <cell r="B32" t="str">
            <v>Assam Company Ltd.</v>
          </cell>
        </row>
        <row r="33">
          <cell r="B33" t="str">
            <v>Associated Cement Cos. Ltd.</v>
          </cell>
        </row>
        <row r="34">
          <cell r="B34" t="str">
            <v>AstraZeneca Pharma India Ltd.</v>
          </cell>
        </row>
        <row r="35">
          <cell r="B35" t="str">
            <v>Atcom Technologies Ltd.</v>
          </cell>
        </row>
        <row r="36">
          <cell r="B36" t="str">
            <v>Atlas Copco (India) Ltd.</v>
          </cell>
        </row>
        <row r="37">
          <cell r="B37" t="str">
            <v>Atul Ltd.</v>
          </cell>
        </row>
        <row r="38">
          <cell r="B38" t="str">
            <v>Aurobindo Pharma Ltd.</v>
          </cell>
        </row>
        <row r="39">
          <cell r="B39" t="str">
            <v>Automotive Axles Ltd.</v>
          </cell>
        </row>
        <row r="40">
          <cell r="B40" t="str">
            <v>Aventis Crop Science India Ltd.</v>
          </cell>
        </row>
        <row r="41">
          <cell r="B41" t="str">
            <v>Aventis Pharma Ltd.</v>
          </cell>
        </row>
        <row r="42">
          <cell r="B42" t="str">
            <v>Avon Organics Ltd.</v>
          </cell>
        </row>
        <row r="43">
          <cell r="B43" t="str">
            <v>Aztec Software and Technolgy Services Ltd.</v>
          </cell>
        </row>
        <row r="44">
          <cell r="B44" t="str">
            <v>Bajaj Auto Finance Ltd.</v>
          </cell>
        </row>
        <row r="45">
          <cell r="B45" t="str">
            <v>Bajaj Auto Ltd.</v>
          </cell>
        </row>
        <row r="46">
          <cell r="B46" t="str">
            <v>Bajaj Hindustan Ltd.</v>
          </cell>
        </row>
        <row r="47">
          <cell r="B47" t="str">
            <v>Balaji Distilleries Ltd.</v>
          </cell>
        </row>
        <row r="48">
          <cell r="B48" t="str">
            <v>Balaji Telefilms Ltd.</v>
          </cell>
        </row>
        <row r="49">
          <cell r="B49" t="str">
            <v>Ballarpur Industries Ltd.</v>
          </cell>
        </row>
        <row r="50">
          <cell r="B50" t="str">
            <v>Balrampur Chini Mills Ltd.</v>
          </cell>
        </row>
        <row r="51">
          <cell r="B51" t="str">
            <v>Bank Of Baroda</v>
          </cell>
        </row>
        <row r="52">
          <cell r="B52" t="str">
            <v>Bank of India</v>
          </cell>
        </row>
        <row r="53">
          <cell r="B53" t="str">
            <v>Bank Of Punjab Ltd.</v>
          </cell>
        </row>
        <row r="54">
          <cell r="B54" t="str">
            <v>Bannari Amman Sugars Ltd.</v>
          </cell>
        </row>
        <row r="55">
          <cell r="B55" t="str">
            <v>BASF India Ltd.</v>
          </cell>
        </row>
        <row r="56">
          <cell r="B56" t="str">
            <v>Bata India Ltd.</v>
          </cell>
        </row>
        <row r="57">
          <cell r="B57" t="str">
            <v>Bayer (India) Ltd.</v>
          </cell>
        </row>
        <row r="58">
          <cell r="B58" t="str">
            <v>Bayer ABS Ltd.</v>
          </cell>
        </row>
        <row r="59">
          <cell r="B59" t="str">
            <v>Berger Paints India Ltd.</v>
          </cell>
        </row>
        <row r="60">
          <cell r="B60" t="str">
            <v>Bharat Earth Movers Ltd.</v>
          </cell>
        </row>
        <row r="61">
          <cell r="B61" t="str">
            <v>Bharat Electronics Ltd.</v>
          </cell>
        </row>
        <row r="62">
          <cell r="B62" t="str">
            <v>Bharat Forge Ltd.</v>
          </cell>
        </row>
        <row r="63">
          <cell r="B63" t="str">
            <v>Bharat Heavy Electricals Ltd.</v>
          </cell>
        </row>
        <row r="64">
          <cell r="B64" t="str">
            <v>Bharat Petroleum Corpn. Ltd.</v>
          </cell>
        </row>
        <row r="65">
          <cell r="B65" t="str">
            <v>Bharti Tele-Ventures Ltd.</v>
          </cell>
        </row>
        <row r="66">
          <cell r="B66" t="str">
            <v>Bhartiya International Ltd.</v>
          </cell>
        </row>
        <row r="67">
          <cell r="B67" t="str">
            <v>Bhushan Steel &amp; Strips Ltd.</v>
          </cell>
        </row>
        <row r="68">
          <cell r="B68" t="str">
            <v>Binani Industries Ltd.</v>
          </cell>
        </row>
        <row r="69">
          <cell r="B69" t="str">
            <v>Birla 3M Ltd.</v>
          </cell>
        </row>
        <row r="70">
          <cell r="B70" t="str">
            <v>Birla Corporation Ltd.</v>
          </cell>
        </row>
        <row r="71">
          <cell r="B71" t="str">
            <v>Birla Ericsson Opticaal Ltd.</v>
          </cell>
        </row>
        <row r="72">
          <cell r="B72" t="str">
            <v>Birla Global Finance Ltd.</v>
          </cell>
        </row>
        <row r="73">
          <cell r="B73" t="str">
            <v>Blow Plast Ltd.</v>
          </cell>
        </row>
        <row r="74">
          <cell r="B74" t="str">
            <v>Blue Dart Express Ltd.</v>
          </cell>
        </row>
        <row r="75">
          <cell r="B75" t="str">
            <v>Blue Star Ltd.</v>
          </cell>
        </row>
        <row r="76">
          <cell r="B76" t="str">
            <v>BOC India Ltd.</v>
          </cell>
        </row>
        <row r="77">
          <cell r="B77" t="str">
            <v>Bombay Burmah Trading Corpn. Ltd.</v>
          </cell>
        </row>
        <row r="78">
          <cell r="B78" t="str">
            <v>Bombay Dyeing &amp; Mfg. Co. Ltd.</v>
          </cell>
        </row>
        <row r="79">
          <cell r="B79" t="str">
            <v>BPL Ltd.</v>
          </cell>
        </row>
        <row r="80">
          <cell r="B80" t="str">
            <v>Britannia Industries Ltd.</v>
          </cell>
        </row>
        <row r="81">
          <cell r="B81" t="str">
            <v>BSES Ltd.</v>
          </cell>
        </row>
        <row r="82">
          <cell r="B82" t="str">
            <v>Burroughs Wellcome (India) Ltd.</v>
          </cell>
        </row>
        <row r="83">
          <cell r="B83" t="str">
            <v>Cadila Healthcare Ltd.</v>
          </cell>
        </row>
        <row r="84">
          <cell r="B84" t="str">
            <v>Carborundum Universal Ltd.</v>
          </cell>
        </row>
        <row r="85">
          <cell r="B85" t="str">
            <v>Carrier Aircon Ltd.</v>
          </cell>
        </row>
        <row r="86">
          <cell r="B86" t="str">
            <v>Castrol India Ltd.</v>
          </cell>
        </row>
        <row r="87">
          <cell r="B87" t="str">
            <v>Ceat Ltd.</v>
          </cell>
        </row>
        <row r="88">
          <cell r="B88" t="str">
            <v>Centurion Bank Ltd.</v>
          </cell>
        </row>
        <row r="89">
          <cell r="B89" t="str">
            <v>Century Enka Ltd.</v>
          </cell>
        </row>
        <row r="90">
          <cell r="B90" t="str">
            <v>Century Textiles &amp; Industries Ltd.</v>
          </cell>
        </row>
        <row r="91">
          <cell r="B91" t="str">
            <v>CESC Ltd.</v>
          </cell>
        </row>
        <row r="92">
          <cell r="B92" t="str">
            <v>CG Igarashi Motars Ltd.</v>
          </cell>
        </row>
        <row r="93">
          <cell r="B93" t="str">
            <v>Chambal Fertilisers &amp; Chemicals Ltd.</v>
          </cell>
        </row>
        <row r="94">
          <cell r="B94" t="str">
            <v>Chemplast Sanmar Ltd.</v>
          </cell>
        </row>
        <row r="95">
          <cell r="B95" t="str">
            <v>Chennai Petroleum Corporation Ltd.</v>
          </cell>
        </row>
        <row r="96">
          <cell r="B96" t="str">
            <v>Ciba Speciality Chemicals (India) Ltd.</v>
          </cell>
        </row>
        <row r="97">
          <cell r="B97" t="str">
            <v>Cinevistaas Ltd</v>
          </cell>
        </row>
        <row r="98">
          <cell r="B98" t="str">
            <v>Cipla Ltd.</v>
          </cell>
        </row>
        <row r="99">
          <cell r="B99" t="str">
            <v>Clariant (India) Ltd.</v>
          </cell>
        </row>
        <row r="100">
          <cell r="B100" t="str">
            <v>CMC Ltd.</v>
          </cell>
        </row>
        <row r="101">
          <cell r="B101" t="str">
            <v>Coates of India Ltd.</v>
          </cell>
        </row>
        <row r="102">
          <cell r="B102" t="str">
            <v>Colgate-Palmolive (India) Ltd.</v>
          </cell>
        </row>
        <row r="103">
          <cell r="B103" t="str">
            <v>Colour Chem Ltd.</v>
          </cell>
        </row>
        <row r="104">
          <cell r="B104" t="str">
            <v>Computech International Ltd.</v>
          </cell>
        </row>
        <row r="105">
          <cell r="B105" t="str">
            <v>Container Corporation Of India Ltd.</v>
          </cell>
        </row>
        <row r="106">
          <cell r="B106" t="str">
            <v>Core Healthcare Ltd.</v>
          </cell>
        </row>
        <row r="107">
          <cell r="B107" t="str">
            <v>Corporation Bank</v>
          </cell>
        </row>
        <row r="108">
          <cell r="B108" t="str">
            <v>Credit Rating Information Services</v>
          </cell>
        </row>
        <row r="109">
          <cell r="B109" t="str">
            <v>Crest Communications Ltd.</v>
          </cell>
        </row>
        <row r="110">
          <cell r="B110" t="str">
            <v>Crompton Greaves Ltd.</v>
          </cell>
        </row>
        <row r="111">
          <cell r="B111" t="str">
            <v>Cummins India Ltd.</v>
          </cell>
        </row>
        <row r="112">
          <cell r="B112" t="str">
            <v>Cybertech Systems and Software Ltd.</v>
          </cell>
        </row>
        <row r="113">
          <cell r="B113" t="str">
            <v>Dabur India Ltd.</v>
          </cell>
        </row>
        <row r="114">
          <cell r="B114" t="str">
            <v>Daewoo Motors India Ltd.</v>
          </cell>
        </row>
        <row r="115">
          <cell r="B115" t="str">
            <v>Dalmia Cement (Bharat) Ltd.</v>
          </cell>
        </row>
        <row r="116">
          <cell r="B116" t="str">
            <v>Deepak Fertilizers &amp;Petrochemicals</v>
          </cell>
        </row>
        <row r="117">
          <cell r="B117" t="str">
            <v>Dena Bank</v>
          </cell>
        </row>
        <row r="118">
          <cell r="B118" t="str">
            <v>Digital Globalsoft Ltd.</v>
          </cell>
        </row>
        <row r="119">
          <cell r="B119" t="str">
            <v>Dr. Reddys Laboratories Ltd.</v>
          </cell>
        </row>
        <row r="120">
          <cell r="B120" t="str">
            <v>Dredging Corporation of India Ltd.</v>
          </cell>
        </row>
        <row r="121">
          <cell r="B121" t="str">
            <v>DSQ Software Ltd.</v>
          </cell>
        </row>
        <row r="122">
          <cell r="B122" t="str">
            <v>Duphar-Interfran Ltd.</v>
          </cell>
        </row>
        <row r="123">
          <cell r="B123" t="str">
            <v>E.I.D. Parry (India) Ltd.</v>
          </cell>
        </row>
        <row r="124">
          <cell r="B124" t="str">
            <v>Eicher Motors Ltd.</v>
          </cell>
        </row>
        <row r="125">
          <cell r="B125" t="str">
            <v>EIH Ltd.</v>
          </cell>
        </row>
        <row r="126">
          <cell r="B126" t="str">
            <v>Elbee Services Ltd.</v>
          </cell>
        </row>
        <row r="127">
          <cell r="B127" t="str">
            <v>Elder Pharmaceuticals Ltd.</v>
          </cell>
        </row>
        <row r="128">
          <cell r="B128" t="str">
            <v>Electrolux Kelvinator Ltd.</v>
          </cell>
        </row>
        <row r="129">
          <cell r="B129" t="str">
            <v>Electrosteel Castings Ltd.</v>
          </cell>
        </row>
        <row r="130">
          <cell r="B130" t="str">
            <v>Elgi Equipments Ltd.</v>
          </cell>
        </row>
        <row r="131">
          <cell r="B131" t="str">
            <v>EMCO Ltd.</v>
          </cell>
        </row>
        <row r="132">
          <cell r="B132" t="str">
            <v>Engineers India Ltd.</v>
          </cell>
        </row>
        <row r="133">
          <cell r="B133" t="str">
            <v>Esab India Ltd.</v>
          </cell>
        </row>
        <row r="134">
          <cell r="B134" t="str">
            <v>Escorts Ltd.</v>
          </cell>
        </row>
        <row r="135">
          <cell r="B135" t="str">
            <v>e-Serve International Ltd.</v>
          </cell>
        </row>
        <row r="136">
          <cell r="B136" t="str">
            <v>Eskay KnIT (India) Ltd.</v>
          </cell>
        </row>
        <row r="137">
          <cell r="B137" t="str">
            <v>Essar Oil Ltd.</v>
          </cell>
        </row>
        <row r="138">
          <cell r="B138" t="str">
            <v>Essar Shipping Ltd.</v>
          </cell>
        </row>
        <row r="139">
          <cell r="B139" t="str">
            <v>Essar Steel Ltd.</v>
          </cell>
        </row>
        <row r="140">
          <cell r="B140" t="str">
            <v>Essel Propack Ltd.</v>
          </cell>
        </row>
        <row r="141">
          <cell r="B141" t="str">
            <v>ETC Networks Ltd.</v>
          </cell>
        </row>
        <row r="142">
          <cell r="B142" t="str">
            <v>Eveready Industries India Ltd.</v>
          </cell>
        </row>
        <row r="143">
          <cell r="B143" t="str">
            <v>Excell Industries Ltd.</v>
          </cell>
        </row>
        <row r="144">
          <cell r="B144" t="str">
            <v>Exide Industries Ltd.</v>
          </cell>
        </row>
        <row r="145">
          <cell r="B145" t="str">
            <v>Fag Bearings India Ltd.</v>
          </cell>
        </row>
        <row r="146">
          <cell r="B146" t="str">
            <v>FCL Technologies &amp; Products Ltd.</v>
          </cell>
        </row>
        <row r="147">
          <cell r="B147" t="str">
            <v>FDC Ltd.</v>
          </cell>
        </row>
        <row r="148">
          <cell r="B148" t="str">
            <v>Federal Bank Ltd.</v>
          </cell>
        </row>
        <row r="149">
          <cell r="B149" t="str">
            <v>Finolex Cables Ltd.</v>
          </cell>
        </row>
        <row r="150">
          <cell r="B150" t="str">
            <v>Finolex Industries Ltd.</v>
          </cell>
        </row>
        <row r="151">
          <cell r="B151" t="str">
            <v>Flex Industries Ltd.</v>
          </cell>
        </row>
        <row r="152">
          <cell r="B152" t="str">
            <v>Floatglass India Ltd.</v>
          </cell>
        </row>
        <row r="153">
          <cell r="B153" t="str">
            <v>Forbes Gokak Ltd.</v>
          </cell>
        </row>
        <row r="154">
          <cell r="B154" t="str">
            <v>Foseco India Ltd.</v>
          </cell>
        </row>
        <row r="155">
          <cell r="B155" t="str">
            <v>Fulford (India) Ltd.</v>
          </cell>
        </row>
        <row r="156">
          <cell r="B156" t="str">
            <v>Gail (India) Ltd.</v>
          </cell>
        </row>
        <row r="157">
          <cell r="B157" t="str">
            <v>Gammon India Ltd.</v>
          </cell>
        </row>
        <row r="158">
          <cell r="B158" t="str">
            <v>Geometric Software Solutions Co.Ltd.</v>
          </cell>
        </row>
        <row r="159">
          <cell r="B159" t="str">
            <v>George Williamson (Assam)</v>
          </cell>
        </row>
        <row r="160">
          <cell r="B160" t="str">
            <v>German Remedies Ltd.</v>
          </cell>
        </row>
        <row r="161">
          <cell r="B161" t="str">
            <v>Gillette India Ltd.</v>
          </cell>
        </row>
        <row r="162">
          <cell r="B162" t="str">
            <v>GlaxoSmithkline Consumer Healthcare Ltd.</v>
          </cell>
        </row>
        <row r="163">
          <cell r="B163" t="str">
            <v>GlaxoSmithKline Pharmaceuticals Ltd.</v>
          </cell>
        </row>
        <row r="164">
          <cell r="B164" t="str">
            <v>Glenmark Pharmaceuticals Ltd.</v>
          </cell>
        </row>
        <row r="165">
          <cell r="B165" t="str">
            <v>Global Trust Bank Ltd.</v>
          </cell>
        </row>
        <row r="166">
          <cell r="B166" t="str">
            <v>Godfrey Phillips India Ltd.</v>
          </cell>
        </row>
        <row r="167">
          <cell r="B167" t="str">
            <v>Godrej Consumer Products Ltd.</v>
          </cell>
        </row>
        <row r="168">
          <cell r="B168" t="str">
            <v>Godrej Industries Ltd.</v>
          </cell>
        </row>
        <row r="169">
          <cell r="B169" t="str">
            <v>Goetze (India) Ltd.</v>
          </cell>
        </row>
        <row r="170">
          <cell r="B170" t="str">
            <v>Goldiam International Ltd.</v>
          </cell>
        </row>
        <row r="171">
          <cell r="B171" t="str">
            <v>Goodlass Nerolac Paints Ltd.</v>
          </cell>
        </row>
        <row r="172">
          <cell r="B172" t="str">
            <v>Goodricke Group Ltd.</v>
          </cell>
        </row>
        <row r="173">
          <cell r="B173" t="str">
            <v>Goodyear India Ltd.</v>
          </cell>
        </row>
        <row r="174">
          <cell r="B174" t="str">
            <v>Grasim Industries Ltd.</v>
          </cell>
        </row>
        <row r="175">
          <cell r="B175" t="str">
            <v>Great Eastern Shipping Co. Ltd.</v>
          </cell>
        </row>
        <row r="176">
          <cell r="B176" t="str">
            <v>Greaves Ltd.</v>
          </cell>
        </row>
        <row r="177">
          <cell r="B177" t="str">
            <v>Grindwell Norton Ltd.</v>
          </cell>
        </row>
        <row r="178">
          <cell r="B178" t="str">
            <v>GTL Ltd.</v>
          </cell>
        </row>
        <row r="179">
          <cell r="B179" t="str">
            <v>Gujarat Alkalis &amp; Chemicals Ltd.</v>
          </cell>
        </row>
        <row r="180">
          <cell r="B180" t="str">
            <v>Gujarat Ambuja Cements Ltd.</v>
          </cell>
        </row>
        <row r="181">
          <cell r="B181" t="str">
            <v>Gujarat Fluorochemicals Ltd.</v>
          </cell>
        </row>
        <row r="182">
          <cell r="B182" t="str">
            <v>Gujarat Gas Co. Ltd.</v>
          </cell>
        </row>
        <row r="183">
          <cell r="B183" t="str">
            <v>Gujarat Heavy Chemicals Ltd.</v>
          </cell>
        </row>
        <row r="184">
          <cell r="B184" t="str">
            <v>Gujarat Industries Power Co. Ltd.</v>
          </cell>
        </row>
        <row r="185">
          <cell r="B185" t="str">
            <v>Gujarat Mineral Development Corporation</v>
          </cell>
        </row>
        <row r="186">
          <cell r="B186" t="str">
            <v>Gujarat Narmada Valley Fert.Co.Ltd.</v>
          </cell>
        </row>
        <row r="187">
          <cell r="B187" t="str">
            <v>Gujarat Sidhee Cement Ltd.</v>
          </cell>
        </row>
        <row r="188">
          <cell r="B188" t="str">
            <v>Gujarat State Fertilizers &amp; Chem.Ltd.</v>
          </cell>
        </row>
        <row r="189">
          <cell r="B189" t="str">
            <v>Havells India Ltd.</v>
          </cell>
        </row>
        <row r="190">
          <cell r="B190" t="str">
            <v>HCL Infosystems Ltd.</v>
          </cell>
        </row>
        <row r="191">
          <cell r="B191" t="str">
            <v>HCL Technologies Ltd.</v>
          </cell>
        </row>
        <row r="192">
          <cell r="B192" t="str">
            <v>HDFC Bank Ltd.</v>
          </cell>
        </row>
        <row r="193">
          <cell r="B193" t="str">
            <v>HEG Ltd.</v>
          </cell>
        </row>
        <row r="194">
          <cell r="B194" t="str">
            <v>Henkel Spic India Ltd.</v>
          </cell>
        </row>
        <row r="195">
          <cell r="B195" t="str">
            <v>Hero Honda Motors Ltd.</v>
          </cell>
        </row>
        <row r="196">
          <cell r="B196" t="str">
            <v>Hikal Ltd.</v>
          </cell>
        </row>
        <row r="197">
          <cell r="B197" t="str">
            <v>Himachal Futuristic Communications</v>
          </cell>
        </row>
        <row r="198">
          <cell r="B198" t="str">
            <v>Himatsingka Seide Ltd.</v>
          </cell>
        </row>
        <row r="199">
          <cell r="B199" t="str">
            <v>Hind Lever Chemicals Ltd.</v>
          </cell>
        </row>
        <row r="200">
          <cell r="B200" t="str">
            <v>Hindalco Industries Ltd.</v>
          </cell>
        </row>
        <row r="201">
          <cell r="B201" t="str">
            <v>Hindustan Construction Co. Ltd.</v>
          </cell>
        </row>
        <row r="202">
          <cell r="B202" t="str">
            <v>Hindustan Inks &amp; Resins Ltd.</v>
          </cell>
        </row>
        <row r="203">
          <cell r="B203" t="str">
            <v>Hindustan Lever Ltd.</v>
          </cell>
        </row>
        <row r="204">
          <cell r="B204" t="str">
            <v>Hindustan Motors Ltd.</v>
          </cell>
        </row>
        <row r="205">
          <cell r="B205" t="str">
            <v>Hindustan Oil Exploration Co. Ltd.</v>
          </cell>
        </row>
        <row r="206">
          <cell r="B206" t="str">
            <v>Hindustan Organic Chemicals Ltd.</v>
          </cell>
        </row>
        <row r="207">
          <cell r="B207" t="str">
            <v>Hindustan Petroleum Corporation Ltd.</v>
          </cell>
        </row>
        <row r="208">
          <cell r="B208" t="str">
            <v>Hindustan Powerplus Ltd.</v>
          </cell>
        </row>
        <row r="209">
          <cell r="B209" t="str">
            <v>Hindustan Sanitaryware &amp; Industries</v>
          </cell>
        </row>
        <row r="210">
          <cell r="B210" t="str">
            <v>Hindustan Zinc Ltd.</v>
          </cell>
        </row>
        <row r="211">
          <cell r="B211" t="str">
            <v>HMT Ltd.</v>
          </cell>
        </row>
        <row r="212">
          <cell r="B212" t="str">
            <v>Honda Siel Power Products Ltd.</v>
          </cell>
        </row>
        <row r="213">
          <cell r="B213" t="str">
            <v>Hotel Leela Venture Ltd.</v>
          </cell>
        </row>
        <row r="214">
          <cell r="B214" t="str">
            <v>Housing Development Finance Corp.Lt</v>
          </cell>
        </row>
        <row r="215">
          <cell r="B215" t="str">
            <v>Hughes Software Systems Ltd.</v>
          </cell>
        </row>
        <row r="216">
          <cell r="B216" t="str">
            <v>IBP Co. Ltd.</v>
          </cell>
        </row>
        <row r="217">
          <cell r="B217" t="str">
            <v>ICI India Ltd.</v>
          </cell>
        </row>
        <row r="218">
          <cell r="B218" t="str">
            <v>ICICI Bank Ltd.</v>
          </cell>
        </row>
        <row r="219">
          <cell r="B219" t="str">
            <v>IDBI Bank Ltd.</v>
          </cell>
        </row>
        <row r="220">
          <cell r="B220" t="str">
            <v>IFCI Ltd.</v>
          </cell>
        </row>
        <row r="221">
          <cell r="B221" t="str">
            <v>India Cements Ltd.</v>
          </cell>
        </row>
        <row r="222">
          <cell r="B222" t="str">
            <v>India Glycols Ltd.</v>
          </cell>
        </row>
        <row r="223">
          <cell r="B223" t="str">
            <v>India Gypsum Ltd.</v>
          </cell>
        </row>
        <row r="224">
          <cell r="B224" t="str">
            <v>Indian Aluminium Co. Ltd.</v>
          </cell>
        </row>
        <row r="225">
          <cell r="B225" t="str">
            <v>Indian Hotels Co. Ltd.</v>
          </cell>
        </row>
        <row r="226">
          <cell r="B226" t="str">
            <v>Indian Oil Corporation Ltd.</v>
          </cell>
        </row>
        <row r="227">
          <cell r="B227" t="str">
            <v>Indian Overseas Bank</v>
          </cell>
        </row>
        <row r="228">
          <cell r="B228" t="str">
            <v>Indian Petrochemicals Corpn. Ltd.</v>
          </cell>
        </row>
        <row r="229">
          <cell r="B229" t="str">
            <v>Indian Rayon &amp; Industries Ltd.</v>
          </cell>
        </row>
        <row r="230">
          <cell r="B230" t="str">
            <v>Indo Gulf Corporation Ltd.</v>
          </cell>
        </row>
        <row r="231">
          <cell r="B231" t="str">
            <v>Indo National Ltd.</v>
          </cell>
        </row>
        <row r="232">
          <cell r="B232" t="str">
            <v>Indo Rama Synthetics (India) Ltd.</v>
          </cell>
        </row>
        <row r="233">
          <cell r="B233" t="str">
            <v>Indraprastha Medical Corporation Ltd.</v>
          </cell>
        </row>
        <row r="234">
          <cell r="B234" t="str">
            <v>IndusInd Bank Ltd.</v>
          </cell>
        </row>
        <row r="235">
          <cell r="B235" t="str">
            <v>Industrial Development Bank of India Ltd.</v>
          </cell>
        </row>
        <row r="236">
          <cell r="B236" t="str">
            <v>Information Technologies (India) Lt</v>
          </cell>
        </row>
        <row r="237">
          <cell r="B237" t="str">
            <v>Infosys Technologies Ltd.</v>
          </cell>
        </row>
        <row r="238">
          <cell r="B238" t="str">
            <v>Infotech Enterprises Ltd.</v>
          </cell>
        </row>
        <row r="239">
          <cell r="B239" t="str">
            <v>Ingersoll-Rand (India) Ltd.</v>
          </cell>
        </row>
        <row r="240">
          <cell r="B240" t="str">
            <v>Insilco Ltd.</v>
          </cell>
        </row>
        <row r="241">
          <cell r="B241" t="str">
            <v>IP Rings Ltd.</v>
          </cell>
        </row>
        <row r="242">
          <cell r="B242" t="str">
            <v>Ipca Laboratories Ltd.</v>
          </cell>
        </row>
        <row r="243">
          <cell r="B243" t="str">
            <v>Ispat Industries Ltd.</v>
          </cell>
        </row>
        <row r="244">
          <cell r="B244" t="str">
            <v>ITC Hotels Ltd.</v>
          </cell>
        </row>
        <row r="245">
          <cell r="B245" t="str">
            <v>ITC Ltd.</v>
          </cell>
        </row>
        <row r="246">
          <cell r="B246" t="str">
            <v>ITI Ltd.</v>
          </cell>
        </row>
        <row r="247">
          <cell r="B247" t="str">
            <v>IVRCL Infrastructures &amp; Projects Ltd.</v>
          </cell>
        </row>
        <row r="248">
          <cell r="B248" t="str">
            <v>J.B. Chemicals &amp; Pharmaceuticals Ltd.</v>
          </cell>
        </row>
        <row r="249">
          <cell r="B249" t="str">
            <v>J.K.Industries Ltd.</v>
          </cell>
        </row>
        <row r="250">
          <cell r="B250" t="str">
            <v>Jagatjit Industries Ltd.</v>
          </cell>
        </row>
        <row r="251">
          <cell r="B251" t="str">
            <v>Jai Prakash Industries Ltd.</v>
          </cell>
        </row>
        <row r="252">
          <cell r="B252" t="str">
            <v>Jay Shree Tea &amp; Industries Ltd.</v>
          </cell>
        </row>
        <row r="253">
          <cell r="B253" t="str">
            <v>Jayant Agro-Organics Ltd.</v>
          </cell>
        </row>
        <row r="254">
          <cell r="B254" t="str">
            <v>JCT Ltd.</v>
          </cell>
        </row>
        <row r="255">
          <cell r="B255" t="str">
            <v>Jindal Iron &amp; Steel Co Ltd.</v>
          </cell>
        </row>
        <row r="256">
          <cell r="B256" t="str">
            <v>Jindal Photo Films Ltd.</v>
          </cell>
        </row>
        <row r="257">
          <cell r="B257" t="str">
            <v>Jindal Steel &amp; Power Ltd.</v>
          </cell>
        </row>
        <row r="258">
          <cell r="B258" t="str">
            <v>Jindal Strips Ltd.</v>
          </cell>
        </row>
        <row r="259">
          <cell r="B259" t="str">
            <v>Jindal Vijayanagar Steel Ltd.</v>
          </cell>
        </row>
        <row r="260">
          <cell r="B260" t="str">
            <v>JK Corp Ltd.</v>
          </cell>
        </row>
        <row r="261">
          <cell r="B261" t="str">
            <v>Jubilant Organosys Ltd.</v>
          </cell>
        </row>
        <row r="262">
          <cell r="B262" t="str">
            <v>Jupiter Bioscience Ltd.</v>
          </cell>
        </row>
        <row r="263">
          <cell r="B263" t="str">
            <v>Jyoti Structures Ltd.</v>
          </cell>
        </row>
        <row r="264">
          <cell r="B264" t="str">
            <v>K.E.C. International Ltd.</v>
          </cell>
        </row>
        <row r="265">
          <cell r="B265" t="str">
            <v>Kajaria Ceramics Ltd.</v>
          </cell>
        </row>
        <row r="266">
          <cell r="B266" t="str">
            <v>Kale Consultants Ltd.</v>
          </cell>
        </row>
        <row r="267">
          <cell r="B267" t="str">
            <v>Kalpataru Power Transmission Ltd.</v>
          </cell>
        </row>
        <row r="268">
          <cell r="B268" t="str">
            <v>Kalyani Steels Ltd.</v>
          </cell>
        </row>
        <row r="269">
          <cell r="B269" t="str">
            <v>Kanoria Chemicals &amp; Industries Ltd.</v>
          </cell>
        </row>
        <row r="270">
          <cell r="B270" t="str">
            <v>KDL Biotech Ltd.</v>
          </cell>
        </row>
        <row r="271">
          <cell r="B271" t="str">
            <v>Kesoram Industries Ltd.</v>
          </cell>
        </row>
        <row r="272">
          <cell r="B272" t="str">
            <v>Kinetic Motor Co. Ltd.</v>
          </cell>
        </row>
        <row r="273">
          <cell r="B273" t="str">
            <v>Kirloskar Oil Engines Ltd.</v>
          </cell>
        </row>
        <row r="274">
          <cell r="B274" t="str">
            <v>Kochi Refineries Ltd.</v>
          </cell>
        </row>
        <row r="275">
          <cell r="B275" t="str">
            <v>Kodak India Ltd.</v>
          </cell>
        </row>
        <row r="276">
          <cell r="B276" t="str">
            <v>Kopran Ltd.</v>
          </cell>
        </row>
        <row r="277">
          <cell r="B277" t="str">
            <v>Kotak Mahindra Finance Ltd.</v>
          </cell>
        </row>
        <row r="278">
          <cell r="B278" t="str">
            <v>Kothari Products Ltd.</v>
          </cell>
        </row>
        <row r="279">
          <cell r="B279" t="str">
            <v>Krebs Biochemicals Ltd.</v>
          </cell>
        </row>
        <row r="280">
          <cell r="B280" t="str">
            <v>Krishna Lifestyle Technologies Ltd.</v>
          </cell>
        </row>
        <row r="281">
          <cell r="B281" t="str">
            <v>Krone Communications Ltd.</v>
          </cell>
        </row>
        <row r="282">
          <cell r="B282" t="str">
            <v>KSB Pumps Ltd.</v>
          </cell>
        </row>
        <row r="283">
          <cell r="B283" t="str">
            <v>L.M.L. Ltd.</v>
          </cell>
        </row>
        <row r="284">
          <cell r="B284" t="str">
            <v>Lakhani India Ltd.</v>
          </cell>
        </row>
        <row r="285">
          <cell r="B285" t="str">
            <v>Lakshmi Machine Works Ltd.</v>
          </cell>
        </row>
        <row r="286">
          <cell r="B286" t="str">
            <v>Larsen &amp; Toubro Ltd.</v>
          </cell>
        </row>
        <row r="287">
          <cell r="B287" t="str">
            <v>Lic Housing Finance Ltd.</v>
          </cell>
        </row>
        <row r="288">
          <cell r="B288" t="str">
            <v>Lloyds Steel Industries Ltd.</v>
          </cell>
        </row>
        <row r="289">
          <cell r="B289" t="str">
            <v>Lupin Ltd.</v>
          </cell>
        </row>
        <row r="290">
          <cell r="B290" t="str">
            <v>M.R.F. Ltd.</v>
          </cell>
        </row>
        <row r="291">
          <cell r="B291" t="str">
            <v>Macmillan India Ltd.</v>
          </cell>
        </row>
        <row r="292">
          <cell r="B292" t="str">
            <v>Madras Aluminium Co. Ltd.</v>
          </cell>
        </row>
        <row r="293">
          <cell r="B293" t="str">
            <v>Madras Cements Ltd.</v>
          </cell>
        </row>
        <row r="294">
          <cell r="B294" t="str">
            <v>Madura Coats Ltd.</v>
          </cell>
        </row>
        <row r="295">
          <cell r="B295" t="str">
            <v>Mahanagar Telephone Nigam Ltd.</v>
          </cell>
        </row>
        <row r="296">
          <cell r="B296" t="str">
            <v>Maharashtra Seamless Ltd.</v>
          </cell>
        </row>
        <row r="297">
          <cell r="B297" t="str">
            <v>Mahavir Spg. Mills Ltd.</v>
          </cell>
        </row>
        <row r="298">
          <cell r="B298" t="str">
            <v>Mahindra &amp; Mahindra Ltd.</v>
          </cell>
        </row>
        <row r="299">
          <cell r="B299" t="str">
            <v>Mahindra Gesco Developers Ltd.</v>
          </cell>
        </row>
        <row r="300">
          <cell r="B300" t="str">
            <v>Mangalore Chemicals &amp; Fertilisers Ltd.</v>
          </cell>
        </row>
        <row r="301">
          <cell r="B301" t="str">
            <v>Mangalore Refinery &amp; Petrochemicals Ltd.</v>
          </cell>
        </row>
        <row r="302">
          <cell r="B302" t="str">
            <v>Maral Overseas Ltd.</v>
          </cell>
        </row>
        <row r="303">
          <cell r="B303" t="str">
            <v>Marico Industries Ltd.</v>
          </cell>
        </row>
        <row r="304">
          <cell r="B304" t="str">
            <v>Mascon Global Ltd.</v>
          </cell>
        </row>
        <row r="305">
          <cell r="B305" t="str">
            <v>Mascot Systems Ltd.</v>
          </cell>
        </row>
        <row r="306">
          <cell r="B306" t="str">
            <v>Mastek Ltd.</v>
          </cell>
        </row>
        <row r="307">
          <cell r="B307" t="str">
            <v>Matsushita Television &amp; Audio India</v>
          </cell>
        </row>
        <row r="308">
          <cell r="B308" t="str">
            <v>Max India Ltd.</v>
          </cell>
        </row>
        <row r="309">
          <cell r="B309" t="str">
            <v>McDowell &amp; Company Ltd.</v>
          </cell>
        </row>
        <row r="310">
          <cell r="B310" t="str">
            <v>Merck Ltd.</v>
          </cell>
        </row>
        <row r="311">
          <cell r="B311" t="str">
            <v>Mid-Day Multimedia Ltd.</v>
          </cell>
        </row>
        <row r="312">
          <cell r="B312" t="str">
            <v>Mirc Electronics Ltd.</v>
          </cell>
        </row>
        <row r="313">
          <cell r="B313" t="str">
            <v>Mirza Tanners Ltd.</v>
          </cell>
        </row>
        <row r="314">
          <cell r="B314" t="str">
            <v>Modi Rubber Ltd.</v>
          </cell>
        </row>
        <row r="315">
          <cell r="B315" t="str">
            <v>Monsanto India Ltd.</v>
          </cell>
        </row>
        <row r="316">
          <cell r="B316" t="str">
            <v>Morepen Laboratories Ltd.</v>
          </cell>
        </row>
        <row r="317">
          <cell r="B317" t="str">
            <v>Moser-Baer (India) Ltd.</v>
          </cell>
        </row>
        <row r="318">
          <cell r="B318" t="str">
            <v>Motherson Sumi Systems Ltd.</v>
          </cell>
        </row>
        <row r="319">
          <cell r="B319" t="str">
            <v>Motor Industries Co. Ltd.</v>
          </cell>
        </row>
        <row r="320">
          <cell r="B320" t="str">
            <v>Mphasis BFL Ltd.</v>
          </cell>
        </row>
        <row r="321">
          <cell r="B321" t="str">
            <v>MRO-TEK Ltd.</v>
          </cell>
        </row>
        <row r="322">
          <cell r="B322" t="str">
            <v>Mukand Engineers Ltd.</v>
          </cell>
        </row>
        <row r="323">
          <cell r="B323" t="str">
            <v>Mukand Ltd.</v>
          </cell>
        </row>
        <row r="324">
          <cell r="B324" t="str">
            <v>Mukta Arts Ltd.</v>
          </cell>
        </row>
        <row r="325">
          <cell r="B325" t="str">
            <v>Munjal Showa Ltd.</v>
          </cell>
        </row>
        <row r="326">
          <cell r="B326" t="str">
            <v>Mysore Cements Ltd.</v>
          </cell>
        </row>
        <row r="327">
          <cell r="B327" t="str">
            <v>Nagarjuna Fertiliser &amp; Chem. Ltd.</v>
          </cell>
        </row>
        <row r="328">
          <cell r="B328" t="str">
            <v>Nahar Exports Ltd.</v>
          </cell>
        </row>
        <row r="329">
          <cell r="B329" t="str">
            <v>Nahar Spinning Mills Ltd.</v>
          </cell>
        </row>
        <row r="330">
          <cell r="B330" t="str">
            <v>Narmada Chematur Petrochemicals Ltd.</v>
          </cell>
        </row>
        <row r="331">
          <cell r="B331" t="str">
            <v>Nath Seeds Ltd.</v>
          </cell>
        </row>
        <row r="332">
          <cell r="B332" t="str">
            <v>National Aluminium Co. Ltd.</v>
          </cell>
        </row>
        <row r="333">
          <cell r="B333" t="str">
            <v>National Organic Chemical Industries Ltd.</v>
          </cell>
        </row>
        <row r="334">
          <cell r="B334" t="str">
            <v>Navneet Publications (India) Ltd.</v>
          </cell>
        </row>
        <row r="335">
          <cell r="B335" t="str">
            <v>Nelco Ltd.</v>
          </cell>
        </row>
        <row r="336">
          <cell r="B336" t="str">
            <v>Nestle India Ltd.</v>
          </cell>
        </row>
        <row r="337">
          <cell r="B337" t="str">
            <v>Neyveli Lignite Corporation Ltd.</v>
          </cell>
        </row>
        <row r="338">
          <cell r="B338" t="str">
            <v>Nicholas Piramal India Ltd.</v>
          </cell>
        </row>
        <row r="339">
          <cell r="B339" t="str">
            <v>NIIT Ltd.</v>
          </cell>
        </row>
        <row r="340">
          <cell r="B340" t="str">
            <v>Nilkamal Plastics Ltd.</v>
          </cell>
        </row>
        <row r="341">
          <cell r="B341" t="str">
            <v>Nirma Ltd.</v>
          </cell>
        </row>
        <row r="342">
          <cell r="B342" t="str">
            <v>Novartis India Ltd.</v>
          </cell>
        </row>
        <row r="343">
          <cell r="B343" t="str">
            <v>NRB Bearings Ltd.</v>
          </cell>
        </row>
        <row r="344">
          <cell r="B344" t="str">
            <v>Oil And Natural Gas Corporation Ltd.</v>
          </cell>
        </row>
        <row r="345">
          <cell r="B345" t="str">
            <v>Oil Country Tubular Ltd.</v>
          </cell>
        </row>
        <row r="346">
          <cell r="B346" t="str">
            <v>Onward Technologies Ltd.</v>
          </cell>
        </row>
        <row r="347">
          <cell r="B347" t="str">
            <v>Orchid Chemicals &amp; Pharmaceuticals</v>
          </cell>
        </row>
        <row r="348">
          <cell r="B348" t="str">
            <v>Oriental Bank Of Commerce</v>
          </cell>
        </row>
        <row r="349">
          <cell r="B349" t="str">
            <v>Oriental Hotels Ltd.</v>
          </cell>
        </row>
        <row r="350">
          <cell r="B350" t="str">
            <v>Oswal Agro Mills Ltd.</v>
          </cell>
        </row>
        <row r="351">
          <cell r="B351" t="str">
            <v>Oswal Chemicals &amp; Fertilizers Ltd.</v>
          </cell>
        </row>
        <row r="352">
          <cell r="B352" t="str">
            <v>Panacea Biotec Ltd.</v>
          </cell>
        </row>
        <row r="353">
          <cell r="B353" t="str">
            <v>Paper Products Ltd.</v>
          </cell>
        </row>
        <row r="354">
          <cell r="B354" t="str">
            <v>Parekh Platinum Ltd.</v>
          </cell>
        </row>
        <row r="355">
          <cell r="B355" t="str">
            <v>Parke Davis (India) Ltd.</v>
          </cell>
        </row>
        <row r="356">
          <cell r="B356" t="str">
            <v>Pentamedia Graphics Ltd.</v>
          </cell>
        </row>
        <row r="357">
          <cell r="B357" t="str">
            <v>Pentasoft Technologies Ltd.</v>
          </cell>
        </row>
        <row r="358">
          <cell r="B358" t="str">
            <v>Pfizer Ltd.</v>
          </cell>
        </row>
        <row r="359">
          <cell r="B359" t="str">
            <v>Pharmacia Healthcare Ltd.</v>
          </cell>
        </row>
        <row r="360">
          <cell r="B360" t="str">
            <v>Philips India Ltd.</v>
          </cell>
        </row>
        <row r="361">
          <cell r="B361" t="str">
            <v>Pidilite Industries Ltd.</v>
          </cell>
        </row>
        <row r="362">
          <cell r="B362" t="str">
            <v>PNB Gilts Ltd.</v>
          </cell>
        </row>
        <row r="363">
          <cell r="B363" t="str">
            <v>Polaris Software Lab Ltd.</v>
          </cell>
        </row>
        <row r="364">
          <cell r="B364" t="str">
            <v>Prism Cement Ltd.</v>
          </cell>
        </row>
        <row r="365">
          <cell r="B365" t="str">
            <v>Priyadarshini Cement Ltd.</v>
          </cell>
        </row>
        <row r="366">
          <cell r="B366" t="str">
            <v>Procter &amp; Gamble Hygiene &amp; Health Care Ltd.</v>
          </cell>
        </row>
        <row r="367">
          <cell r="B367" t="str">
            <v>PSI Data Systems Ltd.</v>
          </cell>
        </row>
        <row r="368">
          <cell r="B368" t="str">
            <v>PSL Holdings Ltd.</v>
          </cell>
        </row>
        <row r="369">
          <cell r="B369" t="str">
            <v>Punjab Anand Lamp Industries Ltd.</v>
          </cell>
        </row>
        <row r="370">
          <cell r="B370" t="str">
            <v>Punjab Communications Ltd.</v>
          </cell>
        </row>
        <row r="371">
          <cell r="B371" t="str">
            <v>Punjab National Bank</v>
          </cell>
        </row>
        <row r="372">
          <cell r="B372" t="str">
            <v>Punjab Tractors Ltd.</v>
          </cell>
        </row>
        <row r="373">
          <cell r="B373" t="str">
            <v>R S Software India Ltd.</v>
          </cell>
        </row>
        <row r="374">
          <cell r="B374" t="str">
            <v>Rain Calcining Ltd.</v>
          </cell>
        </row>
        <row r="375">
          <cell r="B375" t="str">
            <v>Rallis India Ltd.</v>
          </cell>
        </row>
        <row r="376">
          <cell r="B376" t="str">
            <v>Rama Newsprint &amp; Papers Ltd.</v>
          </cell>
        </row>
        <row r="377">
          <cell r="B377" t="str">
            <v>Ramco Systems Ltd.</v>
          </cell>
        </row>
        <row r="378">
          <cell r="B378" t="str">
            <v>Ranbaxy Laboratories Ltd.</v>
          </cell>
        </row>
        <row r="379">
          <cell r="B379" t="str">
            <v>Rashtriya Chemicals &amp; Fertilizers Ltd.</v>
          </cell>
        </row>
        <row r="380">
          <cell r="B380" t="str">
            <v>Rayban Sun Optics India Ltd.</v>
          </cell>
        </row>
        <row r="381">
          <cell r="B381" t="str">
            <v>Raymond Ltd.</v>
          </cell>
        </row>
        <row r="382">
          <cell r="B382" t="str">
            <v>Reliance Capital Ltd.</v>
          </cell>
        </row>
        <row r="383">
          <cell r="B383" t="str">
            <v>Reliance Industrial Infrastructure</v>
          </cell>
        </row>
        <row r="384">
          <cell r="B384" t="str">
            <v>Reliance Industries Ltd.</v>
          </cell>
        </row>
        <row r="385">
          <cell r="B385" t="str">
            <v>Revathi Equipment Ltd.</v>
          </cell>
        </row>
        <row r="386">
          <cell r="B386" t="str">
            <v>Rolta India Ltd.</v>
          </cell>
        </row>
        <row r="387">
          <cell r="B387" t="str">
            <v>Roofit Industries Ltd.</v>
          </cell>
        </row>
        <row r="388">
          <cell r="B388" t="str">
            <v>RPG Cables Ltd.</v>
          </cell>
        </row>
        <row r="389">
          <cell r="B389" t="str">
            <v>RPG Life Sciences Ltd.</v>
          </cell>
        </row>
        <row r="390">
          <cell r="B390" t="str">
            <v>Ruchi Soya Industries Ltd.</v>
          </cell>
        </row>
        <row r="391">
          <cell r="B391" t="str">
            <v>Saint-Gobain Sekurit India Ltd.</v>
          </cell>
        </row>
        <row r="392">
          <cell r="B392" t="str">
            <v>Salora International Ltd.</v>
          </cell>
        </row>
        <row r="393">
          <cell r="B393" t="str">
            <v>Samtel Colour Ltd.</v>
          </cell>
        </row>
        <row r="394">
          <cell r="B394" t="str">
            <v>Saregama India Ltd.</v>
          </cell>
        </row>
        <row r="395">
          <cell r="B395" t="str">
            <v>Satyam Computer Services Ltd.</v>
          </cell>
        </row>
        <row r="396">
          <cell r="B396" t="str">
            <v>Saw Pipes Ltd.</v>
          </cell>
        </row>
        <row r="397">
          <cell r="B397" t="str">
            <v>Sesa Goa Ltd.</v>
          </cell>
        </row>
        <row r="398">
          <cell r="B398" t="str">
            <v>Shasun Chemicals And Drugs Ltd.</v>
          </cell>
        </row>
        <row r="399">
          <cell r="B399" t="str">
            <v>Shaw Wallace &amp; Co. Ltd.</v>
          </cell>
        </row>
        <row r="400">
          <cell r="B400" t="str">
            <v>Shipping Corporation Of India Ltd.</v>
          </cell>
        </row>
        <row r="401">
          <cell r="B401" t="str">
            <v>Shree Cements Ltd.</v>
          </cell>
        </row>
        <row r="402">
          <cell r="B402" t="str">
            <v>Shree Rama Multi-tech Ltd.</v>
          </cell>
        </row>
        <row r="403">
          <cell r="B403" t="str">
            <v>Shyam Telecom Ltd.</v>
          </cell>
        </row>
        <row r="404">
          <cell r="B404" t="str">
            <v>Siemens Ltd.</v>
          </cell>
        </row>
        <row r="405">
          <cell r="B405" t="str">
            <v>Siltap Chemicals Ltd.</v>
          </cell>
        </row>
        <row r="406">
          <cell r="B406" t="str">
            <v>Silverline Technologies Ltd.</v>
          </cell>
        </row>
        <row r="407">
          <cell r="B407" t="str">
            <v>Skanska Cementation India Ltd.</v>
          </cell>
        </row>
        <row r="408">
          <cell r="B408" t="str">
            <v>SKF Bearings (India) Ltd.</v>
          </cell>
        </row>
        <row r="409">
          <cell r="B409" t="str">
            <v>Snowcem India Ltd.</v>
          </cell>
        </row>
        <row r="410">
          <cell r="B410" t="str">
            <v>Solectron Centum Electronics Ltd.</v>
          </cell>
        </row>
        <row r="411">
          <cell r="B411" t="str">
            <v>Sonata Software Ltd.</v>
          </cell>
        </row>
        <row r="412">
          <cell r="B412" t="str">
            <v>Southern Petrochemicals</v>
          </cell>
        </row>
        <row r="413">
          <cell r="B413" t="str">
            <v>SRF Ltd.</v>
          </cell>
        </row>
        <row r="414">
          <cell r="B414" t="str">
            <v>Sri Adhikari Brothers Television Network</v>
          </cell>
        </row>
        <row r="415">
          <cell r="B415" t="str">
            <v>SSI Ltd.</v>
          </cell>
        </row>
        <row r="416">
          <cell r="B416" t="str">
            <v>State Bank Of India</v>
          </cell>
        </row>
        <row r="417">
          <cell r="B417" t="str">
            <v>Steel Authority of India Ltd.</v>
          </cell>
        </row>
        <row r="418">
          <cell r="B418" t="str">
            <v>Sterling Biotech Ltd.</v>
          </cell>
        </row>
        <row r="419">
          <cell r="B419" t="str">
            <v>Sterlite Optical Technoligies Ltd.</v>
          </cell>
        </row>
        <row r="420">
          <cell r="B420" t="str">
            <v>Subex Systems Ltd.</v>
          </cell>
        </row>
        <row r="421">
          <cell r="B421" t="str">
            <v>Sun Earth Ceramics Ltd.</v>
          </cell>
        </row>
        <row r="422">
          <cell r="B422" t="str">
            <v>Sun Pharmaceutical Industries Ltd.</v>
          </cell>
        </row>
        <row r="423">
          <cell r="B423" t="str">
            <v>Sundaram Clayton Ltd.</v>
          </cell>
        </row>
        <row r="424">
          <cell r="B424" t="str">
            <v>Sundram Fasteners Ltd.</v>
          </cell>
        </row>
        <row r="425">
          <cell r="B425" t="str">
            <v>Supreme Industries Ltd.</v>
          </cell>
        </row>
        <row r="426">
          <cell r="B426" t="str">
            <v>Supreme Petrochem Ltd.</v>
          </cell>
        </row>
        <row r="427">
          <cell r="B427" t="str">
            <v>Su-raj Diamonds and Jewellery Ltd.</v>
          </cell>
        </row>
        <row r="428">
          <cell r="B428" t="str">
            <v>Suven Pharmaceuticals Ltd.</v>
          </cell>
        </row>
        <row r="429">
          <cell r="B429" t="str">
            <v>Swaraj Engines Ltd.</v>
          </cell>
        </row>
        <row r="430">
          <cell r="B430" t="str">
            <v>Swaraj Mazda Ltd.</v>
          </cell>
        </row>
        <row r="431">
          <cell r="B431" t="str">
            <v>Syngenta India Ltd.</v>
          </cell>
        </row>
        <row r="432">
          <cell r="B432" t="str">
            <v>Tamil Nadu Newsprint And Papers Ltd.</v>
          </cell>
        </row>
        <row r="433">
          <cell r="B433" t="str">
            <v>Tamilnadu Petroproducts Ltd.</v>
          </cell>
        </row>
        <row r="434">
          <cell r="B434" t="str">
            <v>Tata Chemicals Ltd.</v>
          </cell>
        </row>
        <row r="435">
          <cell r="B435" t="str">
            <v>Tata Elxsi Ltd.</v>
          </cell>
        </row>
        <row r="436">
          <cell r="B436" t="str">
            <v>Tata Engg. &amp; Loco. Co. Ltd.</v>
          </cell>
        </row>
        <row r="437">
          <cell r="B437" t="str">
            <v>Tata Finance Ltd.</v>
          </cell>
        </row>
        <row r="438">
          <cell r="B438" t="str">
            <v>Tata Honeywell Ltd.</v>
          </cell>
        </row>
        <row r="439">
          <cell r="B439" t="str">
            <v>Tata Infomedia Ltd.</v>
          </cell>
        </row>
        <row r="440">
          <cell r="B440" t="str">
            <v>Tata Infotech Ltd.</v>
          </cell>
        </row>
        <row r="441">
          <cell r="B441" t="str">
            <v>Tata Investment Corporation Ltd.</v>
          </cell>
        </row>
        <row r="442">
          <cell r="B442" t="str">
            <v>Tata Iron &amp; Steel Co. Ltd.</v>
          </cell>
        </row>
        <row r="443">
          <cell r="B443" t="str">
            <v>Tata Power Co. Ltd.</v>
          </cell>
        </row>
        <row r="444">
          <cell r="B444" t="str">
            <v>Tata Tea Ltd.</v>
          </cell>
        </row>
        <row r="445">
          <cell r="B445" t="str">
            <v>Tata Telecom Ltd.</v>
          </cell>
        </row>
        <row r="446">
          <cell r="B446" t="str">
            <v>Tata Teleservices (Maharashtra) Ltd.</v>
          </cell>
        </row>
        <row r="447">
          <cell r="B447" t="str">
            <v>Television Eighteen India Ltd.</v>
          </cell>
        </row>
        <row r="448">
          <cell r="B448" t="str">
            <v>Thermax Ltd.</v>
          </cell>
        </row>
        <row r="449">
          <cell r="B449" t="str">
            <v>Thirumalai Chemicals Ltd.</v>
          </cell>
        </row>
        <row r="450">
          <cell r="B450" t="str">
            <v>Thomas Cook (India) Ltd.</v>
          </cell>
        </row>
        <row r="451">
          <cell r="B451" t="str">
            <v>Timex Watches Ltd.</v>
          </cell>
        </row>
        <row r="452">
          <cell r="B452" t="str">
            <v>Timken India Ltd.</v>
          </cell>
        </row>
        <row r="453">
          <cell r="B453" t="str">
            <v>Tips Industries Ltd.</v>
          </cell>
        </row>
        <row r="454">
          <cell r="B454" t="str">
            <v>Titan Industries Ltd.</v>
          </cell>
        </row>
        <row r="455">
          <cell r="B455" t="str">
            <v>Torrent Pharmaceuticals Ltd.</v>
          </cell>
        </row>
        <row r="456">
          <cell r="B456" t="str">
            <v>Tourism Finance Corpn. Of India Ltd.</v>
          </cell>
        </row>
        <row r="457">
          <cell r="B457" t="str">
            <v>Trent Ltd.</v>
          </cell>
        </row>
        <row r="458">
          <cell r="B458" t="str">
            <v>Trigyn Technologies Ltd.</v>
          </cell>
        </row>
        <row r="459">
          <cell r="B459" t="str">
            <v>Tube Investments of India Ltd.</v>
          </cell>
        </row>
        <row r="460">
          <cell r="B460" t="str">
            <v>TVS Electronics Ltd.</v>
          </cell>
        </row>
        <row r="461">
          <cell r="B461" t="str">
            <v>TVS Motor Company Ltd.</v>
          </cell>
        </row>
        <row r="462">
          <cell r="B462" t="str">
            <v>Ultramarine &amp; Pigments Ltd.</v>
          </cell>
        </row>
        <row r="463">
          <cell r="B463" t="str">
            <v>Unichem Laboratories Ltd.</v>
          </cell>
        </row>
        <row r="464">
          <cell r="B464" t="str">
            <v>Union Bank of India</v>
          </cell>
        </row>
        <row r="465">
          <cell r="B465" t="str">
            <v>Unitech Ltd.</v>
          </cell>
        </row>
        <row r="466">
          <cell r="B466" t="str">
            <v>United Breweries Ltd.</v>
          </cell>
        </row>
        <row r="467">
          <cell r="B467" t="str">
            <v>United Phosphorus Ltd.</v>
          </cell>
        </row>
        <row r="468">
          <cell r="B468" t="str">
            <v>Usha Beltron Ltd.</v>
          </cell>
        </row>
        <row r="469">
          <cell r="B469" t="str">
            <v>UTI Bank Ltd.</v>
          </cell>
        </row>
        <row r="470">
          <cell r="B470" t="str">
            <v>V.I.P. Industries Ltd.</v>
          </cell>
        </row>
        <row r="471">
          <cell r="B471" t="str">
            <v>Vardhaman Spinning &amp; Gen. Mills Ltd.</v>
          </cell>
        </row>
        <row r="472">
          <cell r="B472" t="str">
            <v>Varun Shipping Co. Ltd.</v>
          </cell>
        </row>
        <row r="473">
          <cell r="B473" t="str">
            <v>Vashisti Detergents Ltd.</v>
          </cell>
        </row>
        <row r="474">
          <cell r="B474" t="str">
            <v>Venkys (India) Ltd.</v>
          </cell>
        </row>
        <row r="475">
          <cell r="B475" t="str">
            <v>Vesuvius India Ltd.</v>
          </cell>
        </row>
        <row r="476">
          <cell r="B476" t="str">
            <v>Videocon Appliances Ltd.</v>
          </cell>
        </row>
        <row r="477">
          <cell r="B477" t="str">
            <v>Videocon International Ltd.</v>
          </cell>
        </row>
        <row r="478">
          <cell r="B478" t="str">
            <v>Videsh Sanchar Nigam Ltd.</v>
          </cell>
        </row>
        <row r="479">
          <cell r="B479" t="str">
            <v>Vikas WSP Ltd.</v>
          </cell>
        </row>
        <row r="480">
          <cell r="B480" t="str">
            <v>Vindhya Telelinks Ltd.</v>
          </cell>
        </row>
        <row r="481">
          <cell r="B481" t="str">
            <v>Visualsoft Technologies Ltd.</v>
          </cell>
        </row>
        <row r="482">
          <cell r="B482" t="str">
            <v>Voltas Ltd.</v>
          </cell>
        </row>
        <row r="483">
          <cell r="B483" t="str">
            <v>VST Industries Ltd.</v>
          </cell>
        </row>
        <row r="484">
          <cell r="B484" t="str">
            <v>Vysya Bank Ltd.</v>
          </cell>
        </row>
        <row r="485">
          <cell r="B485" t="str">
            <v>Warren Tea Ltd.</v>
          </cell>
        </row>
        <row r="486">
          <cell r="B486" t="str">
            <v>Wartsila India Ltd.</v>
          </cell>
        </row>
        <row r="487">
          <cell r="B487" t="str">
            <v>Welspun -Gujarat Stahl Rohren Ltd.</v>
          </cell>
        </row>
        <row r="488">
          <cell r="B488" t="str">
            <v>Welspun India Ltd.</v>
          </cell>
        </row>
        <row r="489">
          <cell r="B489" t="str">
            <v>Whirlpool of India Ltd.</v>
          </cell>
        </row>
        <row r="490">
          <cell r="B490" t="str">
            <v>Widia (india) Ltd.</v>
          </cell>
        </row>
        <row r="491">
          <cell r="B491" t="str">
            <v>Wimco Ltd.</v>
          </cell>
        </row>
        <row r="492">
          <cell r="B492" t="str">
            <v>Wipro Ltd.</v>
          </cell>
        </row>
        <row r="493">
          <cell r="B493" t="str">
            <v>Wockhardt Life Sciences Ltd.</v>
          </cell>
        </row>
        <row r="494">
          <cell r="B494" t="str">
            <v>Wockhardt Ltd.</v>
          </cell>
        </row>
        <row r="495">
          <cell r="B495" t="str">
            <v>Wyeth Lederle Ltd.</v>
          </cell>
        </row>
        <row r="496">
          <cell r="B496" t="str">
            <v>Yokogawa Blue Star Ltd.</v>
          </cell>
        </row>
        <row r="497">
          <cell r="B497" t="str">
            <v>Zandu Pharmaceuticals Works Ltd.</v>
          </cell>
        </row>
        <row r="498">
          <cell r="B498" t="str">
            <v>Zee Telefilms Ltd.</v>
          </cell>
        </row>
        <row r="499">
          <cell r="B499" t="str">
            <v>Zensar Technologies Ltd.</v>
          </cell>
        </row>
        <row r="500">
          <cell r="B500" t="str">
            <v>Zuari Industries Ltd.</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sheetName val="PLANT MACHINERY"/>
      <sheetName val="FURNITURE"/>
      <sheetName val="VEHICLE"/>
      <sheetName val="ASSET_ADD"/>
      <sheetName val="Asset Schedule"/>
      <sheetName val="ASSET_SCHEDULE Tiljala"/>
      <sheetName val="L"/>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sheetName val="PLANT MACHINERY"/>
      <sheetName val="FURNITURE"/>
      <sheetName val="VEHICLE"/>
      <sheetName val="ASSET_ADD"/>
      <sheetName val="Asset Schedule"/>
      <sheetName val="ASSET_SCHEDULE Tiljala"/>
      <sheetName val="L"/>
      <sheetName val="PLANT_MACHINERY"/>
      <sheetName val="Asset_Schedule"/>
      <sheetName val="ASSET_SCHEDULE_Tiljala"/>
      <sheetName val="PLANT_MACHINERY1"/>
      <sheetName val="Asset_Schedule1"/>
      <sheetName val="ASSET_SCHEDULE_Tiljala1"/>
      <sheetName val="PLANT_MACHINERY2"/>
      <sheetName val="Asset_Schedule2"/>
      <sheetName val="ASSET_SCHEDULE_Tiljal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sheetName val="PLANT MACHINERY"/>
      <sheetName val="FURNITURE"/>
      <sheetName val="VEHICLE"/>
      <sheetName val="ASSET_ADD"/>
      <sheetName val="Asset Schedule"/>
      <sheetName val="ASSET_SCHEDULE Tiljala"/>
      <sheetName val="L"/>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ed Parties"/>
      <sheetName val="P&amp;L"/>
      <sheetName val="BS"/>
      <sheetName val="VARIANCE ANALYSIS "/>
      <sheetName val="Sch 1-4"/>
      <sheetName val="Sch-5"/>
      <sheetName val="Sch-6-11"/>
      <sheetName val="Sch 12 &amp;13"/>
      <sheetName val="P&amp;L Sch 14-16"/>
      <sheetName val="P&amp;L Sch 17-19"/>
      <sheetName val="Data Entry"/>
      <sheetName val="TRIAL BALANCE (2)"/>
      <sheetName val="TRIAL BALANCE"/>
      <sheetName val="TB Download"/>
      <sheetName val="TBdownload-2002"/>
      <sheetName val="CC wise Download"/>
      <sheetName val="SIF P&amp;L BS"/>
      <sheetName val="SIF P&amp;L"/>
      <sheetName val="SIF Workings"/>
      <sheetName val="SIF Results Back up"/>
      <sheetName val="PROVISIONS"/>
      <sheetName val="Pl-Incl"/>
      <sheetName val="pl-Excl"/>
      <sheetName val="sch-IV"/>
      <sheetName val="Related_Parties1"/>
      <sheetName val="VARIANCE_ANALYSIS_1"/>
      <sheetName val="Sch_1-41"/>
      <sheetName val="Sch_12_&amp;131"/>
      <sheetName val="P&amp;L_Sch_14-161"/>
      <sheetName val="P&amp;L_Sch_17-191"/>
      <sheetName val="Data_Entry1"/>
      <sheetName val="TRIAL_BALANCE_(2)1"/>
      <sheetName val="TRIAL_BALANCE1"/>
      <sheetName val="TB_Download1"/>
      <sheetName val="CC_wise_Download1"/>
      <sheetName val="SIF_P&amp;L_BS1"/>
      <sheetName val="SIF_P&amp;L1"/>
      <sheetName val="SIF_Workings1"/>
      <sheetName val="SIF_Results_Back_up1"/>
      <sheetName val="Related_Parties"/>
      <sheetName val="VARIANCE_ANALYSIS_"/>
      <sheetName val="Sch_1-4"/>
      <sheetName val="Sch_12_&amp;13"/>
      <sheetName val="P&amp;L_Sch_14-16"/>
      <sheetName val="P&amp;L_Sch_17-19"/>
      <sheetName val="Data_Entry"/>
      <sheetName val="TRIAL_BALANCE_(2)"/>
      <sheetName val="TRIAL_BALANCE"/>
      <sheetName val="TB_Download"/>
      <sheetName val="CC_wise_Download"/>
      <sheetName val="SIF_P&amp;L_BS"/>
      <sheetName val="SIF_P&amp;L"/>
      <sheetName val="SIF_Workings"/>
      <sheetName val="SIF_Results_Back_up"/>
      <sheetName val="Related_Parties2"/>
      <sheetName val="VARIANCE_ANALYSIS_2"/>
      <sheetName val="Sch_1-42"/>
      <sheetName val="Sch_12_&amp;132"/>
      <sheetName val="P&amp;L_Sch_14-162"/>
      <sheetName val="P&amp;L_Sch_17-192"/>
      <sheetName val="Data_Entry2"/>
      <sheetName val="TRIAL_BALANCE_(2)2"/>
      <sheetName val="TRIAL_BALANCE2"/>
      <sheetName val="TB_Download2"/>
      <sheetName val="CC_wise_Download2"/>
      <sheetName val="SIF_P&amp;L_BS2"/>
      <sheetName val="SIF_P&amp;L2"/>
      <sheetName val="SIF_Workings2"/>
      <sheetName val="SIF_Results_Back_u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an Jvmar06"/>
      <sheetName val="BS"/>
      <sheetName val="cashflow"/>
      <sheetName val="PL"/>
      <sheetName val="Schedules"/>
      <sheetName val="FA schedule"/>
      <sheetName val="Sch22"/>
      <sheetName val="Inv"/>
      <sheetName val="BS sub sh"/>
      <sheetName val="Invest. thousand"/>
      <sheetName val="Investments"/>
      <sheetName val="pubres"/>
      <sheetName val="Sheet1"/>
      <sheetName val="Income"/>
      <sheetName val="Exp"/>
      <sheetName val="Leave encashement"/>
      <sheetName val="TB APJ"/>
      <sheetName val="Variance"/>
      <sheetName val="vari-1"/>
      <sheetName val="TB WORLI"/>
      <sheetName val="deftax"/>
      <sheetName val="Quar ABNL"/>
      <sheetName val="it depr."/>
      <sheetName val="FASCHEDULE"/>
      <sheetName val="G SecST&amp;LT "/>
      <sheetName val="itcomp"/>
      <sheetName val="ratio analysi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8">
          <cell r="B48">
            <v>0</v>
          </cell>
        </row>
        <row r="109">
          <cell r="B109">
            <v>-100000</v>
          </cell>
        </row>
        <row r="125">
          <cell r="B125">
            <v>0</v>
          </cell>
        </row>
        <row r="131">
          <cell r="B131">
            <v>-37516</v>
          </cell>
        </row>
      </sheetData>
      <sheetData sheetId="17" refreshError="1"/>
      <sheetData sheetId="18" refreshError="1"/>
      <sheetData sheetId="19">
        <row r="8">
          <cell r="B8">
            <v>-21000</v>
          </cell>
        </row>
        <row r="18">
          <cell r="B18">
            <v>0</v>
          </cell>
        </row>
        <row r="22">
          <cell r="B22">
            <v>0</v>
          </cell>
        </row>
        <row r="23">
          <cell r="B23">
            <v>0</v>
          </cell>
        </row>
        <row r="33">
          <cell r="B33">
            <v>158708</v>
          </cell>
        </row>
        <row r="43">
          <cell r="B43">
            <v>-71843</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an Jvmar06"/>
      <sheetName val="BS"/>
      <sheetName val="cashflow"/>
      <sheetName val="PL"/>
      <sheetName val="Schedules"/>
      <sheetName val="FA schedule"/>
      <sheetName val="Sch22"/>
      <sheetName val="BS sub sh"/>
      <sheetName val="Invest. thousand"/>
      <sheetName val="Investments"/>
      <sheetName val="pubres"/>
      <sheetName val="Sheet1"/>
      <sheetName val="Income"/>
      <sheetName val="Exp"/>
      <sheetName val="Leave encashement"/>
      <sheetName val="TB APJ"/>
      <sheetName val="TB WORLI"/>
      <sheetName val="deftax"/>
      <sheetName val="Quar ABNL"/>
      <sheetName val="it depr."/>
      <sheetName val="FASCHEDULE"/>
      <sheetName val="G SecST&amp;LT "/>
      <sheetName val="itcomp"/>
      <sheetName val="ratio analysis"/>
      <sheetName val="Hyperian_Jvmar061"/>
      <sheetName val="FA_schedule1"/>
      <sheetName val="BS_sub_sh1"/>
      <sheetName val="Invest__thousand1"/>
      <sheetName val="Leave_encashement1"/>
      <sheetName val="TB_APJ1"/>
      <sheetName val="TB_WORLI1"/>
      <sheetName val="Quar_ABNL1"/>
      <sheetName val="it_depr_1"/>
      <sheetName val="G_SecST&amp;LT_1"/>
      <sheetName val="ratio_analysis1"/>
      <sheetName val="Hyperian_Jvmar06"/>
      <sheetName val="FA_schedule"/>
      <sheetName val="BS_sub_sh"/>
      <sheetName val="Invest__thousand"/>
      <sheetName val="Leave_encashement"/>
      <sheetName val="TB_APJ"/>
      <sheetName val="TB_WORLI"/>
      <sheetName val="Quar_ABNL"/>
      <sheetName val="it_depr_"/>
      <sheetName val="G_SecST&amp;LT_"/>
      <sheetName val="ratio_analysis"/>
      <sheetName val="Hyperian_Jvmar062"/>
      <sheetName val="FA_schedule2"/>
      <sheetName val="BS_sub_sh2"/>
      <sheetName val="Invest__thousand2"/>
      <sheetName val="Leave_encashement2"/>
      <sheetName val="TB_APJ2"/>
      <sheetName val="TB_WORLI2"/>
      <sheetName val="Quar_ABNL2"/>
      <sheetName val="it_depr_2"/>
      <sheetName val="G_SecST&amp;LT_2"/>
      <sheetName val="ratio_analysi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B7">
            <v>223033</v>
          </cell>
        </row>
        <row r="8">
          <cell r="B8">
            <v>-14075776</v>
          </cell>
        </row>
        <row r="9">
          <cell r="B9">
            <v>-3626817</v>
          </cell>
        </row>
        <row r="10">
          <cell r="B10">
            <v>1</v>
          </cell>
        </row>
        <row r="11">
          <cell r="B11">
            <v>1024285</v>
          </cell>
        </row>
        <row r="12">
          <cell r="B12">
            <v>-1187413</v>
          </cell>
        </row>
        <row r="13">
          <cell r="B13">
            <v>16168</v>
          </cell>
        </row>
        <row r="16">
          <cell r="B16">
            <v>34700058</v>
          </cell>
        </row>
        <row r="17">
          <cell r="B17">
            <v>5266138</v>
          </cell>
        </row>
        <row r="20">
          <cell r="B20">
            <v>0</v>
          </cell>
        </row>
        <row r="21">
          <cell r="B21">
            <v>0</v>
          </cell>
        </row>
        <row r="22">
          <cell r="B22">
            <v>100</v>
          </cell>
        </row>
        <row r="23">
          <cell r="B23">
            <v>29874</v>
          </cell>
        </row>
        <row r="25">
          <cell r="B25">
            <v>16450</v>
          </cell>
        </row>
        <row r="26">
          <cell r="B26">
            <v>12371</v>
          </cell>
        </row>
        <row r="27">
          <cell r="B27">
            <v>0</v>
          </cell>
        </row>
        <row r="28">
          <cell r="B28">
            <v>41076</v>
          </cell>
        </row>
        <row r="29">
          <cell r="B29">
            <v>4060</v>
          </cell>
        </row>
        <row r="31">
          <cell r="B31">
            <v>3619772</v>
          </cell>
        </row>
        <row r="32">
          <cell r="B32">
            <v>97</v>
          </cell>
        </row>
        <row r="34">
          <cell r="B34">
            <v>6193912</v>
          </cell>
        </row>
        <row r="36">
          <cell r="B36">
            <v>-131</v>
          </cell>
        </row>
        <row r="37">
          <cell r="B37">
            <v>0</v>
          </cell>
        </row>
        <row r="38">
          <cell r="B38">
            <v>65277</v>
          </cell>
        </row>
        <row r="39">
          <cell r="B39">
            <v>-7184</v>
          </cell>
        </row>
        <row r="40">
          <cell r="B40">
            <v>90000</v>
          </cell>
        </row>
        <row r="41">
          <cell r="B41">
            <v>7688110</v>
          </cell>
        </row>
        <row r="42">
          <cell r="B42">
            <v>60119</v>
          </cell>
        </row>
        <row r="43">
          <cell r="B43">
            <v>0</v>
          </cell>
        </row>
        <row r="44">
          <cell r="B44">
            <v>1701</v>
          </cell>
        </row>
        <row r="45">
          <cell r="B45">
            <v>4000</v>
          </cell>
        </row>
        <row r="46">
          <cell r="B46">
            <v>22478</v>
          </cell>
        </row>
        <row r="47">
          <cell r="B47">
            <v>642021383</v>
          </cell>
        </row>
        <row r="48">
          <cell r="B48">
            <v>98610542</v>
          </cell>
        </row>
        <row r="49">
          <cell r="B49">
            <v>555957</v>
          </cell>
        </row>
        <row r="50">
          <cell r="B50">
            <v>158887121</v>
          </cell>
        </row>
        <row r="51">
          <cell r="B51">
            <v>24487685</v>
          </cell>
        </row>
        <row r="52">
          <cell r="B52">
            <v>1407218</v>
          </cell>
        </row>
        <row r="53">
          <cell r="B53">
            <v>60153</v>
          </cell>
        </row>
        <row r="54">
          <cell r="B54">
            <v>89830</v>
          </cell>
        </row>
        <row r="55">
          <cell r="B55">
            <v>82901</v>
          </cell>
        </row>
        <row r="56">
          <cell r="B56">
            <v>25245532</v>
          </cell>
        </row>
        <row r="57">
          <cell r="B57">
            <v>0</v>
          </cell>
        </row>
        <row r="58">
          <cell r="B58">
            <v>15000000</v>
          </cell>
        </row>
        <row r="59">
          <cell r="B59">
            <v>7549</v>
          </cell>
        </row>
        <row r="60">
          <cell r="B60">
            <v>0</v>
          </cell>
        </row>
        <row r="61">
          <cell r="B61">
            <v>7133</v>
          </cell>
        </row>
        <row r="63">
          <cell r="B63">
            <v>0</v>
          </cell>
        </row>
        <row r="64">
          <cell r="B64">
            <v>58788</v>
          </cell>
        </row>
        <row r="65">
          <cell r="B65">
            <v>863466</v>
          </cell>
        </row>
        <row r="67">
          <cell r="B67">
            <v>524581</v>
          </cell>
        </row>
        <row r="68">
          <cell r="B68">
            <v>1748476</v>
          </cell>
        </row>
        <row r="69">
          <cell r="B69">
            <v>9222968</v>
          </cell>
        </row>
        <row r="70">
          <cell r="B70">
            <v>18292</v>
          </cell>
        </row>
        <row r="71">
          <cell r="B71">
            <v>185709</v>
          </cell>
        </row>
        <row r="72">
          <cell r="B72">
            <v>280000</v>
          </cell>
        </row>
        <row r="73">
          <cell r="B73">
            <v>95861</v>
          </cell>
        </row>
        <row r="74">
          <cell r="B74">
            <v>2767500</v>
          </cell>
        </row>
        <row r="75">
          <cell r="B75">
            <v>990216</v>
          </cell>
        </row>
        <row r="76">
          <cell r="B76">
            <v>73089853</v>
          </cell>
        </row>
        <row r="77">
          <cell r="B77">
            <v>215507</v>
          </cell>
        </row>
        <row r="78">
          <cell r="B78">
            <v>12443423</v>
          </cell>
        </row>
        <row r="79">
          <cell r="B79">
            <v>307410</v>
          </cell>
        </row>
        <row r="80">
          <cell r="B80">
            <v>11896</v>
          </cell>
        </row>
        <row r="81">
          <cell r="B81">
            <v>2056613</v>
          </cell>
        </row>
        <row r="83">
          <cell r="B83">
            <v>13844</v>
          </cell>
        </row>
        <row r="84">
          <cell r="B84">
            <v>2500</v>
          </cell>
        </row>
        <row r="85">
          <cell r="B85">
            <v>819146</v>
          </cell>
        </row>
        <row r="86">
          <cell r="B86">
            <v>105832</v>
          </cell>
        </row>
        <row r="87">
          <cell r="B87">
            <v>75314592</v>
          </cell>
        </row>
        <row r="88">
          <cell r="B88">
            <v>7784730</v>
          </cell>
        </row>
        <row r="89">
          <cell r="B89">
            <v>70000</v>
          </cell>
        </row>
        <row r="90">
          <cell r="B90">
            <v>2312914</v>
          </cell>
        </row>
        <row r="91">
          <cell r="B91">
            <v>463966</v>
          </cell>
        </row>
        <row r="92">
          <cell r="B92">
            <v>829235</v>
          </cell>
        </row>
        <row r="93">
          <cell r="B93">
            <v>663771</v>
          </cell>
        </row>
        <row r="94">
          <cell r="B94">
            <v>427226</v>
          </cell>
        </row>
        <row r="95">
          <cell r="B95">
            <v>59205</v>
          </cell>
        </row>
        <row r="96">
          <cell r="B96">
            <v>55228</v>
          </cell>
        </row>
        <row r="97">
          <cell r="B97">
            <v>1095106</v>
          </cell>
        </row>
        <row r="98">
          <cell r="B98">
            <v>19715</v>
          </cell>
        </row>
        <row r="99">
          <cell r="B99">
            <v>733246</v>
          </cell>
        </row>
        <row r="100">
          <cell r="B100">
            <v>12221</v>
          </cell>
        </row>
        <row r="101">
          <cell r="B101">
            <v>2180155</v>
          </cell>
        </row>
        <row r="102">
          <cell r="B102">
            <v>1282947</v>
          </cell>
        </row>
        <row r="103">
          <cell r="B103">
            <v>1207633</v>
          </cell>
        </row>
        <row r="104">
          <cell r="B104">
            <v>67847</v>
          </cell>
        </row>
        <row r="105">
          <cell r="B105">
            <v>5134259</v>
          </cell>
        </row>
        <row r="106">
          <cell r="B106">
            <v>118000</v>
          </cell>
        </row>
        <row r="107">
          <cell r="B107">
            <v>2500000</v>
          </cell>
        </row>
        <row r="108">
          <cell r="B108">
            <v>51871</v>
          </cell>
        </row>
        <row r="109">
          <cell r="B109">
            <v>1021478</v>
          </cell>
        </row>
        <row r="110">
          <cell r="B110">
            <v>1599610</v>
          </cell>
        </row>
        <row r="111">
          <cell r="B111">
            <v>1428403</v>
          </cell>
        </row>
        <row r="112">
          <cell r="B112">
            <v>860</v>
          </cell>
        </row>
        <row r="113">
          <cell r="B113">
            <v>2069</v>
          </cell>
        </row>
        <row r="114">
          <cell r="B114">
            <v>1437125</v>
          </cell>
        </row>
        <row r="115">
          <cell r="B115">
            <v>143406</v>
          </cell>
        </row>
        <row r="116">
          <cell r="B116">
            <v>0</v>
          </cell>
        </row>
        <row r="117">
          <cell r="B117">
            <v>2354001</v>
          </cell>
        </row>
        <row r="118">
          <cell r="B118">
            <v>322353</v>
          </cell>
        </row>
        <row r="119">
          <cell r="B119">
            <v>27695497</v>
          </cell>
        </row>
        <row r="120">
          <cell r="B120">
            <v>3462703</v>
          </cell>
        </row>
        <row r="121">
          <cell r="B121">
            <v>1063728</v>
          </cell>
        </row>
        <row r="122">
          <cell r="B122">
            <v>698981</v>
          </cell>
        </row>
        <row r="123">
          <cell r="B123">
            <v>5946304</v>
          </cell>
        </row>
        <row r="124">
          <cell r="B124">
            <v>86375</v>
          </cell>
        </row>
        <row r="125">
          <cell r="B125">
            <v>178221</v>
          </cell>
        </row>
        <row r="126">
          <cell r="B126">
            <v>42477</v>
          </cell>
        </row>
        <row r="127">
          <cell r="B127">
            <v>16044</v>
          </cell>
        </row>
        <row r="128">
          <cell r="B128">
            <v>991671</v>
          </cell>
        </row>
        <row r="129">
          <cell r="B129">
            <v>49625</v>
          </cell>
        </row>
        <row r="130">
          <cell r="B130">
            <v>71929</v>
          </cell>
        </row>
        <row r="131">
          <cell r="B131">
            <v>500000</v>
          </cell>
        </row>
        <row r="132">
          <cell r="B132">
            <v>14372</v>
          </cell>
        </row>
        <row r="133">
          <cell r="B133">
            <v>159378</v>
          </cell>
        </row>
        <row r="134">
          <cell r="B134">
            <v>1234528</v>
          </cell>
        </row>
        <row r="135">
          <cell r="B135">
            <v>118222</v>
          </cell>
        </row>
        <row r="136">
          <cell r="B136">
            <v>843583</v>
          </cell>
        </row>
        <row r="137">
          <cell r="B137">
            <v>1012608</v>
          </cell>
        </row>
        <row r="138">
          <cell r="B138">
            <v>11495433</v>
          </cell>
        </row>
        <row r="139">
          <cell r="B139">
            <v>76450</v>
          </cell>
        </row>
        <row r="140">
          <cell r="B140">
            <v>3411</v>
          </cell>
        </row>
        <row r="141">
          <cell r="B141">
            <v>600396</v>
          </cell>
        </row>
        <row r="142">
          <cell r="B142">
            <v>1799691</v>
          </cell>
        </row>
        <row r="143">
          <cell r="B143">
            <v>3885</v>
          </cell>
        </row>
        <row r="144">
          <cell r="B144">
            <v>1148942</v>
          </cell>
        </row>
        <row r="145">
          <cell r="B145">
            <v>0</v>
          </cell>
        </row>
        <row r="146">
          <cell r="B146">
            <v>13475</v>
          </cell>
        </row>
        <row r="147">
          <cell r="B147">
            <v>-118615</v>
          </cell>
        </row>
        <row r="148">
          <cell r="B148">
            <v>-2159187</v>
          </cell>
        </row>
        <row r="149">
          <cell r="B149">
            <v>-632184</v>
          </cell>
        </row>
        <row r="150">
          <cell r="B150">
            <v>-2250000</v>
          </cell>
        </row>
        <row r="151">
          <cell r="B151">
            <v>-11967</v>
          </cell>
        </row>
        <row r="152">
          <cell r="B152">
            <v>-361641</v>
          </cell>
        </row>
        <row r="153">
          <cell r="B153">
            <v>-6446036</v>
          </cell>
        </row>
        <row r="154">
          <cell r="B154">
            <v>-761774</v>
          </cell>
        </row>
        <row r="155">
          <cell r="B155">
            <v>-22500431</v>
          </cell>
        </row>
        <row r="156">
          <cell r="B156">
            <v>-8570</v>
          </cell>
        </row>
        <row r="157">
          <cell r="B157">
            <v>-148856</v>
          </cell>
        </row>
        <row r="158">
          <cell r="B158">
            <v>-4864844</v>
          </cell>
        </row>
        <row r="159">
          <cell r="B159">
            <v>-61792</v>
          </cell>
        </row>
        <row r="160">
          <cell r="B160">
            <v>-41825000</v>
          </cell>
        </row>
        <row r="161">
          <cell r="B161">
            <v>-392910</v>
          </cell>
        </row>
        <row r="162">
          <cell r="B162">
            <v>-37828192</v>
          </cell>
        </row>
        <row r="163">
          <cell r="B163">
            <v>-30311</v>
          </cell>
        </row>
        <row r="164">
          <cell r="B164">
            <v>-1610112</v>
          </cell>
        </row>
        <row r="165">
          <cell r="B165">
            <v>-116726</v>
          </cell>
        </row>
        <row r="166">
          <cell r="B166">
            <v>-9278071</v>
          </cell>
        </row>
        <row r="167">
          <cell r="B167">
            <v>0</v>
          </cell>
        </row>
        <row r="168">
          <cell r="B168">
            <v>-197037552</v>
          </cell>
        </row>
        <row r="169">
          <cell r="B169">
            <v>-3218707</v>
          </cell>
        </row>
        <row r="170">
          <cell r="B170">
            <v>-8447</v>
          </cell>
        </row>
        <row r="171">
          <cell r="B171">
            <v>-2311023</v>
          </cell>
        </row>
        <row r="172">
          <cell r="B172">
            <v>296941</v>
          </cell>
        </row>
        <row r="173">
          <cell r="B173">
            <v>-675162</v>
          </cell>
        </row>
        <row r="174">
          <cell r="B174">
            <v>-601334</v>
          </cell>
        </row>
        <row r="175">
          <cell r="B175">
            <v>-143386</v>
          </cell>
        </row>
        <row r="176">
          <cell r="B176">
            <v>0</v>
          </cell>
        </row>
        <row r="177">
          <cell r="B177">
            <v>-18170540</v>
          </cell>
        </row>
        <row r="178">
          <cell r="B178">
            <v>0</v>
          </cell>
        </row>
        <row r="179">
          <cell r="B179">
            <v>-220120</v>
          </cell>
        </row>
        <row r="180">
          <cell r="B180">
            <v>116</v>
          </cell>
        </row>
        <row r="181">
          <cell r="B181">
            <v>-3500</v>
          </cell>
        </row>
        <row r="182">
          <cell r="B182">
            <v>-169978</v>
          </cell>
        </row>
        <row r="183">
          <cell r="B183">
            <v>-250000</v>
          </cell>
        </row>
        <row r="184">
          <cell r="B184">
            <v>-524634</v>
          </cell>
        </row>
        <row r="185">
          <cell r="B185">
            <v>-188932</v>
          </cell>
        </row>
        <row r="188">
          <cell r="B188">
            <v>-12715</v>
          </cell>
        </row>
        <row r="189">
          <cell r="B189">
            <v>-2970</v>
          </cell>
        </row>
        <row r="192">
          <cell r="B192">
            <v>0</v>
          </cell>
        </row>
        <row r="194">
          <cell r="B194">
            <v>-1437819</v>
          </cell>
        </row>
        <row r="195">
          <cell r="B195">
            <v>-7396</v>
          </cell>
        </row>
        <row r="199">
          <cell r="B199">
            <v>-9788065</v>
          </cell>
        </row>
        <row r="200">
          <cell r="B200">
            <v>712093462</v>
          </cell>
        </row>
        <row r="201">
          <cell r="B201">
            <v>-792759031</v>
          </cell>
        </row>
        <row r="202">
          <cell r="B202">
            <v>-750000000</v>
          </cell>
        </row>
        <row r="204">
          <cell r="B204">
            <v>54397</v>
          </cell>
        </row>
        <row r="205">
          <cell r="B205">
            <v>-3086589</v>
          </cell>
        </row>
        <row r="207">
          <cell r="B207">
            <v>17241</v>
          </cell>
        </row>
        <row r="208">
          <cell r="B208">
            <v>-31816</v>
          </cell>
        </row>
        <row r="209">
          <cell r="B209">
            <v>-5991</v>
          </cell>
        </row>
        <row r="210">
          <cell r="B210">
            <v>-62117</v>
          </cell>
        </row>
        <row r="211">
          <cell r="B211">
            <v>-194704</v>
          </cell>
        </row>
        <row r="212">
          <cell r="B212">
            <v>-6</v>
          </cell>
        </row>
        <row r="213">
          <cell r="B213">
            <v>-2158985</v>
          </cell>
        </row>
        <row r="214">
          <cell r="B214">
            <v>-80807</v>
          </cell>
        </row>
        <row r="215">
          <cell r="B215">
            <v>-746107</v>
          </cell>
        </row>
        <row r="216">
          <cell r="B216">
            <v>-15072000</v>
          </cell>
        </row>
        <row r="217">
          <cell r="B217">
            <v>-924996</v>
          </cell>
        </row>
        <row r="218">
          <cell r="B218">
            <v>-9047964</v>
          </cell>
        </row>
        <row r="219">
          <cell r="B219">
            <v>-400</v>
          </cell>
        </row>
        <row r="220">
          <cell r="B220">
            <v>-50552718</v>
          </cell>
        </row>
        <row r="221">
          <cell r="B221">
            <v>-3065277</v>
          </cell>
        </row>
        <row r="222">
          <cell r="B222">
            <v>0</v>
          </cell>
        </row>
        <row r="223">
          <cell r="B223">
            <v>-1135</v>
          </cell>
        </row>
        <row r="225">
          <cell r="B225">
            <v>-979763</v>
          </cell>
        </row>
      </sheetData>
      <sheetData sheetId="16" refreshError="1">
        <row r="5">
          <cell r="B5">
            <v>-63013</v>
          </cell>
        </row>
        <row r="6">
          <cell r="B6">
            <v>256892</v>
          </cell>
        </row>
        <row r="8">
          <cell r="B8">
            <v>89596</v>
          </cell>
        </row>
        <row r="10">
          <cell r="B10">
            <v>0</v>
          </cell>
        </row>
        <row r="13">
          <cell r="B13">
            <v>79876</v>
          </cell>
        </row>
        <row r="16">
          <cell r="B16">
            <v>56087</v>
          </cell>
        </row>
        <row r="23">
          <cell r="B23">
            <v>35000</v>
          </cell>
        </row>
        <row r="24">
          <cell r="B24">
            <v>9475</v>
          </cell>
        </row>
        <row r="25">
          <cell r="B25">
            <v>45948</v>
          </cell>
        </row>
        <row r="26">
          <cell r="B26">
            <v>8259</v>
          </cell>
        </row>
        <row r="32">
          <cell r="B32">
            <v>122291</v>
          </cell>
        </row>
        <row r="45">
          <cell r="B45">
            <v>23104</v>
          </cell>
        </row>
        <row r="46">
          <cell r="B46">
            <v>-48558</v>
          </cell>
        </row>
        <row r="47">
          <cell r="B47">
            <v>100000</v>
          </cell>
        </row>
        <row r="49">
          <cell r="B49">
            <v>41400</v>
          </cell>
        </row>
        <row r="54">
          <cell r="B54">
            <v>19896</v>
          </cell>
        </row>
        <row r="78">
          <cell r="B78">
            <v>12680</v>
          </cell>
        </row>
        <row r="79">
          <cell r="B79">
            <v>52491</v>
          </cell>
        </row>
        <row r="82">
          <cell r="B82">
            <v>37000</v>
          </cell>
        </row>
        <row r="85">
          <cell r="B85">
            <v>175005</v>
          </cell>
        </row>
        <row r="86">
          <cell r="B86">
            <v>8905</v>
          </cell>
        </row>
        <row r="91">
          <cell r="B91">
            <v>8012</v>
          </cell>
        </row>
        <row r="92">
          <cell r="B92">
            <v>301270</v>
          </cell>
        </row>
        <row r="97">
          <cell r="B97">
            <v>-70979</v>
          </cell>
        </row>
        <row r="98">
          <cell r="B98">
            <v>-149634</v>
          </cell>
        </row>
        <row r="100">
          <cell r="B100">
            <v>120000</v>
          </cell>
        </row>
        <row r="101">
          <cell r="B101">
            <v>127904</v>
          </cell>
        </row>
        <row r="103">
          <cell r="B103">
            <v>29000</v>
          </cell>
        </row>
        <row r="105">
          <cell r="B105">
            <v>-428502</v>
          </cell>
        </row>
        <row r="109">
          <cell r="B109">
            <v>2930</v>
          </cell>
        </row>
        <row r="110">
          <cell r="B110">
            <v>2012</v>
          </cell>
        </row>
        <row r="111">
          <cell r="B111">
            <v>14285</v>
          </cell>
        </row>
        <row r="113">
          <cell r="B113">
            <v>476256</v>
          </cell>
        </row>
        <row r="114">
          <cell r="B114">
            <v>196138</v>
          </cell>
        </row>
        <row r="115">
          <cell r="B115">
            <v>-20560</v>
          </cell>
        </row>
        <row r="116">
          <cell r="B116">
            <v>1749</v>
          </cell>
        </row>
        <row r="119">
          <cell r="B119">
            <v>-9467</v>
          </cell>
        </row>
        <row r="120">
          <cell r="B120">
            <v>-619594</v>
          </cell>
        </row>
        <row r="121">
          <cell r="B121">
            <v>-148</v>
          </cell>
        </row>
        <row r="122">
          <cell r="B122">
            <v>-17993</v>
          </cell>
        </row>
        <row r="123">
          <cell r="B123">
            <v>-7820</v>
          </cell>
        </row>
        <row r="124">
          <cell r="B124">
            <v>-488363</v>
          </cell>
        </row>
        <row r="125">
          <cell r="B125">
            <v>-14369357</v>
          </cell>
        </row>
        <row r="126">
          <cell r="B126">
            <v>-578725</v>
          </cell>
        </row>
        <row r="128">
          <cell r="B128">
            <v>-10528</v>
          </cell>
        </row>
        <row r="129">
          <cell r="B129">
            <v>-1392</v>
          </cell>
        </row>
        <row r="130">
          <cell r="B130">
            <v>-1178258</v>
          </cell>
        </row>
        <row r="131">
          <cell r="B131">
            <v>18170543</v>
          </cell>
        </row>
        <row r="133">
          <cell r="B133">
            <v>-15746</v>
          </cell>
        </row>
        <row r="135">
          <cell r="B135">
            <v>-1250000</v>
          </cell>
        </row>
        <row r="137">
          <cell r="B137">
            <v>-60297</v>
          </cell>
        </row>
        <row r="138">
          <cell r="B138">
            <v>-42857</v>
          </cell>
        </row>
        <row r="139">
          <cell r="B139">
            <v>-987719</v>
          </cell>
        </row>
        <row r="140">
          <cell r="B140">
            <v>-169070</v>
          </cell>
        </row>
        <row r="141">
          <cell r="B141">
            <v>-35420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ow r="7">
          <cell r="B7">
            <v>223033</v>
          </cell>
        </row>
      </sheetData>
      <sheetData sheetId="30">
        <row r="5">
          <cell r="B5">
            <v>-63013</v>
          </cell>
        </row>
      </sheetData>
      <sheetData sheetId="31"/>
      <sheetData sheetId="32"/>
      <sheetData sheetId="33"/>
      <sheetData sheetId="34"/>
      <sheetData sheetId="35"/>
      <sheetData sheetId="36"/>
      <sheetData sheetId="37"/>
      <sheetData sheetId="38"/>
      <sheetData sheetId="39"/>
      <sheetData sheetId="40">
        <row r="7">
          <cell r="B7">
            <v>223033</v>
          </cell>
        </row>
      </sheetData>
      <sheetData sheetId="41">
        <row r="5">
          <cell r="B5">
            <v>-63013</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BSSCH"/>
      <sheetName val="PLSCH"/>
      <sheetName val="Asset"/>
      <sheetName val="Liab"/>
      <sheetName val="Income"/>
      <sheetName val="Exp"/>
      <sheetName val="EPS Calculation"/>
      <sheetName val="tb"/>
      <sheetName val="roi2003"/>
      <sheetName val="fa in 1000"/>
      <sheetName val="FASch"/>
      <sheetName val="Investment sch"/>
      <sheetName val="DRS-WKG"/>
      <sheetName val="Deferred tax"/>
      <sheetName val="details of grossup"/>
      <sheetName val="drs gross provn working"/>
      <sheetName val="bad-debt provn"/>
      <sheetName val="income tax computation"/>
      <sheetName val="roi"/>
      <sheetName val="EPS_Calculation1"/>
      <sheetName val="fa_in_10001"/>
      <sheetName val="Investment_sch1"/>
      <sheetName val="Deferred_tax1"/>
      <sheetName val="details_of_grossup1"/>
      <sheetName val="drs_gross_provn_working1"/>
      <sheetName val="bad-debt_provn1"/>
      <sheetName val="income_tax_computation1"/>
      <sheetName val="EPS_Calculation"/>
      <sheetName val="fa_in_1000"/>
      <sheetName val="Investment_sch"/>
      <sheetName val="Deferred_tax"/>
      <sheetName val="details_of_grossup"/>
      <sheetName val="drs_gross_provn_working"/>
      <sheetName val="bad-debt_provn"/>
      <sheetName val="income_tax_computation"/>
    </sheetNames>
    <sheetDataSet>
      <sheetData sheetId="0"/>
      <sheetData sheetId="1"/>
      <sheetData sheetId="2"/>
      <sheetData sheetId="3"/>
      <sheetData sheetId="4"/>
      <sheetData sheetId="5"/>
      <sheetData sheetId="6"/>
      <sheetData sheetId="7"/>
      <sheetData sheetId="8"/>
      <sheetData sheetId="9">
        <row r="8">
          <cell r="B8">
            <v>89596</v>
          </cell>
        </row>
        <row r="10">
          <cell r="B10">
            <v>0</v>
          </cell>
        </row>
        <row r="16">
          <cell r="B16">
            <v>56087</v>
          </cell>
        </row>
        <row r="25">
          <cell r="B25">
            <v>45948</v>
          </cell>
        </row>
        <row r="92">
          <cell r="B92">
            <v>301270</v>
          </cell>
        </row>
        <row r="101">
          <cell r="B101">
            <v>127904</v>
          </cell>
        </row>
        <row r="169">
          <cell r="B169">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s>
    <sheetDataSet>
      <sheetData sheetId="0"/>
      <sheetData sheetId="1">
        <row r="18">
          <cell r="V18" t="str">
            <v>Others</v>
          </cell>
        </row>
      </sheetData>
      <sheetData sheetId="2">
        <row r="7">
          <cell r="A7">
            <v>1</v>
          </cell>
          <cell r="B7" t="str">
            <v>94C</v>
          </cell>
          <cell r="C7">
            <v>4673</v>
          </cell>
          <cell r="D7">
            <v>0</v>
          </cell>
          <cell r="E7">
            <v>0</v>
          </cell>
          <cell r="F7">
            <v>0</v>
          </cell>
          <cell r="G7">
            <v>0</v>
          </cell>
          <cell r="I7">
            <v>4673</v>
          </cell>
          <cell r="J7">
            <v>333894</v>
          </cell>
          <cell r="L7">
            <v>170032</v>
          </cell>
          <cell r="N7">
            <v>39028</v>
          </cell>
          <cell r="P7">
            <v>303</v>
          </cell>
          <cell r="R7">
            <v>0</v>
          </cell>
          <cell r="S7">
            <v>0</v>
          </cell>
          <cell r="U7">
            <v>4673</v>
          </cell>
        </row>
        <row r="8">
          <cell r="A8">
            <v>2</v>
          </cell>
          <cell r="B8" t="str">
            <v>94J</v>
          </cell>
          <cell r="C8">
            <v>8160</v>
          </cell>
          <cell r="D8">
            <v>0</v>
          </cell>
          <cell r="E8">
            <v>0</v>
          </cell>
          <cell r="F8">
            <v>0</v>
          </cell>
          <cell r="G8">
            <v>0</v>
          </cell>
          <cell r="I8">
            <v>8160</v>
          </cell>
          <cell r="J8">
            <v>333897</v>
          </cell>
          <cell r="L8">
            <v>170032</v>
          </cell>
          <cell r="N8">
            <v>39028</v>
          </cell>
          <cell r="P8">
            <v>304</v>
          </cell>
          <cell r="R8">
            <v>0</v>
          </cell>
          <cell r="S8">
            <v>0</v>
          </cell>
          <cell r="U8">
            <v>8160</v>
          </cell>
        </row>
        <row r="9">
          <cell r="A9">
            <v>3</v>
          </cell>
          <cell r="B9" t="str">
            <v>94C</v>
          </cell>
          <cell r="C9">
            <v>653</v>
          </cell>
          <cell r="D9">
            <v>0</v>
          </cell>
          <cell r="E9">
            <v>0</v>
          </cell>
          <cell r="F9">
            <v>0</v>
          </cell>
          <cell r="G9">
            <v>0</v>
          </cell>
          <cell r="I9">
            <v>653</v>
          </cell>
          <cell r="J9">
            <v>333895</v>
          </cell>
          <cell r="L9">
            <v>170032</v>
          </cell>
          <cell r="N9">
            <v>39028</v>
          </cell>
          <cell r="P9">
            <v>308</v>
          </cell>
          <cell r="R9">
            <v>0</v>
          </cell>
          <cell r="S9">
            <v>0</v>
          </cell>
          <cell r="U9">
            <v>653</v>
          </cell>
        </row>
        <row r="10">
          <cell r="A10">
            <v>4</v>
          </cell>
          <cell r="B10" t="str">
            <v>94J</v>
          </cell>
          <cell r="C10">
            <v>4080</v>
          </cell>
          <cell r="D10">
            <v>0</v>
          </cell>
          <cell r="E10">
            <v>0</v>
          </cell>
          <cell r="F10">
            <v>0</v>
          </cell>
          <cell r="G10">
            <v>0</v>
          </cell>
          <cell r="I10">
            <v>4080</v>
          </cell>
          <cell r="J10">
            <v>334034</v>
          </cell>
          <cell r="L10">
            <v>170032</v>
          </cell>
          <cell r="N10">
            <v>39058</v>
          </cell>
          <cell r="P10">
            <v>547</v>
          </cell>
          <cell r="R10">
            <v>0</v>
          </cell>
          <cell r="S10">
            <v>0</v>
          </cell>
          <cell r="U10">
            <v>4080</v>
          </cell>
        </row>
        <row r="11">
          <cell r="A11">
            <v>5</v>
          </cell>
          <cell r="B11" t="str">
            <v>94I</v>
          </cell>
          <cell r="C11">
            <v>23936</v>
          </cell>
          <cell r="D11">
            <v>0</v>
          </cell>
          <cell r="E11">
            <v>0</v>
          </cell>
          <cell r="F11">
            <v>210</v>
          </cell>
          <cell r="G11">
            <v>0</v>
          </cell>
          <cell r="I11">
            <v>24146</v>
          </cell>
          <cell r="J11">
            <v>334035</v>
          </cell>
          <cell r="L11">
            <v>170032</v>
          </cell>
          <cell r="N11">
            <v>39058</v>
          </cell>
          <cell r="P11">
            <v>565</v>
          </cell>
          <cell r="R11">
            <v>0</v>
          </cell>
          <cell r="S11">
            <v>0</v>
          </cell>
          <cell r="U11">
            <v>24146</v>
          </cell>
        </row>
        <row r="12">
          <cell r="A12">
            <v>6</v>
          </cell>
          <cell r="B12" t="str">
            <v>94C</v>
          </cell>
          <cell r="C12">
            <v>9031</v>
          </cell>
          <cell r="D12">
            <v>0</v>
          </cell>
          <cell r="E12">
            <v>0</v>
          </cell>
          <cell r="F12">
            <v>0</v>
          </cell>
          <cell r="G12">
            <v>0</v>
          </cell>
          <cell r="I12">
            <v>9031</v>
          </cell>
          <cell r="J12">
            <v>260584</v>
          </cell>
          <cell r="L12">
            <v>170032</v>
          </cell>
          <cell r="N12">
            <v>39057</v>
          </cell>
          <cell r="P12">
            <v>464</v>
          </cell>
          <cell r="R12">
            <v>0</v>
          </cell>
          <cell r="S12">
            <v>0</v>
          </cell>
          <cell r="U12">
            <v>9031</v>
          </cell>
        </row>
        <row r="13">
          <cell r="A13">
            <v>7</v>
          </cell>
          <cell r="B13" t="str">
            <v>94C</v>
          </cell>
          <cell r="C13">
            <v>2674</v>
          </cell>
          <cell r="D13">
            <v>0</v>
          </cell>
          <cell r="E13">
            <v>0</v>
          </cell>
          <cell r="F13">
            <v>0</v>
          </cell>
          <cell r="G13">
            <v>0</v>
          </cell>
          <cell r="I13">
            <v>2674</v>
          </cell>
          <cell r="J13">
            <v>260585</v>
          </cell>
          <cell r="L13">
            <v>170032</v>
          </cell>
          <cell r="N13">
            <v>39057</v>
          </cell>
          <cell r="P13">
            <v>447</v>
          </cell>
          <cell r="R13">
            <v>0</v>
          </cell>
          <cell r="S13">
            <v>0</v>
          </cell>
          <cell r="U13">
            <v>2674</v>
          </cell>
        </row>
        <row r="14">
          <cell r="A14">
            <v>8</v>
          </cell>
          <cell r="B14" t="str">
            <v>94I</v>
          </cell>
          <cell r="C14">
            <v>8976</v>
          </cell>
          <cell r="D14">
            <v>0</v>
          </cell>
          <cell r="E14">
            <v>0</v>
          </cell>
          <cell r="F14">
            <v>0</v>
          </cell>
          <cell r="G14">
            <v>0</v>
          </cell>
          <cell r="I14">
            <v>8976</v>
          </cell>
          <cell r="J14">
            <v>260643</v>
          </cell>
          <cell r="L14">
            <v>170032</v>
          </cell>
          <cell r="N14">
            <v>39064</v>
          </cell>
          <cell r="P14">
            <v>513</v>
          </cell>
          <cell r="R14">
            <v>0</v>
          </cell>
          <cell r="S14">
            <v>0</v>
          </cell>
          <cell r="U14">
            <v>8976</v>
          </cell>
        </row>
        <row r="15">
          <cell r="A15">
            <v>9</v>
          </cell>
          <cell r="B15" t="str">
            <v>94C</v>
          </cell>
          <cell r="C15">
            <v>6376</v>
          </cell>
          <cell r="D15">
            <v>0</v>
          </cell>
          <cell r="E15">
            <v>0</v>
          </cell>
          <cell r="F15">
            <v>0</v>
          </cell>
          <cell r="G15">
            <v>0</v>
          </cell>
          <cell r="I15">
            <v>6376</v>
          </cell>
          <cell r="J15">
            <v>265593</v>
          </cell>
          <cell r="L15">
            <v>170032</v>
          </cell>
          <cell r="N15">
            <v>39088</v>
          </cell>
          <cell r="P15">
            <v>399</v>
          </cell>
          <cell r="R15">
            <v>0</v>
          </cell>
          <cell r="S15">
            <v>0</v>
          </cell>
          <cell r="T15">
            <v>234</v>
          </cell>
          <cell r="U15">
            <v>6376</v>
          </cell>
        </row>
        <row r="16">
          <cell r="A16">
            <v>10</v>
          </cell>
          <cell r="B16" t="str">
            <v>94C</v>
          </cell>
          <cell r="C16">
            <v>85</v>
          </cell>
          <cell r="D16">
            <v>0</v>
          </cell>
          <cell r="E16">
            <v>0</v>
          </cell>
          <cell r="F16">
            <v>0</v>
          </cell>
          <cell r="G16">
            <v>0</v>
          </cell>
          <cell r="I16">
            <v>85</v>
          </cell>
          <cell r="J16">
            <v>265595</v>
          </cell>
          <cell r="L16">
            <v>170032</v>
          </cell>
          <cell r="N16">
            <v>39088</v>
          </cell>
          <cell r="P16">
            <v>398</v>
          </cell>
          <cell r="R16">
            <v>0</v>
          </cell>
          <cell r="S16">
            <v>0</v>
          </cell>
          <cell r="U16">
            <v>85</v>
          </cell>
        </row>
        <row r="17">
          <cell r="A17">
            <v>11</v>
          </cell>
          <cell r="B17" t="str">
            <v>94C</v>
          </cell>
          <cell r="C17">
            <v>8127</v>
          </cell>
          <cell r="D17">
            <v>0</v>
          </cell>
          <cell r="E17">
            <v>0</v>
          </cell>
          <cell r="F17">
            <v>0</v>
          </cell>
          <cell r="G17">
            <v>0</v>
          </cell>
          <cell r="I17">
            <v>8127</v>
          </cell>
          <cell r="J17">
            <v>265594</v>
          </cell>
          <cell r="L17">
            <v>170032</v>
          </cell>
          <cell r="N17">
            <v>39088</v>
          </cell>
          <cell r="P17">
            <v>400</v>
          </cell>
          <cell r="R17">
            <v>0</v>
          </cell>
          <cell r="S17">
            <v>0</v>
          </cell>
          <cell r="U17">
            <v>8127</v>
          </cell>
        </row>
        <row r="18">
          <cell r="A18">
            <v>12</v>
          </cell>
          <cell r="B18" t="str">
            <v>94C</v>
          </cell>
          <cell r="C18">
            <v>2490</v>
          </cell>
          <cell r="D18">
            <v>0</v>
          </cell>
          <cell r="E18">
            <v>0</v>
          </cell>
          <cell r="F18">
            <v>0</v>
          </cell>
          <cell r="G18">
            <v>0</v>
          </cell>
          <cell r="I18">
            <v>2490</v>
          </cell>
          <cell r="J18">
            <v>365604</v>
          </cell>
          <cell r="L18">
            <v>170032</v>
          </cell>
          <cell r="N18">
            <v>39090</v>
          </cell>
          <cell r="P18">
            <v>560</v>
          </cell>
          <cell r="R18">
            <v>0</v>
          </cell>
          <cell r="S18">
            <v>0</v>
          </cell>
          <cell r="U18">
            <v>2490</v>
          </cell>
        </row>
        <row r="19">
          <cell r="A19">
            <v>13</v>
          </cell>
          <cell r="B19" t="str">
            <v>94C</v>
          </cell>
          <cell r="C19">
            <v>157</v>
          </cell>
          <cell r="D19">
            <v>0</v>
          </cell>
          <cell r="E19">
            <v>0</v>
          </cell>
          <cell r="F19">
            <v>0</v>
          </cell>
          <cell r="G19">
            <v>0</v>
          </cell>
          <cell r="I19">
            <v>157</v>
          </cell>
          <cell r="J19">
            <v>365605</v>
          </cell>
          <cell r="L19">
            <v>170032</v>
          </cell>
          <cell r="N19">
            <v>39090</v>
          </cell>
          <cell r="P19">
            <v>519</v>
          </cell>
          <cell r="R19">
            <v>0</v>
          </cell>
          <cell r="S19">
            <v>0</v>
          </cell>
          <cell r="U19">
            <v>157</v>
          </cell>
        </row>
        <row r="20">
          <cell r="I20">
            <v>0</v>
          </cell>
          <cell r="U20">
            <v>0</v>
          </cell>
        </row>
        <row r="21">
          <cell r="I21">
            <v>0</v>
          </cell>
          <cell r="U21">
            <v>0</v>
          </cell>
        </row>
        <row r="22">
          <cell r="I22">
            <v>0</v>
          </cell>
          <cell r="U22">
            <v>0</v>
          </cell>
        </row>
        <row r="23">
          <cell r="A23" t="str">
            <v>Total</v>
          </cell>
          <cell r="C23">
            <v>79418</v>
          </cell>
          <cell r="D23">
            <v>0</v>
          </cell>
          <cell r="E23">
            <v>0</v>
          </cell>
          <cell r="F23">
            <v>210</v>
          </cell>
          <cell r="G23">
            <v>0</v>
          </cell>
          <cell r="H23">
            <v>0</v>
          </cell>
          <cell r="I23">
            <v>79628</v>
          </cell>
          <cell r="R23">
            <v>0</v>
          </cell>
          <cell r="S23">
            <v>0</v>
          </cell>
          <cell r="T23" t="e">
            <v>#REF!</v>
          </cell>
          <cell r="U23">
            <v>79628</v>
          </cell>
        </row>
        <row r="819">
          <cell r="IV819">
            <v>193</v>
          </cell>
        </row>
        <row r="820">
          <cell r="IV820" t="str">
            <v>94A</v>
          </cell>
        </row>
        <row r="821">
          <cell r="IV821" t="str">
            <v>94B</v>
          </cell>
        </row>
        <row r="822">
          <cell r="IV822" t="str">
            <v>4BB</v>
          </cell>
        </row>
        <row r="823">
          <cell r="IV823" t="str">
            <v>94C</v>
          </cell>
        </row>
        <row r="824">
          <cell r="IV824" t="str">
            <v>94D</v>
          </cell>
        </row>
        <row r="825">
          <cell r="IV825" t="str">
            <v>4EE</v>
          </cell>
        </row>
        <row r="826">
          <cell r="IV826" t="str">
            <v>94F</v>
          </cell>
        </row>
        <row r="827">
          <cell r="IV827" t="str">
            <v>94G</v>
          </cell>
        </row>
        <row r="828">
          <cell r="IV828" t="str">
            <v>94H</v>
          </cell>
        </row>
        <row r="829">
          <cell r="IV829" t="str">
            <v>94I</v>
          </cell>
        </row>
        <row r="830">
          <cell r="IV830" t="str">
            <v>94J</v>
          </cell>
        </row>
        <row r="831">
          <cell r="IV831" t="str">
            <v>94K</v>
          </cell>
        </row>
        <row r="832">
          <cell r="IV832" t="str">
            <v>94L</v>
          </cell>
        </row>
      </sheetData>
      <sheetData sheetId="3">
        <row r="11">
          <cell r="A11">
            <v>1</v>
          </cell>
          <cell r="R11">
            <v>306</v>
          </cell>
          <cell r="W11">
            <v>306</v>
          </cell>
        </row>
        <row r="12">
          <cell r="A12">
            <v>3</v>
          </cell>
          <cell r="R12">
            <v>25</v>
          </cell>
          <cell r="W12">
            <v>25</v>
          </cell>
        </row>
        <row r="13">
          <cell r="A13">
            <v>1</v>
          </cell>
          <cell r="R13">
            <v>445</v>
          </cell>
          <cell r="W13">
            <v>445</v>
          </cell>
        </row>
        <row r="14">
          <cell r="A14">
            <v>1</v>
          </cell>
          <cell r="R14">
            <v>600</v>
          </cell>
          <cell r="W14">
            <v>600</v>
          </cell>
        </row>
        <row r="15">
          <cell r="A15">
            <v>1</v>
          </cell>
          <cell r="R15">
            <v>306</v>
          </cell>
          <cell r="W15">
            <v>306</v>
          </cell>
        </row>
        <row r="16">
          <cell r="A16">
            <v>1</v>
          </cell>
          <cell r="R16">
            <v>45</v>
          </cell>
          <cell r="W16">
            <v>45</v>
          </cell>
        </row>
        <row r="17">
          <cell r="A17">
            <v>1</v>
          </cell>
          <cell r="R17">
            <v>59</v>
          </cell>
          <cell r="W17">
            <v>59</v>
          </cell>
        </row>
        <row r="18">
          <cell r="A18">
            <v>1</v>
          </cell>
          <cell r="R18">
            <v>63</v>
          </cell>
          <cell r="W18">
            <v>63</v>
          </cell>
        </row>
        <row r="19">
          <cell r="A19">
            <v>1</v>
          </cell>
          <cell r="R19">
            <v>108</v>
          </cell>
          <cell r="W19">
            <v>108</v>
          </cell>
        </row>
        <row r="20">
          <cell r="A20">
            <v>1</v>
          </cell>
          <cell r="R20">
            <v>122</v>
          </cell>
          <cell r="W20">
            <v>122</v>
          </cell>
        </row>
        <row r="21">
          <cell r="A21">
            <v>1</v>
          </cell>
          <cell r="R21">
            <v>263</v>
          </cell>
          <cell r="W21">
            <v>263</v>
          </cell>
        </row>
        <row r="22">
          <cell r="A22">
            <v>1</v>
          </cell>
          <cell r="R22">
            <v>282</v>
          </cell>
          <cell r="W22">
            <v>282</v>
          </cell>
        </row>
        <row r="23">
          <cell r="A23">
            <v>1</v>
          </cell>
          <cell r="R23">
            <v>306</v>
          </cell>
          <cell r="W23">
            <v>306</v>
          </cell>
        </row>
        <row r="24">
          <cell r="A24">
            <v>3</v>
          </cell>
          <cell r="R24">
            <v>628</v>
          </cell>
          <cell r="W24">
            <v>628</v>
          </cell>
        </row>
        <row r="25">
          <cell r="A25">
            <v>1</v>
          </cell>
          <cell r="R25">
            <v>51</v>
          </cell>
          <cell r="W25">
            <v>51</v>
          </cell>
        </row>
        <row r="26">
          <cell r="A26">
            <v>1</v>
          </cell>
          <cell r="R26">
            <v>85</v>
          </cell>
          <cell r="W26">
            <v>85</v>
          </cell>
        </row>
        <row r="27">
          <cell r="A27">
            <v>1</v>
          </cell>
          <cell r="R27">
            <v>102</v>
          </cell>
          <cell r="W27">
            <v>102</v>
          </cell>
        </row>
        <row r="28">
          <cell r="A28">
            <v>1</v>
          </cell>
          <cell r="R28">
            <v>33</v>
          </cell>
          <cell r="W28">
            <v>33</v>
          </cell>
        </row>
        <row r="29">
          <cell r="A29">
            <v>1</v>
          </cell>
          <cell r="R29">
            <v>426</v>
          </cell>
          <cell r="W29">
            <v>426</v>
          </cell>
        </row>
        <row r="30">
          <cell r="A30">
            <v>1</v>
          </cell>
          <cell r="R30">
            <v>551</v>
          </cell>
          <cell r="W30">
            <v>551</v>
          </cell>
        </row>
        <row r="31">
          <cell r="A31">
            <v>1</v>
          </cell>
          <cell r="R31">
            <v>520</v>
          </cell>
          <cell r="W31">
            <v>520</v>
          </cell>
        </row>
        <row r="32">
          <cell r="A32">
            <v>2</v>
          </cell>
          <cell r="R32">
            <v>8160</v>
          </cell>
          <cell r="W32">
            <v>8160</v>
          </cell>
        </row>
        <row r="33">
          <cell r="A33">
            <v>7</v>
          </cell>
          <cell r="R33">
            <v>291</v>
          </cell>
          <cell r="W33">
            <v>291</v>
          </cell>
        </row>
        <row r="34">
          <cell r="A34">
            <v>7</v>
          </cell>
          <cell r="R34">
            <v>329</v>
          </cell>
          <cell r="W34">
            <v>329</v>
          </cell>
        </row>
        <row r="35">
          <cell r="A35">
            <v>7</v>
          </cell>
          <cell r="R35">
            <v>169</v>
          </cell>
          <cell r="W35">
            <v>169</v>
          </cell>
        </row>
        <row r="36">
          <cell r="A36">
            <v>6</v>
          </cell>
          <cell r="R36">
            <v>235</v>
          </cell>
          <cell r="W36">
            <v>235</v>
          </cell>
        </row>
        <row r="37">
          <cell r="A37">
            <v>7</v>
          </cell>
          <cell r="R37">
            <v>369</v>
          </cell>
          <cell r="W37">
            <v>369</v>
          </cell>
        </row>
        <row r="38">
          <cell r="A38">
            <v>7</v>
          </cell>
          <cell r="R38">
            <v>86</v>
          </cell>
          <cell r="W38">
            <v>86</v>
          </cell>
        </row>
        <row r="39">
          <cell r="A39">
            <v>6</v>
          </cell>
          <cell r="R39">
            <v>365</v>
          </cell>
          <cell r="W39">
            <v>365</v>
          </cell>
        </row>
        <row r="40">
          <cell r="A40">
            <v>6</v>
          </cell>
          <cell r="R40">
            <v>8414</v>
          </cell>
          <cell r="W40">
            <v>8414</v>
          </cell>
        </row>
        <row r="41">
          <cell r="A41">
            <v>7</v>
          </cell>
          <cell r="R41">
            <v>192</v>
          </cell>
          <cell r="W41">
            <v>192</v>
          </cell>
        </row>
        <row r="42">
          <cell r="A42">
            <v>7</v>
          </cell>
          <cell r="R42">
            <v>205</v>
          </cell>
          <cell r="W42">
            <v>205</v>
          </cell>
        </row>
        <row r="43">
          <cell r="A43">
            <v>6</v>
          </cell>
          <cell r="R43">
            <v>17</v>
          </cell>
          <cell r="W43">
            <v>17</v>
          </cell>
        </row>
        <row r="44">
          <cell r="A44">
            <v>7</v>
          </cell>
          <cell r="R44">
            <v>445</v>
          </cell>
          <cell r="W44">
            <v>445</v>
          </cell>
        </row>
        <row r="45">
          <cell r="A45">
            <v>4</v>
          </cell>
          <cell r="R45">
            <v>4080</v>
          </cell>
          <cell r="W45">
            <v>4080</v>
          </cell>
        </row>
        <row r="46">
          <cell r="A46">
            <v>7</v>
          </cell>
          <cell r="R46">
            <v>148</v>
          </cell>
          <cell r="W46">
            <v>148</v>
          </cell>
        </row>
        <row r="47">
          <cell r="A47">
            <v>7</v>
          </cell>
          <cell r="R47">
            <v>440</v>
          </cell>
          <cell r="W47">
            <v>440</v>
          </cell>
        </row>
        <row r="48">
          <cell r="A48">
            <v>5</v>
          </cell>
          <cell r="R48">
            <v>6194</v>
          </cell>
          <cell r="W48">
            <v>6194</v>
          </cell>
        </row>
        <row r="49">
          <cell r="A49">
            <v>5</v>
          </cell>
          <cell r="R49">
            <v>8976</v>
          </cell>
          <cell r="W49">
            <v>8976</v>
          </cell>
        </row>
        <row r="50">
          <cell r="A50">
            <v>5</v>
          </cell>
          <cell r="R50">
            <v>8976</v>
          </cell>
          <cell r="W50">
            <v>8976</v>
          </cell>
        </row>
        <row r="51">
          <cell r="A51">
            <v>9</v>
          </cell>
          <cell r="R51">
            <v>507</v>
          </cell>
          <cell r="W51">
            <v>507</v>
          </cell>
        </row>
        <row r="52">
          <cell r="A52">
            <v>11</v>
          </cell>
          <cell r="R52">
            <v>102</v>
          </cell>
          <cell r="W52">
            <v>102</v>
          </cell>
        </row>
        <row r="53">
          <cell r="A53">
            <v>11</v>
          </cell>
          <cell r="R53">
            <v>34</v>
          </cell>
          <cell r="W53">
            <v>34</v>
          </cell>
        </row>
        <row r="54">
          <cell r="A54">
            <v>11</v>
          </cell>
          <cell r="R54">
            <v>198</v>
          </cell>
          <cell r="W54">
            <v>198</v>
          </cell>
        </row>
        <row r="55">
          <cell r="A55">
            <v>11</v>
          </cell>
          <cell r="R55">
            <v>354</v>
          </cell>
          <cell r="W55">
            <v>354</v>
          </cell>
        </row>
        <row r="56">
          <cell r="A56">
            <v>11</v>
          </cell>
          <cell r="R56">
            <v>649</v>
          </cell>
          <cell r="W56">
            <v>649</v>
          </cell>
        </row>
        <row r="57">
          <cell r="A57">
            <v>11</v>
          </cell>
          <cell r="R57">
            <v>1045</v>
          </cell>
          <cell r="W57">
            <v>1045</v>
          </cell>
        </row>
        <row r="58">
          <cell r="A58">
            <v>9</v>
          </cell>
          <cell r="R58">
            <v>2191</v>
          </cell>
          <cell r="W58">
            <v>2191</v>
          </cell>
        </row>
        <row r="59">
          <cell r="A59">
            <v>8</v>
          </cell>
          <cell r="R59">
            <v>8976</v>
          </cell>
          <cell r="W59">
            <v>8976</v>
          </cell>
        </row>
        <row r="60">
          <cell r="A60">
            <v>11</v>
          </cell>
          <cell r="R60">
            <v>386</v>
          </cell>
          <cell r="W60">
            <v>386</v>
          </cell>
        </row>
        <row r="61">
          <cell r="A61">
            <v>11</v>
          </cell>
          <cell r="R61">
            <v>177</v>
          </cell>
          <cell r="W61">
            <v>177</v>
          </cell>
        </row>
        <row r="62">
          <cell r="A62">
            <v>11</v>
          </cell>
          <cell r="R62">
            <v>222</v>
          </cell>
          <cell r="W62">
            <v>222</v>
          </cell>
        </row>
        <row r="63">
          <cell r="A63">
            <v>11</v>
          </cell>
          <cell r="R63">
            <v>612</v>
          </cell>
          <cell r="W63">
            <v>612</v>
          </cell>
        </row>
        <row r="64">
          <cell r="A64">
            <v>11</v>
          </cell>
          <cell r="R64">
            <v>37</v>
          </cell>
          <cell r="W64">
            <v>37</v>
          </cell>
        </row>
        <row r="65">
          <cell r="A65">
            <v>9</v>
          </cell>
          <cell r="R65">
            <v>180</v>
          </cell>
          <cell r="W65">
            <v>180</v>
          </cell>
        </row>
        <row r="66">
          <cell r="A66">
            <v>11</v>
          </cell>
          <cell r="R66">
            <v>368</v>
          </cell>
          <cell r="W66">
            <v>368</v>
          </cell>
        </row>
        <row r="67">
          <cell r="A67">
            <v>9</v>
          </cell>
          <cell r="R67">
            <v>607</v>
          </cell>
          <cell r="W67">
            <v>607</v>
          </cell>
        </row>
        <row r="68">
          <cell r="A68">
            <v>9</v>
          </cell>
          <cell r="R68">
            <v>1904</v>
          </cell>
          <cell r="W68">
            <v>1904</v>
          </cell>
        </row>
        <row r="69">
          <cell r="A69">
            <v>11</v>
          </cell>
          <cell r="R69">
            <v>770</v>
          </cell>
          <cell r="W69">
            <v>770</v>
          </cell>
        </row>
        <row r="70">
          <cell r="A70">
            <v>11</v>
          </cell>
          <cell r="R70">
            <v>63</v>
          </cell>
          <cell r="W70">
            <v>63</v>
          </cell>
        </row>
        <row r="71">
          <cell r="A71">
            <v>11</v>
          </cell>
          <cell r="R71">
            <v>63</v>
          </cell>
          <cell r="W71">
            <v>63</v>
          </cell>
        </row>
        <row r="72">
          <cell r="A72">
            <v>11</v>
          </cell>
          <cell r="R72">
            <v>108</v>
          </cell>
          <cell r="W72">
            <v>108</v>
          </cell>
        </row>
        <row r="73">
          <cell r="A73">
            <v>11</v>
          </cell>
          <cell r="R73">
            <v>147</v>
          </cell>
          <cell r="W73">
            <v>147</v>
          </cell>
        </row>
        <row r="74">
          <cell r="A74">
            <v>9</v>
          </cell>
          <cell r="R74">
            <v>987</v>
          </cell>
          <cell r="W74">
            <v>987</v>
          </cell>
        </row>
        <row r="75">
          <cell r="A75">
            <v>11</v>
          </cell>
          <cell r="R75">
            <v>429</v>
          </cell>
          <cell r="W75">
            <v>429</v>
          </cell>
        </row>
        <row r="76">
          <cell r="A76">
            <v>11</v>
          </cell>
          <cell r="R76">
            <v>485</v>
          </cell>
          <cell r="W76">
            <v>485</v>
          </cell>
        </row>
        <row r="77">
          <cell r="A77">
            <v>11</v>
          </cell>
          <cell r="R77">
            <v>11</v>
          </cell>
          <cell r="W77">
            <v>11</v>
          </cell>
        </row>
        <row r="78">
          <cell r="A78">
            <v>11</v>
          </cell>
          <cell r="R78">
            <v>29</v>
          </cell>
          <cell r="W78">
            <v>29</v>
          </cell>
        </row>
        <row r="79">
          <cell r="A79">
            <v>11</v>
          </cell>
          <cell r="R79">
            <v>61</v>
          </cell>
          <cell r="W79">
            <v>61</v>
          </cell>
        </row>
        <row r="80">
          <cell r="A80">
            <v>11</v>
          </cell>
          <cell r="R80">
            <v>123</v>
          </cell>
          <cell r="W80">
            <v>123</v>
          </cell>
        </row>
        <row r="81">
          <cell r="A81">
            <v>11</v>
          </cell>
          <cell r="R81">
            <v>164</v>
          </cell>
          <cell r="W81">
            <v>164</v>
          </cell>
        </row>
        <row r="82">
          <cell r="A82">
            <v>11</v>
          </cell>
          <cell r="R82">
            <v>169</v>
          </cell>
          <cell r="W82">
            <v>169</v>
          </cell>
        </row>
        <row r="83">
          <cell r="A83">
            <v>11</v>
          </cell>
          <cell r="R83">
            <v>55</v>
          </cell>
          <cell r="W83">
            <v>55</v>
          </cell>
        </row>
        <row r="84">
          <cell r="A84">
            <v>11</v>
          </cell>
          <cell r="R84">
            <v>181</v>
          </cell>
          <cell r="W84">
            <v>181</v>
          </cell>
        </row>
        <row r="85">
          <cell r="A85">
            <v>11</v>
          </cell>
          <cell r="R85">
            <v>100</v>
          </cell>
          <cell r="W85">
            <v>100</v>
          </cell>
        </row>
        <row r="86">
          <cell r="A86">
            <v>11</v>
          </cell>
          <cell r="R86">
            <v>165</v>
          </cell>
          <cell r="W86">
            <v>165</v>
          </cell>
        </row>
        <row r="87">
          <cell r="A87">
            <v>11</v>
          </cell>
          <cell r="R87">
            <v>119</v>
          </cell>
          <cell r="W87">
            <v>119</v>
          </cell>
        </row>
        <row r="88">
          <cell r="A88">
            <v>12</v>
          </cell>
          <cell r="R88">
            <v>256</v>
          </cell>
          <cell r="W88">
            <v>256</v>
          </cell>
        </row>
        <row r="89">
          <cell r="A89">
            <v>12</v>
          </cell>
          <cell r="R89">
            <v>365</v>
          </cell>
          <cell r="W89">
            <v>365</v>
          </cell>
        </row>
        <row r="90">
          <cell r="A90">
            <v>11</v>
          </cell>
          <cell r="R90">
            <v>166</v>
          </cell>
          <cell r="W90">
            <v>166</v>
          </cell>
        </row>
        <row r="91">
          <cell r="A91">
            <v>12</v>
          </cell>
          <cell r="R91">
            <v>242</v>
          </cell>
          <cell r="W91">
            <v>242</v>
          </cell>
        </row>
        <row r="92">
          <cell r="A92">
            <v>10</v>
          </cell>
          <cell r="R92">
            <v>85</v>
          </cell>
          <cell r="W92">
            <v>85</v>
          </cell>
        </row>
        <row r="93">
          <cell r="A93">
            <v>11</v>
          </cell>
          <cell r="R93">
            <v>474</v>
          </cell>
          <cell r="W93">
            <v>474</v>
          </cell>
        </row>
        <row r="94">
          <cell r="A94">
            <v>12</v>
          </cell>
          <cell r="R94">
            <v>37</v>
          </cell>
          <cell r="W94">
            <v>37</v>
          </cell>
        </row>
        <row r="95">
          <cell r="A95">
            <v>12</v>
          </cell>
          <cell r="R95">
            <v>1507</v>
          </cell>
          <cell r="W95">
            <v>1507</v>
          </cell>
        </row>
        <row r="96">
          <cell r="A96">
            <v>13</v>
          </cell>
          <cell r="R96">
            <v>157</v>
          </cell>
          <cell r="W96">
            <v>157</v>
          </cell>
        </row>
        <row r="97">
          <cell r="A97">
            <v>11</v>
          </cell>
          <cell r="R97">
            <v>61</v>
          </cell>
          <cell r="W97">
            <v>61</v>
          </cell>
        </row>
        <row r="98">
          <cell r="A98">
            <v>12</v>
          </cell>
          <cell r="R98">
            <v>83</v>
          </cell>
          <cell r="W98">
            <v>83</v>
          </cell>
        </row>
        <row r="105">
          <cell r="A105" t="str">
            <v>Total</v>
          </cell>
          <cell r="R105">
            <v>79628</v>
          </cell>
          <cell r="W105">
            <v>79628</v>
          </cell>
        </row>
      </sheetData>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s>
    <sheetDataSet>
      <sheetData sheetId="0"/>
      <sheetData sheetId="1">
        <row r="18">
          <cell r="V18" t="str">
            <v>Others</v>
          </cell>
        </row>
      </sheetData>
      <sheetData sheetId="2">
        <row r="7">
          <cell r="A7">
            <v>1</v>
          </cell>
          <cell r="B7" t="str">
            <v>94C</v>
          </cell>
          <cell r="C7">
            <v>4673</v>
          </cell>
          <cell r="D7">
            <v>0</v>
          </cell>
          <cell r="E7">
            <v>0</v>
          </cell>
          <cell r="F7">
            <v>0</v>
          </cell>
          <cell r="G7">
            <v>0</v>
          </cell>
          <cell r="I7">
            <v>4673</v>
          </cell>
          <cell r="J7">
            <v>333894</v>
          </cell>
          <cell r="L7">
            <v>170032</v>
          </cell>
          <cell r="N7">
            <v>39028</v>
          </cell>
          <cell r="P7">
            <v>303</v>
          </cell>
          <cell r="R7">
            <v>0</v>
          </cell>
          <cell r="S7">
            <v>0</v>
          </cell>
          <cell r="U7">
            <v>4673</v>
          </cell>
        </row>
        <row r="8">
          <cell r="A8">
            <v>2</v>
          </cell>
          <cell r="B8" t="str">
            <v>94J</v>
          </cell>
          <cell r="C8">
            <v>8160</v>
          </cell>
          <cell r="D8">
            <v>0</v>
          </cell>
          <cell r="E8">
            <v>0</v>
          </cell>
          <cell r="F8">
            <v>0</v>
          </cell>
          <cell r="G8">
            <v>0</v>
          </cell>
          <cell r="I8">
            <v>8160</v>
          </cell>
          <cell r="J8">
            <v>333897</v>
          </cell>
          <cell r="L8">
            <v>170032</v>
          </cell>
          <cell r="N8">
            <v>39028</v>
          </cell>
          <cell r="P8">
            <v>304</v>
          </cell>
          <cell r="R8">
            <v>0</v>
          </cell>
          <cell r="S8">
            <v>0</v>
          </cell>
          <cell r="U8">
            <v>8160</v>
          </cell>
        </row>
        <row r="9">
          <cell r="A9">
            <v>3</v>
          </cell>
          <cell r="B9" t="str">
            <v>94C</v>
          </cell>
          <cell r="C9">
            <v>653</v>
          </cell>
          <cell r="D9">
            <v>0</v>
          </cell>
          <cell r="E9">
            <v>0</v>
          </cell>
          <cell r="F9">
            <v>0</v>
          </cell>
          <cell r="G9">
            <v>0</v>
          </cell>
          <cell r="I9">
            <v>653</v>
          </cell>
          <cell r="J9">
            <v>333895</v>
          </cell>
          <cell r="L9">
            <v>170032</v>
          </cell>
          <cell r="N9">
            <v>39028</v>
          </cell>
          <cell r="P9">
            <v>308</v>
          </cell>
          <cell r="R9">
            <v>0</v>
          </cell>
          <cell r="S9">
            <v>0</v>
          </cell>
          <cell r="U9">
            <v>653</v>
          </cell>
        </row>
        <row r="10">
          <cell r="A10">
            <v>4</v>
          </cell>
          <cell r="B10" t="str">
            <v>94J</v>
          </cell>
          <cell r="C10">
            <v>4080</v>
          </cell>
          <cell r="D10">
            <v>0</v>
          </cell>
          <cell r="E10">
            <v>0</v>
          </cell>
          <cell r="F10">
            <v>0</v>
          </cell>
          <cell r="G10">
            <v>0</v>
          </cell>
          <cell r="I10">
            <v>4080</v>
          </cell>
          <cell r="J10">
            <v>334034</v>
          </cell>
          <cell r="L10">
            <v>170032</v>
          </cell>
          <cell r="N10">
            <v>39058</v>
          </cell>
          <cell r="P10">
            <v>547</v>
          </cell>
          <cell r="R10">
            <v>0</v>
          </cell>
          <cell r="S10">
            <v>0</v>
          </cell>
          <cell r="U10">
            <v>4080</v>
          </cell>
        </row>
        <row r="11">
          <cell r="A11">
            <v>5</v>
          </cell>
          <cell r="B11" t="str">
            <v>94I</v>
          </cell>
          <cell r="C11">
            <v>23936</v>
          </cell>
          <cell r="D11">
            <v>0</v>
          </cell>
          <cell r="E11">
            <v>0</v>
          </cell>
          <cell r="F11">
            <v>210</v>
          </cell>
          <cell r="G11">
            <v>0</v>
          </cell>
          <cell r="I11">
            <v>24146</v>
          </cell>
          <cell r="J11">
            <v>334035</v>
          </cell>
          <cell r="L11">
            <v>170032</v>
          </cell>
          <cell r="N11">
            <v>39058</v>
          </cell>
          <cell r="P11">
            <v>565</v>
          </cell>
          <cell r="R11">
            <v>0</v>
          </cell>
          <cell r="S11">
            <v>0</v>
          </cell>
          <cell r="U11">
            <v>24146</v>
          </cell>
        </row>
        <row r="12">
          <cell r="A12">
            <v>6</v>
          </cell>
          <cell r="B12" t="str">
            <v>94C</v>
          </cell>
          <cell r="C12">
            <v>9031</v>
          </cell>
          <cell r="D12">
            <v>0</v>
          </cell>
          <cell r="E12">
            <v>0</v>
          </cell>
          <cell r="F12">
            <v>0</v>
          </cell>
          <cell r="G12">
            <v>0</v>
          </cell>
          <cell r="I12">
            <v>9031</v>
          </cell>
          <cell r="J12">
            <v>260584</v>
          </cell>
          <cell r="L12">
            <v>170032</v>
          </cell>
          <cell r="N12">
            <v>39057</v>
          </cell>
          <cell r="P12">
            <v>464</v>
          </cell>
          <cell r="R12">
            <v>0</v>
          </cell>
          <cell r="S12">
            <v>0</v>
          </cell>
          <cell r="U12">
            <v>9031</v>
          </cell>
        </row>
        <row r="13">
          <cell r="A13">
            <v>7</v>
          </cell>
          <cell r="B13" t="str">
            <v>94C</v>
          </cell>
          <cell r="C13">
            <v>2674</v>
          </cell>
          <cell r="D13">
            <v>0</v>
          </cell>
          <cell r="E13">
            <v>0</v>
          </cell>
          <cell r="F13">
            <v>0</v>
          </cell>
          <cell r="G13">
            <v>0</v>
          </cell>
          <cell r="I13">
            <v>2674</v>
          </cell>
          <cell r="J13">
            <v>260585</v>
          </cell>
          <cell r="L13">
            <v>170032</v>
          </cell>
          <cell r="N13">
            <v>39057</v>
          </cell>
          <cell r="P13">
            <v>447</v>
          </cell>
          <cell r="R13">
            <v>0</v>
          </cell>
          <cell r="S13">
            <v>0</v>
          </cell>
          <cell r="U13">
            <v>2674</v>
          </cell>
        </row>
        <row r="14">
          <cell r="A14">
            <v>8</v>
          </cell>
          <cell r="B14" t="str">
            <v>94I</v>
          </cell>
          <cell r="C14">
            <v>8976</v>
          </cell>
          <cell r="D14">
            <v>0</v>
          </cell>
          <cell r="E14">
            <v>0</v>
          </cell>
          <cell r="F14">
            <v>0</v>
          </cell>
          <cell r="G14">
            <v>0</v>
          </cell>
          <cell r="I14">
            <v>8976</v>
          </cell>
          <cell r="J14">
            <v>260643</v>
          </cell>
          <cell r="L14">
            <v>170032</v>
          </cell>
          <cell r="N14">
            <v>39064</v>
          </cell>
          <cell r="P14">
            <v>513</v>
          </cell>
          <cell r="R14">
            <v>0</v>
          </cell>
          <cell r="S14">
            <v>0</v>
          </cell>
          <cell r="U14">
            <v>8976</v>
          </cell>
        </row>
        <row r="15">
          <cell r="A15">
            <v>9</v>
          </cell>
          <cell r="B15" t="str">
            <v>94C</v>
          </cell>
          <cell r="C15">
            <v>6376</v>
          </cell>
          <cell r="D15">
            <v>0</v>
          </cell>
          <cell r="E15">
            <v>0</v>
          </cell>
          <cell r="F15">
            <v>0</v>
          </cell>
          <cell r="G15">
            <v>0</v>
          </cell>
          <cell r="I15">
            <v>6376</v>
          </cell>
          <cell r="J15">
            <v>265593</v>
          </cell>
          <cell r="L15">
            <v>170032</v>
          </cell>
          <cell r="N15">
            <v>39088</v>
          </cell>
          <cell r="P15">
            <v>399</v>
          </cell>
          <cell r="R15">
            <v>0</v>
          </cell>
          <cell r="S15">
            <v>0</v>
          </cell>
          <cell r="T15">
            <v>234</v>
          </cell>
          <cell r="U15">
            <v>6376</v>
          </cell>
        </row>
        <row r="16">
          <cell r="A16">
            <v>10</v>
          </cell>
          <cell r="B16" t="str">
            <v>94C</v>
          </cell>
          <cell r="C16">
            <v>85</v>
          </cell>
          <cell r="D16">
            <v>0</v>
          </cell>
          <cell r="E16">
            <v>0</v>
          </cell>
          <cell r="F16">
            <v>0</v>
          </cell>
          <cell r="G16">
            <v>0</v>
          </cell>
          <cell r="I16">
            <v>85</v>
          </cell>
          <cell r="J16">
            <v>265595</v>
          </cell>
          <cell r="L16">
            <v>170032</v>
          </cell>
          <cell r="N16">
            <v>39088</v>
          </cell>
          <cell r="P16">
            <v>398</v>
          </cell>
          <cell r="R16">
            <v>0</v>
          </cell>
          <cell r="S16">
            <v>0</v>
          </cell>
          <cell r="U16">
            <v>85</v>
          </cell>
        </row>
        <row r="17">
          <cell r="A17">
            <v>11</v>
          </cell>
          <cell r="B17" t="str">
            <v>94C</v>
          </cell>
          <cell r="C17">
            <v>8127</v>
          </cell>
          <cell r="D17">
            <v>0</v>
          </cell>
          <cell r="E17">
            <v>0</v>
          </cell>
          <cell r="F17">
            <v>0</v>
          </cell>
          <cell r="G17">
            <v>0</v>
          </cell>
          <cell r="I17">
            <v>8127</v>
          </cell>
          <cell r="J17">
            <v>265594</v>
          </cell>
          <cell r="L17">
            <v>170032</v>
          </cell>
          <cell r="N17">
            <v>39088</v>
          </cell>
          <cell r="P17">
            <v>400</v>
          </cell>
          <cell r="R17">
            <v>0</v>
          </cell>
          <cell r="S17">
            <v>0</v>
          </cell>
          <cell r="U17">
            <v>8127</v>
          </cell>
        </row>
        <row r="18">
          <cell r="A18">
            <v>12</v>
          </cell>
          <cell r="B18" t="str">
            <v>94C</v>
          </cell>
          <cell r="C18">
            <v>2490</v>
          </cell>
          <cell r="D18">
            <v>0</v>
          </cell>
          <cell r="E18">
            <v>0</v>
          </cell>
          <cell r="F18">
            <v>0</v>
          </cell>
          <cell r="G18">
            <v>0</v>
          </cell>
          <cell r="I18">
            <v>2490</v>
          </cell>
          <cell r="J18">
            <v>365604</v>
          </cell>
          <cell r="L18">
            <v>170032</v>
          </cell>
          <cell r="N18">
            <v>39090</v>
          </cell>
          <cell r="P18">
            <v>560</v>
          </cell>
          <cell r="R18">
            <v>0</v>
          </cell>
          <cell r="S18">
            <v>0</v>
          </cell>
          <cell r="U18">
            <v>2490</v>
          </cell>
        </row>
        <row r="19">
          <cell r="A19">
            <v>13</v>
          </cell>
          <cell r="B19" t="str">
            <v>94C</v>
          </cell>
          <cell r="C19">
            <v>157</v>
          </cell>
          <cell r="D19">
            <v>0</v>
          </cell>
          <cell r="E19">
            <v>0</v>
          </cell>
          <cell r="F19">
            <v>0</v>
          </cell>
          <cell r="G19">
            <v>0</v>
          </cell>
          <cell r="I19">
            <v>157</v>
          </cell>
          <cell r="J19">
            <v>365605</v>
          </cell>
          <cell r="L19">
            <v>170032</v>
          </cell>
          <cell r="N19">
            <v>39090</v>
          </cell>
          <cell r="P19">
            <v>519</v>
          </cell>
          <cell r="R19">
            <v>0</v>
          </cell>
          <cell r="S19">
            <v>0</v>
          </cell>
          <cell r="U19">
            <v>157</v>
          </cell>
        </row>
        <row r="20">
          <cell r="I20">
            <v>0</v>
          </cell>
          <cell r="U20">
            <v>0</v>
          </cell>
        </row>
        <row r="21">
          <cell r="I21">
            <v>0</v>
          </cell>
          <cell r="U21">
            <v>0</v>
          </cell>
        </row>
        <row r="22">
          <cell r="I22">
            <v>0</v>
          </cell>
          <cell r="U22">
            <v>0</v>
          </cell>
        </row>
        <row r="23">
          <cell r="A23" t="str">
            <v>Total</v>
          </cell>
          <cell r="C23">
            <v>79418</v>
          </cell>
          <cell r="D23">
            <v>0</v>
          </cell>
          <cell r="E23">
            <v>0</v>
          </cell>
          <cell r="F23">
            <v>210</v>
          </cell>
          <cell r="G23">
            <v>0</v>
          </cell>
          <cell r="H23">
            <v>0</v>
          </cell>
          <cell r="I23">
            <v>79628</v>
          </cell>
          <cell r="R23">
            <v>0</v>
          </cell>
          <cell r="S23">
            <v>0</v>
          </cell>
          <cell r="T23" t="e">
            <v>#REF!</v>
          </cell>
          <cell r="U23">
            <v>79628</v>
          </cell>
        </row>
        <row r="819">
          <cell r="IV819">
            <v>193</v>
          </cell>
        </row>
        <row r="820">
          <cell r="IV820" t="str">
            <v>94A</v>
          </cell>
        </row>
        <row r="821">
          <cell r="IV821" t="str">
            <v>94B</v>
          </cell>
        </row>
        <row r="822">
          <cell r="IV822" t="str">
            <v>4BB</v>
          </cell>
        </row>
        <row r="823">
          <cell r="IV823" t="str">
            <v>94C</v>
          </cell>
        </row>
        <row r="824">
          <cell r="IV824" t="str">
            <v>94D</v>
          </cell>
        </row>
        <row r="825">
          <cell r="IV825" t="str">
            <v>4EE</v>
          </cell>
        </row>
        <row r="826">
          <cell r="IV826" t="str">
            <v>94F</v>
          </cell>
        </row>
        <row r="827">
          <cell r="IV827" t="str">
            <v>94G</v>
          </cell>
        </row>
        <row r="828">
          <cell r="IV828" t="str">
            <v>94H</v>
          </cell>
        </row>
        <row r="829">
          <cell r="IV829" t="str">
            <v>94I</v>
          </cell>
        </row>
        <row r="830">
          <cell r="IV830" t="str">
            <v>94J</v>
          </cell>
        </row>
        <row r="831">
          <cell r="IV831" t="str">
            <v>94K</v>
          </cell>
        </row>
        <row r="832">
          <cell r="IV832" t="str">
            <v>94L</v>
          </cell>
        </row>
      </sheetData>
      <sheetData sheetId="3">
        <row r="11">
          <cell r="A11">
            <v>1</v>
          </cell>
          <cell r="R11">
            <v>306</v>
          </cell>
          <cell r="W11">
            <v>306</v>
          </cell>
        </row>
        <row r="12">
          <cell r="A12">
            <v>3</v>
          </cell>
          <cell r="R12">
            <v>25</v>
          </cell>
          <cell r="W12">
            <v>25</v>
          </cell>
        </row>
        <row r="13">
          <cell r="A13">
            <v>1</v>
          </cell>
          <cell r="R13">
            <v>445</v>
          </cell>
          <cell r="W13">
            <v>445</v>
          </cell>
        </row>
        <row r="14">
          <cell r="A14">
            <v>1</v>
          </cell>
          <cell r="R14">
            <v>600</v>
          </cell>
          <cell r="W14">
            <v>600</v>
          </cell>
        </row>
        <row r="15">
          <cell r="A15">
            <v>1</v>
          </cell>
          <cell r="R15">
            <v>306</v>
          </cell>
          <cell r="W15">
            <v>306</v>
          </cell>
        </row>
        <row r="16">
          <cell r="A16">
            <v>1</v>
          </cell>
          <cell r="R16">
            <v>45</v>
          </cell>
          <cell r="W16">
            <v>45</v>
          </cell>
        </row>
        <row r="17">
          <cell r="A17">
            <v>1</v>
          </cell>
          <cell r="R17">
            <v>59</v>
          </cell>
          <cell r="W17">
            <v>59</v>
          </cell>
        </row>
        <row r="18">
          <cell r="A18">
            <v>1</v>
          </cell>
          <cell r="R18">
            <v>63</v>
          </cell>
          <cell r="W18">
            <v>63</v>
          </cell>
        </row>
        <row r="19">
          <cell r="A19">
            <v>1</v>
          </cell>
          <cell r="R19">
            <v>108</v>
          </cell>
          <cell r="W19">
            <v>108</v>
          </cell>
        </row>
        <row r="20">
          <cell r="A20">
            <v>1</v>
          </cell>
          <cell r="R20">
            <v>122</v>
          </cell>
          <cell r="W20">
            <v>122</v>
          </cell>
        </row>
        <row r="21">
          <cell r="A21">
            <v>1</v>
          </cell>
          <cell r="R21">
            <v>263</v>
          </cell>
          <cell r="W21">
            <v>263</v>
          </cell>
        </row>
        <row r="22">
          <cell r="A22">
            <v>1</v>
          </cell>
          <cell r="R22">
            <v>282</v>
          </cell>
          <cell r="W22">
            <v>282</v>
          </cell>
        </row>
        <row r="23">
          <cell r="A23">
            <v>1</v>
          </cell>
          <cell r="R23">
            <v>306</v>
          </cell>
          <cell r="W23">
            <v>306</v>
          </cell>
        </row>
        <row r="24">
          <cell r="A24">
            <v>3</v>
          </cell>
          <cell r="R24">
            <v>628</v>
          </cell>
          <cell r="W24">
            <v>628</v>
          </cell>
        </row>
        <row r="25">
          <cell r="A25">
            <v>1</v>
          </cell>
          <cell r="R25">
            <v>51</v>
          </cell>
          <cell r="W25">
            <v>51</v>
          </cell>
        </row>
        <row r="26">
          <cell r="A26">
            <v>1</v>
          </cell>
          <cell r="R26">
            <v>85</v>
          </cell>
          <cell r="W26">
            <v>85</v>
          </cell>
        </row>
        <row r="27">
          <cell r="A27">
            <v>1</v>
          </cell>
          <cell r="R27">
            <v>102</v>
          </cell>
          <cell r="W27">
            <v>102</v>
          </cell>
        </row>
        <row r="28">
          <cell r="A28">
            <v>1</v>
          </cell>
          <cell r="R28">
            <v>33</v>
          </cell>
          <cell r="W28">
            <v>33</v>
          </cell>
        </row>
        <row r="29">
          <cell r="A29">
            <v>1</v>
          </cell>
          <cell r="R29">
            <v>426</v>
          </cell>
          <cell r="W29">
            <v>426</v>
          </cell>
        </row>
        <row r="30">
          <cell r="A30">
            <v>1</v>
          </cell>
          <cell r="R30">
            <v>551</v>
          </cell>
          <cell r="W30">
            <v>551</v>
          </cell>
        </row>
        <row r="31">
          <cell r="A31">
            <v>1</v>
          </cell>
          <cell r="R31">
            <v>520</v>
          </cell>
          <cell r="W31">
            <v>520</v>
          </cell>
        </row>
        <row r="32">
          <cell r="A32">
            <v>2</v>
          </cell>
          <cell r="R32">
            <v>8160</v>
          </cell>
          <cell r="W32">
            <v>8160</v>
          </cell>
        </row>
        <row r="33">
          <cell r="A33">
            <v>7</v>
          </cell>
          <cell r="R33">
            <v>291</v>
          </cell>
          <cell r="W33">
            <v>291</v>
          </cell>
        </row>
        <row r="34">
          <cell r="A34">
            <v>7</v>
          </cell>
          <cell r="R34">
            <v>329</v>
          </cell>
          <cell r="W34">
            <v>329</v>
          </cell>
        </row>
        <row r="35">
          <cell r="A35">
            <v>7</v>
          </cell>
          <cell r="R35">
            <v>169</v>
          </cell>
          <cell r="W35">
            <v>169</v>
          </cell>
        </row>
        <row r="36">
          <cell r="A36">
            <v>6</v>
          </cell>
          <cell r="R36">
            <v>235</v>
          </cell>
          <cell r="W36">
            <v>235</v>
          </cell>
        </row>
        <row r="37">
          <cell r="A37">
            <v>7</v>
          </cell>
          <cell r="R37">
            <v>369</v>
          </cell>
          <cell r="W37">
            <v>369</v>
          </cell>
        </row>
        <row r="38">
          <cell r="A38">
            <v>7</v>
          </cell>
          <cell r="R38">
            <v>86</v>
          </cell>
          <cell r="W38">
            <v>86</v>
          </cell>
        </row>
        <row r="39">
          <cell r="A39">
            <v>6</v>
          </cell>
          <cell r="R39">
            <v>365</v>
          </cell>
          <cell r="W39">
            <v>365</v>
          </cell>
        </row>
        <row r="40">
          <cell r="A40">
            <v>6</v>
          </cell>
          <cell r="R40">
            <v>8414</v>
          </cell>
          <cell r="W40">
            <v>8414</v>
          </cell>
        </row>
        <row r="41">
          <cell r="A41">
            <v>7</v>
          </cell>
          <cell r="R41">
            <v>192</v>
          </cell>
          <cell r="W41">
            <v>192</v>
          </cell>
        </row>
        <row r="42">
          <cell r="A42">
            <v>7</v>
          </cell>
          <cell r="R42">
            <v>205</v>
          </cell>
          <cell r="W42">
            <v>205</v>
          </cell>
        </row>
        <row r="43">
          <cell r="A43">
            <v>6</v>
          </cell>
          <cell r="R43">
            <v>17</v>
          </cell>
          <cell r="W43">
            <v>17</v>
          </cell>
        </row>
        <row r="44">
          <cell r="A44">
            <v>7</v>
          </cell>
          <cell r="R44">
            <v>445</v>
          </cell>
          <cell r="W44">
            <v>445</v>
          </cell>
        </row>
        <row r="45">
          <cell r="A45">
            <v>4</v>
          </cell>
          <cell r="R45">
            <v>4080</v>
          </cell>
          <cell r="W45">
            <v>4080</v>
          </cell>
        </row>
        <row r="46">
          <cell r="A46">
            <v>7</v>
          </cell>
          <cell r="R46">
            <v>148</v>
          </cell>
          <cell r="W46">
            <v>148</v>
          </cell>
        </row>
        <row r="47">
          <cell r="A47">
            <v>7</v>
          </cell>
          <cell r="R47">
            <v>440</v>
          </cell>
          <cell r="W47">
            <v>440</v>
          </cell>
        </row>
        <row r="48">
          <cell r="A48">
            <v>5</v>
          </cell>
          <cell r="R48">
            <v>6194</v>
          </cell>
          <cell r="W48">
            <v>6194</v>
          </cell>
        </row>
        <row r="49">
          <cell r="A49">
            <v>5</v>
          </cell>
          <cell r="R49">
            <v>8976</v>
          </cell>
          <cell r="W49">
            <v>8976</v>
          </cell>
        </row>
        <row r="50">
          <cell r="A50">
            <v>5</v>
          </cell>
          <cell r="R50">
            <v>8976</v>
          </cell>
          <cell r="W50">
            <v>8976</v>
          </cell>
        </row>
        <row r="51">
          <cell r="A51">
            <v>9</v>
          </cell>
          <cell r="R51">
            <v>507</v>
          </cell>
          <cell r="W51">
            <v>507</v>
          </cell>
        </row>
        <row r="52">
          <cell r="A52">
            <v>11</v>
          </cell>
          <cell r="R52">
            <v>102</v>
          </cell>
          <cell r="W52">
            <v>102</v>
          </cell>
        </row>
        <row r="53">
          <cell r="A53">
            <v>11</v>
          </cell>
          <cell r="R53">
            <v>34</v>
          </cell>
          <cell r="W53">
            <v>34</v>
          </cell>
        </row>
        <row r="54">
          <cell r="A54">
            <v>11</v>
          </cell>
          <cell r="R54">
            <v>198</v>
          </cell>
          <cell r="W54">
            <v>198</v>
          </cell>
        </row>
        <row r="55">
          <cell r="A55">
            <v>11</v>
          </cell>
          <cell r="R55">
            <v>354</v>
          </cell>
          <cell r="W55">
            <v>354</v>
          </cell>
        </row>
        <row r="56">
          <cell r="A56">
            <v>11</v>
          </cell>
          <cell r="R56">
            <v>649</v>
          </cell>
          <cell r="W56">
            <v>649</v>
          </cell>
        </row>
        <row r="57">
          <cell r="A57">
            <v>11</v>
          </cell>
          <cell r="R57">
            <v>1045</v>
          </cell>
          <cell r="W57">
            <v>1045</v>
          </cell>
        </row>
        <row r="58">
          <cell r="A58">
            <v>9</v>
          </cell>
          <cell r="R58">
            <v>2191</v>
          </cell>
          <cell r="W58">
            <v>2191</v>
          </cell>
        </row>
        <row r="59">
          <cell r="A59">
            <v>8</v>
          </cell>
          <cell r="R59">
            <v>8976</v>
          </cell>
          <cell r="W59">
            <v>8976</v>
          </cell>
        </row>
        <row r="60">
          <cell r="A60">
            <v>11</v>
          </cell>
          <cell r="R60">
            <v>386</v>
          </cell>
          <cell r="W60">
            <v>386</v>
          </cell>
        </row>
        <row r="61">
          <cell r="A61">
            <v>11</v>
          </cell>
          <cell r="R61">
            <v>177</v>
          </cell>
          <cell r="W61">
            <v>177</v>
          </cell>
        </row>
        <row r="62">
          <cell r="A62">
            <v>11</v>
          </cell>
          <cell r="R62">
            <v>222</v>
          </cell>
          <cell r="W62">
            <v>222</v>
          </cell>
        </row>
        <row r="63">
          <cell r="A63">
            <v>11</v>
          </cell>
          <cell r="R63">
            <v>612</v>
          </cell>
          <cell r="W63">
            <v>612</v>
          </cell>
        </row>
        <row r="64">
          <cell r="A64">
            <v>11</v>
          </cell>
          <cell r="R64">
            <v>37</v>
          </cell>
          <cell r="W64">
            <v>37</v>
          </cell>
        </row>
        <row r="65">
          <cell r="A65">
            <v>9</v>
          </cell>
          <cell r="R65">
            <v>180</v>
          </cell>
          <cell r="W65">
            <v>180</v>
          </cell>
        </row>
        <row r="66">
          <cell r="A66">
            <v>11</v>
          </cell>
          <cell r="R66">
            <v>368</v>
          </cell>
          <cell r="W66">
            <v>368</v>
          </cell>
        </row>
        <row r="67">
          <cell r="A67">
            <v>9</v>
          </cell>
          <cell r="R67">
            <v>607</v>
          </cell>
          <cell r="W67">
            <v>607</v>
          </cell>
        </row>
        <row r="68">
          <cell r="A68">
            <v>9</v>
          </cell>
          <cell r="R68">
            <v>1904</v>
          </cell>
          <cell r="W68">
            <v>1904</v>
          </cell>
        </row>
        <row r="69">
          <cell r="A69">
            <v>11</v>
          </cell>
          <cell r="R69">
            <v>770</v>
          </cell>
          <cell r="W69">
            <v>770</v>
          </cell>
        </row>
        <row r="70">
          <cell r="A70">
            <v>11</v>
          </cell>
          <cell r="R70">
            <v>63</v>
          </cell>
          <cell r="W70">
            <v>63</v>
          </cell>
        </row>
        <row r="71">
          <cell r="A71">
            <v>11</v>
          </cell>
          <cell r="R71">
            <v>63</v>
          </cell>
          <cell r="W71">
            <v>63</v>
          </cell>
        </row>
        <row r="72">
          <cell r="A72">
            <v>11</v>
          </cell>
          <cell r="R72">
            <v>108</v>
          </cell>
          <cell r="W72">
            <v>108</v>
          </cell>
        </row>
        <row r="73">
          <cell r="A73">
            <v>11</v>
          </cell>
          <cell r="R73">
            <v>147</v>
          </cell>
          <cell r="W73">
            <v>147</v>
          </cell>
        </row>
        <row r="74">
          <cell r="A74">
            <v>9</v>
          </cell>
          <cell r="R74">
            <v>987</v>
          </cell>
          <cell r="W74">
            <v>987</v>
          </cell>
        </row>
        <row r="75">
          <cell r="A75">
            <v>11</v>
          </cell>
          <cell r="R75">
            <v>429</v>
          </cell>
          <cell r="W75">
            <v>429</v>
          </cell>
        </row>
        <row r="76">
          <cell r="A76">
            <v>11</v>
          </cell>
          <cell r="R76">
            <v>485</v>
          </cell>
          <cell r="W76">
            <v>485</v>
          </cell>
        </row>
        <row r="77">
          <cell r="A77">
            <v>11</v>
          </cell>
          <cell r="R77">
            <v>11</v>
          </cell>
          <cell r="W77">
            <v>11</v>
          </cell>
        </row>
        <row r="78">
          <cell r="A78">
            <v>11</v>
          </cell>
          <cell r="R78">
            <v>29</v>
          </cell>
          <cell r="W78">
            <v>29</v>
          </cell>
        </row>
        <row r="79">
          <cell r="A79">
            <v>11</v>
          </cell>
          <cell r="R79">
            <v>61</v>
          </cell>
          <cell r="W79">
            <v>61</v>
          </cell>
        </row>
        <row r="80">
          <cell r="A80">
            <v>11</v>
          </cell>
          <cell r="R80">
            <v>123</v>
          </cell>
          <cell r="W80">
            <v>123</v>
          </cell>
        </row>
        <row r="81">
          <cell r="A81">
            <v>11</v>
          </cell>
          <cell r="R81">
            <v>164</v>
          </cell>
          <cell r="W81">
            <v>164</v>
          </cell>
        </row>
        <row r="82">
          <cell r="A82">
            <v>11</v>
          </cell>
          <cell r="R82">
            <v>169</v>
          </cell>
          <cell r="W82">
            <v>169</v>
          </cell>
        </row>
        <row r="83">
          <cell r="A83">
            <v>11</v>
          </cell>
          <cell r="R83">
            <v>55</v>
          </cell>
          <cell r="W83">
            <v>55</v>
          </cell>
        </row>
        <row r="84">
          <cell r="A84">
            <v>11</v>
          </cell>
          <cell r="R84">
            <v>181</v>
          </cell>
          <cell r="W84">
            <v>181</v>
          </cell>
        </row>
        <row r="85">
          <cell r="A85">
            <v>11</v>
          </cell>
          <cell r="R85">
            <v>100</v>
          </cell>
          <cell r="W85">
            <v>100</v>
          </cell>
        </row>
        <row r="86">
          <cell r="A86">
            <v>11</v>
          </cell>
          <cell r="R86">
            <v>165</v>
          </cell>
          <cell r="W86">
            <v>165</v>
          </cell>
        </row>
        <row r="87">
          <cell r="A87">
            <v>11</v>
          </cell>
          <cell r="R87">
            <v>119</v>
          </cell>
          <cell r="W87">
            <v>119</v>
          </cell>
        </row>
        <row r="88">
          <cell r="A88">
            <v>12</v>
          </cell>
          <cell r="R88">
            <v>256</v>
          </cell>
          <cell r="W88">
            <v>256</v>
          </cell>
        </row>
        <row r="89">
          <cell r="A89">
            <v>12</v>
          </cell>
          <cell r="R89">
            <v>365</v>
          </cell>
          <cell r="W89">
            <v>365</v>
          </cell>
        </row>
        <row r="90">
          <cell r="A90">
            <v>11</v>
          </cell>
          <cell r="R90">
            <v>166</v>
          </cell>
          <cell r="W90">
            <v>166</v>
          </cell>
        </row>
        <row r="91">
          <cell r="A91">
            <v>12</v>
          </cell>
          <cell r="R91">
            <v>242</v>
          </cell>
          <cell r="W91">
            <v>242</v>
          </cell>
        </row>
        <row r="92">
          <cell r="A92">
            <v>10</v>
          </cell>
          <cell r="R92">
            <v>85</v>
          </cell>
          <cell r="W92">
            <v>85</v>
          </cell>
        </row>
        <row r="93">
          <cell r="A93">
            <v>11</v>
          </cell>
          <cell r="R93">
            <v>474</v>
          </cell>
          <cell r="W93">
            <v>474</v>
          </cell>
        </row>
        <row r="94">
          <cell r="A94">
            <v>12</v>
          </cell>
          <cell r="R94">
            <v>37</v>
          </cell>
          <cell r="W94">
            <v>37</v>
          </cell>
        </row>
        <row r="95">
          <cell r="A95">
            <v>12</v>
          </cell>
          <cell r="R95">
            <v>1507</v>
          </cell>
          <cell r="W95">
            <v>1507</v>
          </cell>
        </row>
        <row r="96">
          <cell r="A96">
            <v>13</v>
          </cell>
          <cell r="R96">
            <v>157</v>
          </cell>
          <cell r="W96">
            <v>157</v>
          </cell>
        </row>
        <row r="97">
          <cell r="A97">
            <v>11</v>
          </cell>
          <cell r="R97">
            <v>61</v>
          </cell>
          <cell r="W97">
            <v>61</v>
          </cell>
        </row>
        <row r="98">
          <cell r="A98">
            <v>12</v>
          </cell>
          <cell r="R98">
            <v>83</v>
          </cell>
          <cell r="W98">
            <v>83</v>
          </cell>
        </row>
        <row r="105">
          <cell r="A105" t="str">
            <v>Total</v>
          </cell>
          <cell r="R105">
            <v>79628</v>
          </cell>
          <cell r="W105">
            <v>79628</v>
          </cell>
        </row>
      </sheetData>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troduction"/>
      <sheetName val="Instructions"/>
      <sheetName val="Company information"/>
      <sheetName val="BR1"/>
      <sheetName val="BR2"/>
      <sheetName val="BR3"/>
      <sheetName val="BR4"/>
      <sheetName val="BR5"/>
      <sheetName val="BR6"/>
      <sheetName val="BR7"/>
      <sheetName val="BR8"/>
      <sheetName val="BR9"/>
      <sheetName val="BR10"/>
      <sheetName val="BR11"/>
      <sheetName val="BR12"/>
      <sheetName val="BP1"/>
      <sheetName val="BP2"/>
      <sheetName val="BP3"/>
      <sheetName val="BP4"/>
      <sheetName val="BP5"/>
      <sheetName val="BP6"/>
      <sheetName val="BP7"/>
      <sheetName val="BP8"/>
      <sheetName val="BP9"/>
      <sheetName val="BP10"/>
      <sheetName val="BP11"/>
      <sheetName val="BP12"/>
      <sheetName val="PC1"/>
      <sheetName val="PC2"/>
      <sheetName val="PC3"/>
      <sheetName val="PC4"/>
      <sheetName val="PC5"/>
      <sheetName val="PC6"/>
      <sheetName val="PC7"/>
      <sheetName val="PC8"/>
      <sheetName val="PC9"/>
      <sheetName val="PC10"/>
      <sheetName val="PC11"/>
      <sheetName val="PC12"/>
      <sheetName val="Summary"/>
      <sheetName val="Bank summary"/>
      <sheetName val="VAT return"/>
      <sheetName val="IR35 Calc Instructions"/>
      <sheetName val="IR35 Calculator 2004 - 05"/>
      <sheetName val="Company_information1"/>
      <sheetName val="Bank_summary1"/>
      <sheetName val="VAT_return1"/>
      <sheetName val="IR35_Calc_Instructions1"/>
      <sheetName val="IR35_Calculator_2004_-_051"/>
      <sheetName val="Company_information"/>
      <sheetName val="Bank_summary"/>
      <sheetName val="VAT_return"/>
      <sheetName val="IR35_Calc_Instructions"/>
      <sheetName val="IR35_Calculator_2004_-_05"/>
      <sheetName val="Company_information2"/>
      <sheetName val="Bank_summary2"/>
      <sheetName val="VAT_return2"/>
      <sheetName val="IR35_Calc_Instructions2"/>
      <sheetName val="IR35_Calculator_2004_-_0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65">
          <cell r="A65" t="str">
            <v>Yes</v>
          </cell>
        </row>
        <row r="66">
          <cell r="A66" t="str">
            <v>No</v>
          </cell>
        </row>
      </sheetData>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 val="3CD-Ratios-Anx_1"/>
      <sheetName val="3CD-Ratios-Anx_"/>
      <sheetName val="3CD-Ratios-Anx_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C3" t="str">
            <v>Portalplayer (India) Private Limited</v>
          </cell>
        </row>
        <row r="4">
          <cell r="C4" t="str">
            <v>Plot No:249, Prashasan Nagar,Road No:72, Jubilee Hills,Hyderabad-500 034.</v>
          </cell>
        </row>
        <row r="7">
          <cell r="C7" t="str">
            <v>Private Limited Company</v>
          </cell>
        </row>
        <row r="11">
          <cell r="C11" t="str">
            <v>AABCP7418F</v>
          </cell>
        </row>
        <row r="16">
          <cell r="C16" t="str">
            <v>Partner</v>
          </cell>
        </row>
        <row r="19">
          <cell r="C19" t="str">
            <v>Deloitte Haskins &amp; Sells</v>
          </cell>
        </row>
        <row r="20">
          <cell r="C20" t="str">
            <v>P.R. Ramesh</v>
          </cell>
        </row>
        <row r="23">
          <cell r="C23" t="str">
            <v>M.No: 70928</v>
          </cell>
        </row>
        <row r="24">
          <cell r="C24" t="str">
            <v>Chartered Accountants,7th Floor, Amrutha Estates,Lingapur House,Himayathnagar,Hyderabad-500 029.</v>
          </cell>
        </row>
        <row r="28">
          <cell r="C28" t="str">
            <v>31-03-2006</v>
          </cell>
        </row>
        <row r="34">
          <cell r="C34" t="str">
            <v>2006-07</v>
          </cell>
        </row>
        <row r="40">
          <cell r="C40" t="str">
            <v>August 5, 2006</v>
          </cell>
        </row>
        <row r="43">
          <cell r="C43" t="str">
            <v>Hyderabad</v>
          </cell>
        </row>
        <row r="45">
          <cell r="C45" t="str">
            <v>Software Development</v>
          </cell>
        </row>
        <row r="46">
          <cell r="C46" t="str">
            <v>Mercantile</v>
          </cell>
        </row>
      </sheetData>
      <sheetData sheetId="35"/>
      <sheetData sheetId="36"/>
      <sheetData sheetId="3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 val="3CD-Ratios-Anx_1"/>
      <sheetName val="3CD-Ratios-Anx_"/>
      <sheetName val="3CD-Ratios-Anx_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3">
          <cell r="C13" t="str">
            <v>Kamlesh L. Doshi &amp; Co.</v>
          </cell>
        </row>
        <row r="19">
          <cell r="C19" t="str">
            <v>B. M. S. &amp; Co.</v>
          </cell>
        </row>
        <row r="21">
          <cell r="C21" t="str">
            <v xml:space="preserve">B. Com.,  F.C.A. </v>
          </cell>
        </row>
        <row r="22">
          <cell r="C22" t="str">
            <v>Proprietor</v>
          </cell>
        </row>
        <row r="27">
          <cell r="C27" t="str">
            <v>31st March, 2005</v>
          </cell>
        </row>
        <row r="35">
          <cell r="C35" t="str">
            <v>August 5, 2005</v>
          </cell>
        </row>
      </sheetData>
      <sheetData sheetId="35"/>
      <sheetData sheetId="36"/>
      <sheetData sheetId="3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 val="#REF"/>
      <sheetName val="Breadown"/>
      <sheetName val="diffbetphy&amp;stock"/>
    </sheetNames>
    <sheetDataSet>
      <sheetData sheetId="0" refreshError="1">
        <row r="378">
          <cell r="A378">
            <v>11000</v>
          </cell>
          <cell r="B378" t="str">
            <v>Plant and machinery</v>
          </cell>
          <cell r="C378">
            <v>7254019.2400000002</v>
          </cell>
        </row>
        <row r="379">
          <cell r="A379">
            <v>11010</v>
          </cell>
          <cell r="B379" t="str">
            <v>Accumulated depreciation-plant and mach</v>
          </cell>
          <cell r="C379">
            <v>-2453324.69</v>
          </cell>
        </row>
        <row r="380">
          <cell r="A380">
            <v>13000</v>
          </cell>
          <cell r="B380" t="str">
            <v>Vehicles</v>
          </cell>
          <cell r="C380">
            <v>3699686.99</v>
          </cell>
        </row>
        <row r="381">
          <cell r="A381">
            <v>13010</v>
          </cell>
          <cell r="B381" t="str">
            <v>Accumulated depreciation-Vehicles</v>
          </cell>
          <cell r="C381">
            <v>-502409.22</v>
          </cell>
        </row>
        <row r="382">
          <cell r="A382">
            <v>13020</v>
          </cell>
          <cell r="B382" t="str">
            <v>Accumulated depreciation-Vehicles</v>
          </cell>
          <cell r="C382">
            <v>0</v>
          </cell>
        </row>
        <row r="383">
          <cell r="A383">
            <v>21000</v>
          </cell>
          <cell r="B383" t="str">
            <v>Office equipment</v>
          </cell>
          <cell r="C383">
            <v>3936390.06</v>
          </cell>
        </row>
        <row r="384">
          <cell r="A384">
            <v>21010</v>
          </cell>
          <cell r="B384" t="str">
            <v>Accumulated depreciation-office equipme</v>
          </cell>
          <cell r="C384">
            <v>-1553603.18</v>
          </cell>
        </row>
        <row r="385">
          <cell r="A385">
            <v>21020</v>
          </cell>
          <cell r="B385" t="str">
            <v>Accumulated depreciation-office equipme</v>
          </cell>
          <cell r="C385">
            <v>0</v>
          </cell>
        </row>
        <row r="386">
          <cell r="A386">
            <v>23000</v>
          </cell>
          <cell r="B386" t="str">
            <v>Furniture &amp; fixtures.</v>
          </cell>
          <cell r="C386">
            <v>8528329.9700000007</v>
          </cell>
        </row>
        <row r="387">
          <cell r="A387">
            <v>23010</v>
          </cell>
          <cell r="B387" t="str">
            <v>Accumulated Depreciation - Furniutre &amp;</v>
          </cell>
          <cell r="C387">
            <v>-3178495.91</v>
          </cell>
        </row>
        <row r="388">
          <cell r="A388">
            <v>24000</v>
          </cell>
          <cell r="B388" t="str">
            <v>Computers</v>
          </cell>
          <cell r="C388">
            <v>8284977.1600000001</v>
          </cell>
        </row>
        <row r="389">
          <cell r="A389">
            <v>24010</v>
          </cell>
          <cell r="B389" t="str">
            <v>Accumulated Depreciation - Computers</v>
          </cell>
          <cell r="C389">
            <v>-7552206.6100000003</v>
          </cell>
        </row>
        <row r="390">
          <cell r="A390">
            <v>24020</v>
          </cell>
          <cell r="B390" t="str">
            <v>Accumulated Depreciation - Computers</v>
          </cell>
          <cell r="C390">
            <v>0</v>
          </cell>
        </row>
        <row r="391">
          <cell r="A391">
            <v>34000</v>
          </cell>
          <cell r="B391" t="str">
            <v>Computer software</v>
          </cell>
          <cell r="C391">
            <v>7440500</v>
          </cell>
        </row>
        <row r="392">
          <cell r="A392">
            <v>34010</v>
          </cell>
          <cell r="B392" t="str">
            <v>Accumulated depreciation-computer softw</v>
          </cell>
          <cell r="C392">
            <v>-6536972.2800000003</v>
          </cell>
        </row>
        <row r="393">
          <cell r="A393">
            <v>38000</v>
          </cell>
          <cell r="B393" t="str">
            <v>Goodwill</v>
          </cell>
          <cell r="C393">
            <v>76923000</v>
          </cell>
        </row>
        <row r="394">
          <cell r="A394">
            <v>38010</v>
          </cell>
          <cell r="B394" t="str">
            <v>Accumulated Goodwill write-off</v>
          </cell>
          <cell r="C394">
            <v>-35230031.509999998</v>
          </cell>
        </row>
        <row r="395">
          <cell r="A395">
            <v>38100</v>
          </cell>
          <cell r="B395" t="str">
            <v>Business value</v>
          </cell>
          <cell r="C395">
            <v>136431000</v>
          </cell>
        </row>
        <row r="396">
          <cell r="A396">
            <v>38110</v>
          </cell>
          <cell r="B396" t="str">
            <v>Accumulated Business Value write off</v>
          </cell>
          <cell r="C396">
            <v>-62484152.049999997</v>
          </cell>
        </row>
        <row r="397">
          <cell r="A397">
            <v>38500</v>
          </cell>
          <cell r="B397" t="str">
            <v>Non-Competing fees</v>
          </cell>
          <cell r="C397">
            <v>93753000</v>
          </cell>
        </row>
        <row r="398">
          <cell r="A398">
            <v>38510</v>
          </cell>
          <cell r="B398" t="str">
            <v>Accumulated Non-Compete Fees Write off</v>
          </cell>
          <cell r="C398">
            <v>-93753000</v>
          </cell>
        </row>
        <row r="399">
          <cell r="A399">
            <v>39000</v>
          </cell>
          <cell r="B399" t="str">
            <v>Commercial rights (Marketing and Dist.R</v>
          </cell>
          <cell r="C399">
            <v>18643000</v>
          </cell>
        </row>
        <row r="400">
          <cell r="A400">
            <v>39010</v>
          </cell>
          <cell r="B400" t="str">
            <v>Acc.Comm.rights</v>
          </cell>
          <cell r="C400">
            <v>-6163487.6100000003</v>
          </cell>
        </row>
        <row r="401">
          <cell r="A401">
            <v>39020</v>
          </cell>
          <cell r="B401" t="str">
            <v>Acc.Comm.rights</v>
          </cell>
          <cell r="C401">
            <v>0</v>
          </cell>
        </row>
        <row r="402">
          <cell r="A402">
            <v>60500</v>
          </cell>
          <cell r="B402" t="str">
            <v>Unsecured Loan- DyStar Textilfarben Gmb</v>
          </cell>
          <cell r="C402">
            <v>-116497469.53</v>
          </cell>
        </row>
        <row r="403">
          <cell r="A403">
            <v>60520</v>
          </cell>
          <cell r="B403" t="str">
            <v>Liability for exchange Diff FC loan - D</v>
          </cell>
          <cell r="C403">
            <v>-30646481.239999998</v>
          </cell>
        </row>
        <row r="404">
          <cell r="A404">
            <v>63200</v>
          </cell>
          <cell r="B404" t="str">
            <v>Packing Credit Hongkong Bank.</v>
          </cell>
          <cell r="C404">
            <v>0</v>
          </cell>
        </row>
        <row r="405">
          <cell r="A405">
            <v>63300</v>
          </cell>
          <cell r="B405" t="str">
            <v>Working Capital Loan-Hongkong Bank</v>
          </cell>
          <cell r="C405">
            <v>-35000000</v>
          </cell>
        </row>
        <row r="406">
          <cell r="A406">
            <v>63400</v>
          </cell>
          <cell r="B406" t="str">
            <v>Long Term Working Capital Loan Hongkong</v>
          </cell>
          <cell r="C406">
            <v>0</v>
          </cell>
        </row>
        <row r="407">
          <cell r="A407">
            <v>70000</v>
          </cell>
          <cell r="B407" t="str">
            <v>Equity Share Capital</v>
          </cell>
          <cell r="C407">
            <v>-222815300</v>
          </cell>
        </row>
        <row r="408">
          <cell r="A408">
            <v>75000</v>
          </cell>
          <cell r="B408" t="str">
            <v>Accumulated Profit &amp; Loss</v>
          </cell>
          <cell r="C408">
            <v>34020108.950000003</v>
          </cell>
        </row>
        <row r="409">
          <cell r="A409">
            <v>100000</v>
          </cell>
          <cell r="B409" t="str">
            <v>Petty cash maintained at Corporate Offi</v>
          </cell>
          <cell r="C409">
            <v>7184</v>
          </cell>
        </row>
        <row r="410">
          <cell r="A410">
            <v>113100</v>
          </cell>
          <cell r="B410" t="str">
            <v>Deutsche Bank Current Account</v>
          </cell>
          <cell r="C410">
            <v>272005.21000000002</v>
          </cell>
        </row>
        <row r="411">
          <cell r="A411">
            <v>113101</v>
          </cell>
          <cell r="B411" t="str">
            <v>Deutsche Bank Current Account (payment</v>
          </cell>
          <cell r="C411">
            <v>100</v>
          </cell>
        </row>
        <row r="412">
          <cell r="A412">
            <v>113108</v>
          </cell>
          <cell r="B412" t="str">
            <v>Deutsche Bank Current Account (receipts</v>
          </cell>
          <cell r="C412">
            <v>-2796</v>
          </cell>
        </row>
        <row r="413">
          <cell r="A413">
            <v>113300</v>
          </cell>
          <cell r="B413" t="str">
            <v>Hongkong Bank Current Account.</v>
          </cell>
          <cell r="C413">
            <v>22362574.539999999</v>
          </cell>
        </row>
        <row r="414">
          <cell r="A414">
            <v>113301</v>
          </cell>
          <cell r="B414" t="str">
            <v>Hongkong Bank Current Account (payment</v>
          </cell>
          <cell r="C414">
            <v>-21920782.390000001</v>
          </cell>
        </row>
        <row r="415">
          <cell r="A415">
            <v>113307</v>
          </cell>
          <cell r="B415" t="str">
            <v>Hongkong Bank Current Account (discount</v>
          </cell>
          <cell r="C415">
            <v>0</v>
          </cell>
        </row>
        <row r="416">
          <cell r="A416">
            <v>113308</v>
          </cell>
          <cell r="B416" t="str">
            <v>Hongkong Bank Current Account (receipts</v>
          </cell>
          <cell r="C416">
            <v>0</v>
          </cell>
        </row>
        <row r="417">
          <cell r="A417">
            <v>113400</v>
          </cell>
          <cell r="B417" t="str">
            <v>Syndicate Bank Current Account</v>
          </cell>
          <cell r="C417">
            <v>1455092.44</v>
          </cell>
        </row>
        <row r="418">
          <cell r="A418">
            <v>113401</v>
          </cell>
          <cell r="B418" t="str">
            <v>Syndicate Bank Current Account(payment</v>
          </cell>
          <cell r="C418">
            <v>-1320231</v>
          </cell>
        </row>
        <row r="419">
          <cell r="A419">
            <v>113500</v>
          </cell>
          <cell r="B419" t="str">
            <v>Citi Bank Current Account</v>
          </cell>
          <cell r="C419">
            <v>1581079.84</v>
          </cell>
        </row>
        <row r="420">
          <cell r="A420">
            <v>113501</v>
          </cell>
          <cell r="B420" t="str">
            <v>Citi Bank Current Account (payment clea</v>
          </cell>
          <cell r="C420">
            <v>-1580000</v>
          </cell>
        </row>
        <row r="421">
          <cell r="A421">
            <v>113508</v>
          </cell>
          <cell r="B421" t="str">
            <v>Citi Bank Current Account (receipts cle</v>
          </cell>
          <cell r="C421">
            <v>-1079.8399999999999</v>
          </cell>
        </row>
        <row r="422">
          <cell r="A422">
            <v>113600</v>
          </cell>
          <cell r="B422" t="str">
            <v>ICICI Bank</v>
          </cell>
          <cell r="C422">
            <v>311268.15000000002</v>
          </cell>
        </row>
        <row r="423">
          <cell r="A423">
            <v>113601</v>
          </cell>
          <cell r="B423" t="str">
            <v>ICICI Current Account (payment clearing</v>
          </cell>
          <cell r="C423">
            <v>-904856</v>
          </cell>
        </row>
        <row r="424">
          <cell r="A424">
            <v>113608</v>
          </cell>
          <cell r="B424" t="str">
            <v>ICICI Current Account (receipts clearin</v>
          </cell>
          <cell r="C424">
            <v>91000</v>
          </cell>
        </row>
        <row r="425">
          <cell r="A425">
            <v>113700</v>
          </cell>
          <cell r="B425" t="str">
            <v>ICICI - COIMBATORE</v>
          </cell>
          <cell r="C425">
            <v>88863.83</v>
          </cell>
        </row>
        <row r="426">
          <cell r="A426">
            <v>113701</v>
          </cell>
          <cell r="B426" t="str">
            <v>ICICI - COIMB. (payment clearing)</v>
          </cell>
          <cell r="C426">
            <v>-12284</v>
          </cell>
        </row>
        <row r="427">
          <cell r="A427">
            <v>113708</v>
          </cell>
          <cell r="B427" t="str">
            <v>ICICI - COIMB. (receipts clearing)</v>
          </cell>
          <cell r="C427">
            <v>0</v>
          </cell>
        </row>
        <row r="428">
          <cell r="A428">
            <v>113801</v>
          </cell>
          <cell r="B428" t="str">
            <v>COMMERZBANK  AG  (PAYMENT CLEARING)</v>
          </cell>
          <cell r="C428">
            <v>-30000000</v>
          </cell>
        </row>
        <row r="429">
          <cell r="A429">
            <v>113808</v>
          </cell>
          <cell r="B429" t="str">
            <v>COMMERZBANK AG (RECEIPTS CLEARING)</v>
          </cell>
          <cell r="C429">
            <v>30000000</v>
          </cell>
        </row>
        <row r="430">
          <cell r="A430">
            <v>113830</v>
          </cell>
          <cell r="B430" t="str">
            <v>Fixed Deposits with Syndicate Bank</v>
          </cell>
          <cell r="C430">
            <v>139943</v>
          </cell>
        </row>
        <row r="431">
          <cell r="A431">
            <v>113850</v>
          </cell>
          <cell r="B431" t="str">
            <v>Fixed Deposits with ICICI Bank</v>
          </cell>
          <cell r="C431">
            <v>583087</v>
          </cell>
        </row>
        <row r="432">
          <cell r="A432">
            <v>113900</v>
          </cell>
          <cell r="B432" t="str">
            <v>State Bank of India - Manjakuppam</v>
          </cell>
          <cell r="C432">
            <v>5000</v>
          </cell>
        </row>
        <row r="433">
          <cell r="A433">
            <v>113910</v>
          </cell>
          <cell r="B433" t="str">
            <v>Deutsche Bank Current Account (Delhi)</v>
          </cell>
          <cell r="C433">
            <v>6683.18</v>
          </cell>
        </row>
        <row r="434">
          <cell r="A434">
            <v>113920</v>
          </cell>
          <cell r="B434" t="str">
            <v>State Bank Of India (Jnpt)</v>
          </cell>
          <cell r="C434">
            <v>19225</v>
          </cell>
        </row>
        <row r="435">
          <cell r="A435">
            <v>113930</v>
          </cell>
          <cell r="B435" t="str">
            <v>State Bank Of India - (Sahar)</v>
          </cell>
          <cell r="C435">
            <v>22062.95</v>
          </cell>
        </row>
        <row r="436">
          <cell r="A436">
            <v>113950</v>
          </cell>
          <cell r="B436" t="str">
            <v>Bank Of India Current Account</v>
          </cell>
          <cell r="C436">
            <v>5000</v>
          </cell>
        </row>
        <row r="437">
          <cell r="A437">
            <v>113960</v>
          </cell>
          <cell r="B437" t="str">
            <v>Deutsche Bank Salary Payable Account</v>
          </cell>
          <cell r="C437">
            <v>5279.92</v>
          </cell>
        </row>
        <row r="438">
          <cell r="A438">
            <v>113978</v>
          </cell>
          <cell r="B438" t="str">
            <v>ICICI Bank C/A COIMBATORE (receipts cle</v>
          </cell>
          <cell r="C438">
            <v>0.2</v>
          </cell>
        </row>
        <row r="439">
          <cell r="A439">
            <v>114000</v>
          </cell>
          <cell r="B439" t="str">
            <v>HDFC Bank</v>
          </cell>
          <cell r="C439">
            <v>19281</v>
          </cell>
        </row>
        <row r="440">
          <cell r="A440">
            <v>114200</v>
          </cell>
          <cell r="B440" t="str">
            <v>HSBC Collection Account.</v>
          </cell>
          <cell r="C440">
            <v>659548.87</v>
          </cell>
        </row>
        <row r="441">
          <cell r="A441">
            <v>114208</v>
          </cell>
          <cell r="B441" t="str">
            <v>HSBC Collection Account(receipts cleari</v>
          </cell>
          <cell r="C441">
            <v>-579676.72</v>
          </cell>
        </row>
        <row r="442">
          <cell r="A442">
            <v>120000</v>
          </cell>
          <cell r="B442" t="str">
            <v>Loans to Employees.</v>
          </cell>
          <cell r="C442">
            <v>1780100</v>
          </cell>
        </row>
        <row r="443">
          <cell r="A443">
            <v>125000</v>
          </cell>
          <cell r="B443" t="str">
            <v>Bills Receivable Foreign (Dystar Group)</v>
          </cell>
          <cell r="C443">
            <v>0</v>
          </cell>
        </row>
        <row r="444">
          <cell r="A444">
            <v>128000</v>
          </cell>
          <cell r="B444" t="str">
            <v>Security deposit given to (vendors)</v>
          </cell>
          <cell r="C444">
            <v>15487143</v>
          </cell>
        </row>
        <row r="445">
          <cell r="A445">
            <v>140000</v>
          </cell>
          <cell r="B445" t="str">
            <v>Sundry Debtors Local (Stockists)</v>
          </cell>
          <cell r="C445">
            <v>101253969.95</v>
          </cell>
        </row>
        <row r="446">
          <cell r="A446">
            <v>140099</v>
          </cell>
          <cell r="B446" t="str">
            <v>Accounts receivable-domestic, adjustmen</v>
          </cell>
          <cell r="C446">
            <v>0</v>
          </cell>
        </row>
        <row r="447">
          <cell r="A447">
            <v>140100</v>
          </cell>
          <cell r="B447" t="str">
            <v>Sundry Debtors Local (Customers)</v>
          </cell>
          <cell r="C447">
            <v>55027613.899999999</v>
          </cell>
        </row>
        <row r="448">
          <cell r="A448">
            <v>141000</v>
          </cell>
          <cell r="B448" t="str">
            <v>Debtors-foreign-Others</v>
          </cell>
          <cell r="C448">
            <v>6512344.9400000004</v>
          </cell>
        </row>
        <row r="449">
          <cell r="A449">
            <v>141099</v>
          </cell>
          <cell r="B449" t="str">
            <v>Accounts receivable-foreign, adjustment</v>
          </cell>
          <cell r="C449">
            <v>67072.929999999993</v>
          </cell>
        </row>
        <row r="450">
          <cell r="A450">
            <v>142000</v>
          </cell>
          <cell r="B450" t="str">
            <v>Allowance for doubtful accounts</v>
          </cell>
          <cell r="C450">
            <v>-3080000</v>
          </cell>
        </row>
        <row r="451">
          <cell r="A451">
            <v>143000</v>
          </cell>
          <cell r="B451" t="str">
            <v>Accounts payable-debit balances</v>
          </cell>
          <cell r="C451">
            <v>0</v>
          </cell>
        </row>
        <row r="452">
          <cell r="A452">
            <v>144000</v>
          </cell>
          <cell r="B452" t="str">
            <v>Sundry Debtors Foreign (Dystar Group)</v>
          </cell>
          <cell r="C452">
            <v>19173223.120000001</v>
          </cell>
        </row>
        <row r="453">
          <cell r="A453">
            <v>144099</v>
          </cell>
          <cell r="B453" t="str">
            <v>Accounts receivable-Group companies adj</v>
          </cell>
          <cell r="C453">
            <v>143742.62</v>
          </cell>
        </row>
        <row r="454">
          <cell r="A454">
            <v>151100</v>
          </cell>
          <cell r="B454" t="str">
            <v>Advances to Employees-Imprest</v>
          </cell>
          <cell r="C454">
            <v>177500</v>
          </cell>
        </row>
        <row r="455">
          <cell r="A455">
            <v>154000</v>
          </cell>
          <cell r="B455" t="str">
            <v>Modvat  RG23 Receivable (Thane)</v>
          </cell>
          <cell r="C455">
            <v>107898100.67</v>
          </cell>
        </row>
        <row r="456">
          <cell r="A456">
            <v>154001</v>
          </cell>
          <cell r="B456" t="str">
            <v>PLA-Thane</v>
          </cell>
          <cell r="C456">
            <v>57448.26</v>
          </cell>
        </row>
        <row r="457">
          <cell r="A457">
            <v>154009</v>
          </cell>
          <cell r="B457" t="str">
            <v>MODVAT-Rec-Thane-CCL</v>
          </cell>
          <cell r="C457">
            <v>-111216698.20999999</v>
          </cell>
        </row>
        <row r="458">
          <cell r="A458">
            <v>154010</v>
          </cell>
          <cell r="B458" t="str">
            <v>MODVAT-RG23 Rec-Roha</v>
          </cell>
          <cell r="C458">
            <v>73859972.989999995</v>
          </cell>
        </row>
        <row r="459">
          <cell r="A459">
            <v>154011</v>
          </cell>
          <cell r="B459" t="str">
            <v>PLA-Roha</v>
          </cell>
          <cell r="C459">
            <v>37720.42</v>
          </cell>
        </row>
        <row r="460">
          <cell r="A460">
            <v>154019</v>
          </cell>
          <cell r="B460" t="str">
            <v>MODVAT-Rec-Roha-CCL</v>
          </cell>
          <cell r="C460">
            <v>-87378160.349999994</v>
          </cell>
        </row>
        <row r="461">
          <cell r="A461">
            <v>154040</v>
          </cell>
          <cell r="B461" t="str">
            <v>Sales Tax Set Off on Purchases</v>
          </cell>
          <cell r="C461">
            <v>0</v>
          </cell>
        </row>
        <row r="462">
          <cell r="A462">
            <v>154100</v>
          </cell>
          <cell r="B462" t="str">
            <v>Duty Drawback-export</v>
          </cell>
          <cell r="C462">
            <v>2195643.39</v>
          </cell>
        </row>
        <row r="463">
          <cell r="A463">
            <v>154110</v>
          </cell>
          <cell r="B463" t="str">
            <v>Brandduty receivable</v>
          </cell>
          <cell r="C463">
            <v>4151554.94</v>
          </cell>
        </row>
        <row r="464">
          <cell r="A464">
            <v>154120</v>
          </cell>
          <cell r="B464" t="str">
            <v>DEPB Receivable</v>
          </cell>
          <cell r="C464">
            <v>3962056.93</v>
          </cell>
        </row>
        <row r="465">
          <cell r="A465">
            <v>154520</v>
          </cell>
          <cell r="B465" t="str">
            <v>TDS on Interest received - A. Y. 1999-2</v>
          </cell>
          <cell r="C465">
            <v>-2671</v>
          </cell>
        </row>
        <row r="466">
          <cell r="A466">
            <v>154530</v>
          </cell>
          <cell r="B466" t="str">
            <v>TDS on Interest received - A. Y. 2000-2</v>
          </cell>
          <cell r="C466">
            <v>0</v>
          </cell>
        </row>
        <row r="467">
          <cell r="A467">
            <v>154540</v>
          </cell>
          <cell r="B467" t="str">
            <v>TDS on Interest received - A. Y. 2001-2</v>
          </cell>
          <cell r="C467">
            <v>16613</v>
          </cell>
        </row>
        <row r="468">
          <cell r="A468">
            <v>154550</v>
          </cell>
          <cell r="B468" t="str">
            <v>TDS on Interest received - A. Y. 2002-2</v>
          </cell>
          <cell r="C468">
            <v>49686.36</v>
          </cell>
        </row>
        <row r="469">
          <cell r="A469">
            <v>154600</v>
          </cell>
          <cell r="B469" t="str">
            <v>Taxes Recoverable</v>
          </cell>
          <cell r="C469">
            <v>0.5</v>
          </cell>
        </row>
        <row r="470">
          <cell r="A470">
            <v>154730</v>
          </cell>
          <cell r="B470" t="str">
            <v>Advance Tax Corporate Tax.-A.Y.2000-200</v>
          </cell>
          <cell r="C470">
            <v>0</v>
          </cell>
        </row>
        <row r="471">
          <cell r="A471">
            <v>154740</v>
          </cell>
          <cell r="B471" t="str">
            <v>Advance Tax Corporate Tax.-A.Y.2001-200</v>
          </cell>
          <cell r="C471">
            <v>14000000</v>
          </cell>
        </row>
        <row r="472">
          <cell r="A472">
            <v>154750</v>
          </cell>
          <cell r="B472" t="str">
            <v>Advance Tax Corporate Tax.-A.Y.2002-200</v>
          </cell>
          <cell r="C472">
            <v>20432646</v>
          </cell>
        </row>
        <row r="473">
          <cell r="A473">
            <v>159000</v>
          </cell>
          <cell r="B473" t="str">
            <v>Down payments made on current assets</v>
          </cell>
          <cell r="C473">
            <v>437750</v>
          </cell>
        </row>
        <row r="474">
          <cell r="A474">
            <v>159300</v>
          </cell>
          <cell r="B474" t="str">
            <v>Insurance claim-Rec.</v>
          </cell>
          <cell r="C474">
            <v>0</v>
          </cell>
        </row>
        <row r="475">
          <cell r="A475">
            <v>159320</v>
          </cell>
          <cell r="B475" t="str">
            <v>Prepaid Expenses</v>
          </cell>
          <cell r="C475">
            <v>1799864</v>
          </cell>
        </row>
        <row r="476">
          <cell r="A476">
            <v>160000</v>
          </cell>
          <cell r="B476" t="str">
            <v>Sundry Creditors</v>
          </cell>
          <cell r="C476">
            <v>-29846561.170000002</v>
          </cell>
        </row>
        <row r="477">
          <cell r="A477">
            <v>160099</v>
          </cell>
          <cell r="B477" t="str">
            <v>Accounts payable-domestic, adjustments</v>
          </cell>
          <cell r="C477">
            <v>0</v>
          </cell>
        </row>
        <row r="478">
          <cell r="A478">
            <v>161000</v>
          </cell>
          <cell r="B478" t="str">
            <v>Sundry Creditors -Raw Materials(Foreign</v>
          </cell>
          <cell r="C478">
            <v>0</v>
          </cell>
        </row>
        <row r="479">
          <cell r="A479">
            <v>161099</v>
          </cell>
          <cell r="B479" t="str">
            <v>Accounts payable-foreign, adjustments</v>
          </cell>
          <cell r="C479">
            <v>0</v>
          </cell>
        </row>
        <row r="480">
          <cell r="A480">
            <v>163000</v>
          </cell>
          <cell r="B480" t="str">
            <v>Accounts receivable-credit balances</v>
          </cell>
          <cell r="C480">
            <v>0</v>
          </cell>
        </row>
        <row r="481">
          <cell r="A481">
            <v>164000</v>
          </cell>
          <cell r="B481" t="str">
            <v>Sundry Creditors - Import Of Finished G</v>
          </cell>
          <cell r="C481">
            <v>-50582427.049999997</v>
          </cell>
        </row>
        <row r="482">
          <cell r="A482">
            <v>164099</v>
          </cell>
          <cell r="B482" t="str">
            <v>Accounts payable-affiliated companies a</v>
          </cell>
          <cell r="C482">
            <v>-32774.65</v>
          </cell>
        </row>
        <row r="483">
          <cell r="A483">
            <v>170800</v>
          </cell>
          <cell r="B483" t="str">
            <v>Prov. personnel commitments- interest f</v>
          </cell>
          <cell r="C483">
            <v>-3703575</v>
          </cell>
        </row>
        <row r="484">
          <cell r="A484">
            <v>173100</v>
          </cell>
          <cell r="B484" t="str">
            <v>Interest Accrued but not Due-Term loans</v>
          </cell>
          <cell r="C484">
            <v>-673150.69</v>
          </cell>
        </row>
        <row r="485">
          <cell r="A485">
            <v>173300</v>
          </cell>
          <cell r="B485" t="str">
            <v>Interest Accrued but not Due-Foreign cu</v>
          </cell>
          <cell r="C485">
            <v>-484243.42</v>
          </cell>
        </row>
        <row r="486">
          <cell r="A486">
            <v>175500</v>
          </cell>
          <cell r="B486" t="str">
            <v>Sales Tax- Maharashtra</v>
          </cell>
          <cell r="C486">
            <v>-135944.9</v>
          </cell>
        </row>
        <row r="487">
          <cell r="A487">
            <v>175501</v>
          </cell>
          <cell r="B487" t="str">
            <v>Surcharge on Sales Tax - Maharashtra</v>
          </cell>
          <cell r="C487">
            <v>-38332.07</v>
          </cell>
        </row>
        <row r="488">
          <cell r="A488">
            <v>175502</v>
          </cell>
          <cell r="B488" t="str">
            <v>Turnover Tax - Maharashtra</v>
          </cell>
          <cell r="C488">
            <v>-99488.63</v>
          </cell>
        </row>
        <row r="489">
          <cell r="A489">
            <v>175505</v>
          </cell>
          <cell r="B489" t="str">
            <v>Sales Tax- BASF</v>
          </cell>
          <cell r="C489">
            <v>-20569.2</v>
          </cell>
        </row>
        <row r="490">
          <cell r="A490">
            <v>175506</v>
          </cell>
          <cell r="B490" t="str">
            <v>Sales Tax- BASF(outside Delhi Sales w.e</v>
          </cell>
          <cell r="C490">
            <v>-15647.84</v>
          </cell>
        </row>
        <row r="491">
          <cell r="A491">
            <v>175510</v>
          </cell>
          <cell r="B491" t="str">
            <v>Sales Tax- Tamil Nadu</v>
          </cell>
          <cell r="C491">
            <v>-906147.74</v>
          </cell>
        </row>
        <row r="492">
          <cell r="A492">
            <v>175530</v>
          </cell>
          <cell r="B492" t="str">
            <v>Sales Tax- Chandigarh</v>
          </cell>
          <cell r="C492">
            <v>-32257.09</v>
          </cell>
        </row>
        <row r="493">
          <cell r="A493">
            <v>175600</v>
          </cell>
          <cell r="B493" t="str">
            <v>Central Sales Tax - Maharashtra</v>
          </cell>
          <cell r="C493">
            <v>25823.65</v>
          </cell>
        </row>
        <row r="494">
          <cell r="A494">
            <v>175610</v>
          </cell>
          <cell r="B494" t="str">
            <v>Central Sales Tax- Tamil Nadu.</v>
          </cell>
          <cell r="C494">
            <v>-113018.18</v>
          </cell>
        </row>
        <row r="495">
          <cell r="A495">
            <v>175620</v>
          </cell>
          <cell r="B495" t="str">
            <v>Central Sales Tax- Delhi.</v>
          </cell>
          <cell r="C495">
            <v>-12770.3</v>
          </cell>
        </row>
        <row r="496">
          <cell r="A496">
            <v>175630</v>
          </cell>
          <cell r="B496" t="str">
            <v>Central Sales Tax-Chandigarh</v>
          </cell>
          <cell r="C496">
            <v>-16854.810000000001</v>
          </cell>
        </row>
        <row r="497">
          <cell r="A497">
            <v>177010</v>
          </cell>
          <cell r="B497" t="str">
            <v>T.D.S-Interest-194A</v>
          </cell>
          <cell r="C497">
            <v>13876.12</v>
          </cell>
        </row>
        <row r="498">
          <cell r="A498">
            <v>177020</v>
          </cell>
          <cell r="B498" t="str">
            <v>T.D.S-Contractors</v>
          </cell>
          <cell r="C498">
            <v>0</v>
          </cell>
        </row>
        <row r="499">
          <cell r="A499">
            <v>177040</v>
          </cell>
          <cell r="B499" t="str">
            <v>T.D.S Professionals</v>
          </cell>
          <cell r="C499">
            <v>-2295</v>
          </cell>
        </row>
        <row r="500">
          <cell r="A500">
            <v>177050</v>
          </cell>
          <cell r="B500" t="str">
            <v>T.D.S on Commission-194H</v>
          </cell>
          <cell r="C500">
            <v>-19753</v>
          </cell>
        </row>
        <row r="501">
          <cell r="A501">
            <v>177510</v>
          </cell>
          <cell r="B501" t="str">
            <v>Provident Fund Payable</v>
          </cell>
          <cell r="C501">
            <v>0</v>
          </cell>
        </row>
        <row r="502">
          <cell r="A502">
            <v>177520</v>
          </cell>
          <cell r="B502" t="str">
            <v>Professional Tax Payable</v>
          </cell>
          <cell r="C502">
            <v>0</v>
          </cell>
        </row>
        <row r="503">
          <cell r="A503">
            <v>178520</v>
          </cell>
          <cell r="B503" t="str">
            <v>Provision for Taxation- A.Y.2000-01</v>
          </cell>
          <cell r="C503">
            <v>-160000</v>
          </cell>
        </row>
        <row r="504">
          <cell r="A504">
            <v>178521</v>
          </cell>
          <cell r="B504" t="str">
            <v>Deferred Tax Liability 2000</v>
          </cell>
          <cell r="C504">
            <v>-972000</v>
          </cell>
        </row>
        <row r="505">
          <cell r="A505">
            <v>178530</v>
          </cell>
          <cell r="B505" t="str">
            <v>Provision for Taxation- A.Y.2001-02</v>
          </cell>
          <cell r="C505">
            <v>-16000000</v>
          </cell>
        </row>
        <row r="506">
          <cell r="A506">
            <v>178540</v>
          </cell>
          <cell r="B506" t="str">
            <v>Provision for Taxation- A.Y.2002-03</v>
          </cell>
          <cell r="C506">
            <v>-27845000</v>
          </cell>
        </row>
        <row r="507">
          <cell r="A507">
            <v>179100</v>
          </cell>
          <cell r="B507" t="str">
            <v>Other outstanding liabilities</v>
          </cell>
          <cell r="C507">
            <v>-5248396.28</v>
          </cell>
        </row>
        <row r="508">
          <cell r="A508">
            <v>191100</v>
          </cell>
          <cell r="B508" t="str">
            <v>GR/IR clearing-external procurement</v>
          </cell>
          <cell r="C508">
            <v>-1207663.68</v>
          </cell>
        </row>
        <row r="509">
          <cell r="A509">
            <v>192100</v>
          </cell>
          <cell r="B509" t="str">
            <v>Freight on Purchases - clearing</v>
          </cell>
          <cell r="C509">
            <v>-373553.19</v>
          </cell>
        </row>
        <row r="510">
          <cell r="A510">
            <v>192200</v>
          </cell>
          <cell r="B510" t="str">
            <v>Modvat Clearing Account - Than</v>
          </cell>
          <cell r="C510">
            <v>-107898100.67</v>
          </cell>
        </row>
        <row r="511">
          <cell r="A511">
            <v>192210</v>
          </cell>
          <cell r="B511" t="str">
            <v>Modvat Clearing Account -Roha</v>
          </cell>
          <cell r="C511">
            <v>-73859972.989999995</v>
          </cell>
        </row>
        <row r="512">
          <cell r="A512">
            <v>192299</v>
          </cell>
          <cell r="B512" t="str">
            <v>MODVAT Offset a/c</v>
          </cell>
          <cell r="C512">
            <v>195849728.44999999</v>
          </cell>
        </row>
        <row r="513">
          <cell r="A513">
            <v>192300</v>
          </cell>
          <cell r="B513" t="str">
            <v>Custom duty on RM Purchases - clearing</v>
          </cell>
          <cell r="C513">
            <v>-1081521.9099999999</v>
          </cell>
        </row>
        <row r="514">
          <cell r="A514">
            <v>192500</v>
          </cell>
          <cell r="B514" t="str">
            <v>Octori on Purchases - clearing</v>
          </cell>
          <cell r="C514">
            <v>92731.8</v>
          </cell>
        </row>
        <row r="515">
          <cell r="A515">
            <v>192600</v>
          </cell>
          <cell r="B515" t="str">
            <v>Clearing and Forwarding on Purchases -</v>
          </cell>
          <cell r="C515">
            <v>-317163.44</v>
          </cell>
        </row>
        <row r="516">
          <cell r="A516">
            <v>193200</v>
          </cell>
          <cell r="B516" t="str">
            <v>Octroi on Shipment- clearing</v>
          </cell>
          <cell r="C516">
            <v>-25207.88</v>
          </cell>
        </row>
        <row r="517">
          <cell r="A517">
            <v>197000</v>
          </cell>
          <cell r="B517" t="str">
            <v>Security deposit (customers)</v>
          </cell>
          <cell r="C517">
            <v>-20113082.77</v>
          </cell>
        </row>
        <row r="518">
          <cell r="A518">
            <v>300000</v>
          </cell>
          <cell r="B518" t="str">
            <v>InvetoryRaw material   (Local)</v>
          </cell>
          <cell r="C518">
            <v>19079341.030000001</v>
          </cell>
        </row>
        <row r="519">
          <cell r="A519">
            <v>300001</v>
          </cell>
          <cell r="B519" t="str">
            <v>Accumulated depreciation-raw materials</v>
          </cell>
          <cell r="C519">
            <v>-1198372</v>
          </cell>
        </row>
        <row r="520">
          <cell r="A520">
            <v>300010</v>
          </cell>
          <cell r="B520" t="str">
            <v>InvetoryRaw material Import</v>
          </cell>
          <cell r="C520">
            <v>1538723.8</v>
          </cell>
        </row>
        <row r="521">
          <cell r="A521">
            <v>305000</v>
          </cell>
          <cell r="B521" t="str">
            <v>Inventory Packaging material</v>
          </cell>
          <cell r="C521">
            <v>812081.92</v>
          </cell>
        </row>
        <row r="522">
          <cell r="A522">
            <v>790000</v>
          </cell>
          <cell r="B522" t="str">
            <v>Inventory Semifinished goods</v>
          </cell>
          <cell r="C522">
            <v>9936658.9900000002</v>
          </cell>
        </row>
        <row r="523">
          <cell r="A523">
            <v>790001</v>
          </cell>
          <cell r="B523" t="str">
            <v>Accumulated depreciation-semifinished g</v>
          </cell>
          <cell r="C523">
            <v>-457008</v>
          </cell>
        </row>
        <row r="524">
          <cell r="A524">
            <v>791000</v>
          </cell>
          <cell r="B524" t="str">
            <v>Work in process</v>
          </cell>
          <cell r="C524">
            <v>2791552.77</v>
          </cell>
        </row>
        <row r="525">
          <cell r="A525">
            <v>792000</v>
          </cell>
          <cell r="B525" t="str">
            <v>Inventory Finished goods</v>
          </cell>
          <cell r="C525">
            <v>50349071.509999998</v>
          </cell>
        </row>
        <row r="526">
          <cell r="A526">
            <v>792001</v>
          </cell>
          <cell r="B526" t="str">
            <v>Accumulated depreciation-finished goods</v>
          </cell>
          <cell r="C526">
            <v>-5996219.25</v>
          </cell>
        </row>
        <row r="527">
          <cell r="A527">
            <v>793010</v>
          </cell>
          <cell r="B527" t="str">
            <v>Inventories Trading Goods (Imported)</v>
          </cell>
          <cell r="C527">
            <v>18312655.719999999</v>
          </cell>
        </row>
        <row r="528">
          <cell r="A528">
            <v>793011</v>
          </cell>
          <cell r="B528" t="str">
            <v>Accumulated depreciation-Trading Goods</v>
          </cell>
          <cell r="C528">
            <v>-87656</v>
          </cell>
        </row>
        <row r="529">
          <cell r="A529">
            <v>793200</v>
          </cell>
          <cell r="B529" t="str">
            <v>Inventory Trading goods(BASF)</v>
          </cell>
          <cell r="C529">
            <v>3924064.62</v>
          </cell>
        </row>
        <row r="530">
          <cell r="A530">
            <v>793300</v>
          </cell>
          <cell r="B530" t="str">
            <v>Inventory Trading goods(Import) BASF/1</v>
          </cell>
          <cell r="C530">
            <v>6639641.25</v>
          </cell>
        </row>
        <row r="531">
          <cell r="A531">
            <v>793376</v>
          </cell>
          <cell r="B531" t="str">
            <v>Inventory Trading goods-in-transit</v>
          </cell>
          <cell r="C531">
            <v>22819071.449999999</v>
          </cell>
        </row>
        <row r="532">
          <cell r="A532">
            <v>900000</v>
          </cell>
          <cell r="B532" t="str">
            <v>Retained earnings</v>
          </cell>
          <cell r="C532">
            <v>0</v>
          </cell>
        </row>
      </sheetData>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Settings"/>
      <sheetName val="SectList"/>
      <sheetName val="AcList"/>
      <sheetName val="DepList"/>
      <sheetName val="CurList"/>
      <sheetName val="SectTB"/>
      <sheetName val="SectCDTB"/>
      <sheetName val="AcTB"/>
      <sheetName val="AcCDTB"/>
      <sheetName val="Settings"/>
      <sheetName val="TB Scheme A"/>
      <sheetName val="TB Scheme B"/>
      <sheetName val="TB Scheme C"/>
      <sheetName val="TB Scheme D"/>
      <sheetName val="N1-Op bal check-2005"/>
      <sheetName val="N1-Op bal check-2006"/>
      <sheetName val="Check List"/>
      <sheetName val="History"/>
      <sheetName val="TB"/>
      <sheetName val="Data"/>
      <sheetName val="CFWorkings"/>
      <sheetName val="Cover"/>
      <sheetName val="Contents"/>
      <sheetName val="Information"/>
      <sheetName val="Director"/>
      <sheetName val="Responsibilities"/>
      <sheetName val="AuditX"/>
      <sheetName val="Audit"/>
      <sheetName val="Accountant"/>
      <sheetName val="CAReport"/>
      <sheetName val="PL"/>
      <sheetName val="RGL"/>
      <sheetName val="BS"/>
      <sheetName val="CF"/>
      <sheetName val="Notes"/>
      <sheetName val="DetailPL1"/>
      <sheetName val="DetailPL2"/>
      <sheetName val="AbbCover"/>
      <sheetName val="AbbAudit"/>
      <sheetName val="AbbBS"/>
      <sheetName val="AbbNotes"/>
      <sheetName val="Library"/>
      <sheetName val="Workings"/>
      <sheetName val="VT_Results"/>
    </sheetNames>
    <sheetDataSet>
      <sheetData sheetId="0"/>
      <sheetData sheetId="1"/>
      <sheetData sheetId="2"/>
      <sheetData sheetId="3"/>
      <sheetData sheetId="4"/>
      <sheetData sheetId="5"/>
      <sheetData sheetId="6"/>
      <sheetData sheetId="7"/>
      <sheetData sheetId="8"/>
      <sheetData sheetId="9" refreshError="1">
        <row r="14">
          <cell r="C14" t="b">
            <v>1</v>
          </cell>
        </row>
        <row r="25">
          <cell r="C25" t="b">
            <v>0</v>
          </cell>
        </row>
        <row r="27">
          <cell r="C27" t="b">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 sheetId="35" refreshError="1"/>
      <sheetData sheetId="36"/>
      <sheetData sheetId="37"/>
      <sheetData sheetId="38"/>
      <sheetData sheetId="39" refreshError="1">
        <row r="31">
          <cell r="E31">
            <v>976970</v>
          </cell>
        </row>
        <row r="40">
          <cell r="E40">
            <v>976970</v>
          </cell>
        </row>
      </sheetData>
      <sheetData sheetId="40"/>
      <sheetData sheetId="41"/>
      <sheetData sheetId="42" refreshError="1"/>
      <sheetData sheetId="4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Settings"/>
      <sheetName val="SectList"/>
      <sheetName val="AcList"/>
      <sheetName val="DepList"/>
      <sheetName val="CurList"/>
      <sheetName val="SectTB"/>
      <sheetName val="SectCDTB"/>
      <sheetName val="AcTB"/>
      <sheetName val="AcCDTB"/>
      <sheetName val="Settings"/>
      <sheetName val="TB Scheme A"/>
      <sheetName val="TB Scheme B"/>
      <sheetName val="TB Scheme C"/>
      <sheetName val="TB Scheme D"/>
      <sheetName val="N1-Op bal check-2005"/>
      <sheetName val="N1-Op bal check-2006"/>
      <sheetName val="Check List"/>
      <sheetName val="History"/>
      <sheetName val="TB"/>
      <sheetName val="Data"/>
      <sheetName val="CFWorkings"/>
      <sheetName val="Cover"/>
      <sheetName val="Contents"/>
      <sheetName val="Information"/>
      <sheetName val="Director"/>
      <sheetName val="Responsibilities"/>
      <sheetName val="AuditX"/>
      <sheetName val="Audit"/>
      <sheetName val="Accountant"/>
      <sheetName val="CAReport"/>
      <sheetName val="PL"/>
      <sheetName val="RGL"/>
      <sheetName val="BS"/>
      <sheetName val="CF"/>
      <sheetName val="Notes"/>
      <sheetName val="DetailPL1"/>
      <sheetName val="DetailPL2"/>
      <sheetName val="AbbCover"/>
      <sheetName val="AbbAudit"/>
      <sheetName val="AbbBS"/>
      <sheetName val="AbbNotes"/>
      <sheetName val="Library"/>
      <sheetName val="Workings"/>
      <sheetName val="VT_Results"/>
    </sheetNames>
    <sheetDataSet>
      <sheetData sheetId="0"/>
      <sheetData sheetId="1"/>
      <sheetData sheetId="2"/>
      <sheetData sheetId="3"/>
      <sheetData sheetId="4"/>
      <sheetData sheetId="5"/>
      <sheetData sheetId="6"/>
      <sheetData sheetId="7"/>
      <sheetData sheetId="8"/>
      <sheetData sheetId="9" refreshError="1">
        <row r="16">
          <cell r="C16">
            <v>12</v>
          </cell>
        </row>
        <row r="57">
          <cell r="C57">
            <v>38807</v>
          </cell>
        </row>
        <row r="58">
          <cell r="C58">
            <v>38442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row r="32">
          <cell r="G32">
            <v>355127</v>
          </cell>
          <cell r="I32">
            <v>512350</v>
          </cell>
        </row>
      </sheetData>
      <sheetData sheetId="31"/>
      <sheetData sheetId="32" refreshError="1">
        <row r="31">
          <cell r="E31">
            <v>976970</v>
          </cell>
          <cell r="H31">
            <v>662853</v>
          </cell>
        </row>
        <row r="40">
          <cell r="E40">
            <v>976970</v>
          </cell>
          <cell r="H40">
            <v>662853</v>
          </cell>
        </row>
      </sheetData>
      <sheetData sheetId="33" refreshError="1">
        <row r="40">
          <cell r="E40">
            <v>115643</v>
          </cell>
          <cell r="G40">
            <v>383309</v>
          </cell>
        </row>
        <row r="46">
          <cell r="E46">
            <v>115643</v>
          </cell>
          <cell r="G46">
            <v>383309</v>
          </cell>
        </row>
      </sheetData>
      <sheetData sheetId="34" refreshError="1">
        <row r="226">
          <cell r="G226">
            <v>37896</v>
          </cell>
        </row>
        <row r="229">
          <cell r="I229">
            <v>37896</v>
          </cell>
        </row>
        <row r="255">
          <cell r="G255">
            <v>0</v>
          </cell>
        </row>
        <row r="259">
          <cell r="I259">
            <v>0</v>
          </cell>
        </row>
        <row r="265">
          <cell r="G265">
            <v>0</v>
          </cell>
        </row>
        <row r="268">
          <cell r="I268">
            <v>0</v>
          </cell>
        </row>
        <row r="274">
          <cell r="G274">
            <v>0</v>
          </cell>
        </row>
        <row r="277">
          <cell r="I277">
            <v>0</v>
          </cell>
        </row>
        <row r="283">
          <cell r="G283">
            <v>662852</v>
          </cell>
        </row>
        <row r="288">
          <cell r="I288">
            <v>662852</v>
          </cell>
        </row>
      </sheetData>
      <sheetData sheetId="35" refreshError="1">
        <row r="26">
          <cell r="C26">
            <v>355127</v>
          </cell>
          <cell r="E26">
            <v>512350</v>
          </cell>
        </row>
      </sheetData>
      <sheetData sheetId="36"/>
      <sheetData sheetId="37"/>
      <sheetData sheetId="38"/>
      <sheetData sheetId="39" refreshError="1">
        <row r="31">
          <cell r="H31">
            <v>662853</v>
          </cell>
        </row>
        <row r="40">
          <cell r="H40">
            <v>662853</v>
          </cell>
        </row>
      </sheetData>
      <sheetData sheetId="40"/>
      <sheetData sheetId="41"/>
      <sheetData sheetId="42" refreshError="1">
        <row r="21">
          <cell r="F21">
            <v>0</v>
          </cell>
        </row>
        <row r="23">
          <cell r="F23">
            <v>0</v>
          </cell>
        </row>
        <row r="47">
          <cell r="H47">
            <v>459146</v>
          </cell>
        </row>
        <row r="67">
          <cell r="H67">
            <v>459146</v>
          </cell>
        </row>
        <row r="78">
          <cell r="H78">
            <v>0</v>
          </cell>
        </row>
        <row r="95">
          <cell r="H95">
            <v>0</v>
          </cell>
        </row>
      </sheetData>
      <sheetData sheetId="4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Settings"/>
      <sheetName val="SectList"/>
      <sheetName val="AcList"/>
      <sheetName val="DepList"/>
      <sheetName val="CurList"/>
      <sheetName val="SectTB"/>
      <sheetName val="SectCDTB"/>
      <sheetName val="AcTB"/>
      <sheetName val="AcCDTB"/>
      <sheetName val="Settings"/>
      <sheetName val="TB Scheme A"/>
      <sheetName val="TB Scheme B"/>
      <sheetName val="TB Scheme C"/>
      <sheetName val="TB Scheme D"/>
      <sheetName val="N1-Op bal check-2005"/>
      <sheetName val="N1-Op bal check-2006"/>
      <sheetName val="Check List"/>
      <sheetName val="History"/>
      <sheetName val="TB"/>
      <sheetName val="Data"/>
      <sheetName val="CFWorkings"/>
      <sheetName val="Cover"/>
      <sheetName val="Contents"/>
      <sheetName val="Information"/>
      <sheetName val="Director"/>
      <sheetName val="Responsibilities"/>
      <sheetName val="AuditX"/>
      <sheetName val="Audit"/>
      <sheetName val="Accountant"/>
      <sheetName val="CAReport"/>
      <sheetName val="PL"/>
      <sheetName val="RGL"/>
      <sheetName val="BS"/>
      <sheetName val="CF"/>
      <sheetName val="Notes"/>
      <sheetName val="DetailPL1"/>
      <sheetName val="DetailPL2"/>
      <sheetName val="AbbCover"/>
      <sheetName val="AbbAudit"/>
      <sheetName val="AbbBS"/>
      <sheetName val="AbbNotes"/>
      <sheetName val="Library"/>
      <sheetName val="Workings"/>
      <sheetName val="VT_Results"/>
    </sheetNames>
    <sheetDataSet>
      <sheetData sheetId="0"/>
      <sheetData sheetId="1"/>
      <sheetData sheetId="2"/>
      <sheetData sheetId="3"/>
      <sheetData sheetId="4"/>
      <sheetData sheetId="5"/>
      <sheetData sheetId="6"/>
      <sheetData sheetId="7"/>
      <sheetData sheetId="8"/>
      <sheetData sheetId="9" refreshError="1">
        <row r="16">
          <cell r="C16">
            <v>12</v>
          </cell>
        </row>
        <row r="57">
          <cell r="C57">
            <v>38807</v>
          </cell>
        </row>
        <row r="58">
          <cell r="C58">
            <v>38442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row r="32">
          <cell r="G32">
            <v>355127</v>
          </cell>
          <cell r="I32">
            <v>512350</v>
          </cell>
        </row>
      </sheetData>
      <sheetData sheetId="31"/>
      <sheetData sheetId="32" refreshError="1">
        <row r="31">
          <cell r="E31">
            <v>976970</v>
          </cell>
          <cell r="H31">
            <v>662853</v>
          </cell>
        </row>
        <row r="40">
          <cell r="E40">
            <v>976970</v>
          </cell>
          <cell r="H40">
            <v>662853</v>
          </cell>
        </row>
      </sheetData>
      <sheetData sheetId="33" refreshError="1">
        <row r="40">
          <cell r="E40">
            <v>115643</v>
          </cell>
          <cell r="G40">
            <v>383309</v>
          </cell>
        </row>
        <row r="46">
          <cell r="E46">
            <v>115643</v>
          </cell>
          <cell r="G46">
            <v>383309</v>
          </cell>
        </row>
      </sheetData>
      <sheetData sheetId="34" refreshError="1">
        <row r="226">
          <cell r="G226">
            <v>37896</v>
          </cell>
        </row>
        <row r="229">
          <cell r="I229">
            <v>37896</v>
          </cell>
        </row>
        <row r="255">
          <cell r="G255">
            <v>0</v>
          </cell>
        </row>
        <row r="259">
          <cell r="I259">
            <v>0</v>
          </cell>
        </row>
        <row r="265">
          <cell r="G265">
            <v>0</v>
          </cell>
        </row>
        <row r="268">
          <cell r="I268">
            <v>0</v>
          </cell>
        </row>
        <row r="274">
          <cell r="G274">
            <v>0</v>
          </cell>
        </row>
        <row r="277">
          <cell r="I277">
            <v>0</v>
          </cell>
        </row>
        <row r="283">
          <cell r="G283">
            <v>662852</v>
          </cell>
        </row>
        <row r="288">
          <cell r="I288">
            <v>662852</v>
          </cell>
        </row>
      </sheetData>
      <sheetData sheetId="35" refreshError="1">
        <row r="26">
          <cell r="C26">
            <v>355127</v>
          </cell>
          <cell r="E26">
            <v>512350</v>
          </cell>
        </row>
      </sheetData>
      <sheetData sheetId="36"/>
      <sheetData sheetId="37"/>
      <sheetData sheetId="38"/>
      <sheetData sheetId="39" refreshError="1">
        <row r="31">
          <cell r="H31">
            <v>662853</v>
          </cell>
        </row>
        <row r="40">
          <cell r="H40">
            <v>662853</v>
          </cell>
        </row>
      </sheetData>
      <sheetData sheetId="40"/>
      <sheetData sheetId="41"/>
      <sheetData sheetId="42" refreshError="1">
        <row r="21">
          <cell r="F21">
            <v>0</v>
          </cell>
        </row>
        <row r="23">
          <cell r="F23">
            <v>0</v>
          </cell>
        </row>
        <row r="47">
          <cell r="H47">
            <v>459146</v>
          </cell>
        </row>
        <row r="67">
          <cell r="H67">
            <v>459146</v>
          </cell>
        </row>
        <row r="78">
          <cell r="H78">
            <v>0</v>
          </cell>
        </row>
        <row r="95">
          <cell r="H95">
            <v>0</v>
          </cell>
        </row>
      </sheetData>
      <sheetData sheetId="4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troduction"/>
      <sheetName val="Instructions"/>
      <sheetName val="Company information"/>
      <sheetName val="BR1"/>
      <sheetName val="BR2"/>
      <sheetName val="BR3"/>
      <sheetName val="BR4"/>
      <sheetName val="BR5"/>
      <sheetName val="BR6"/>
      <sheetName val="BR7"/>
      <sheetName val="BR8"/>
      <sheetName val="BR9"/>
      <sheetName val="BR10"/>
      <sheetName val="BR11"/>
      <sheetName val="BR12"/>
      <sheetName val="BP1"/>
      <sheetName val="BP2"/>
      <sheetName val="BP3"/>
      <sheetName val="BP4"/>
      <sheetName val="BP5"/>
      <sheetName val="BP6"/>
      <sheetName val="BP7"/>
      <sheetName val="BP8"/>
      <sheetName val="BP9"/>
      <sheetName val="BP10"/>
      <sheetName val="BP11"/>
      <sheetName val="BP12"/>
      <sheetName val="PC1"/>
      <sheetName val="PC2"/>
      <sheetName val="PC3"/>
      <sheetName val="PC4"/>
      <sheetName val="PC5"/>
      <sheetName val="PC6"/>
      <sheetName val="PC7"/>
      <sheetName val="PC8"/>
      <sheetName val="PC9"/>
      <sheetName val="PC10"/>
      <sheetName val="PC11"/>
      <sheetName val="PC12"/>
      <sheetName val="Summary"/>
      <sheetName val="Bank summary"/>
      <sheetName val="VAT return"/>
      <sheetName val="IR35 Calc Instructions"/>
      <sheetName val="IR35 Calculator 2003 - 04"/>
      <sheetName val="PC1 (M1 contd)"/>
      <sheetName val="PC2 (M2 contd)"/>
      <sheetName val="PC3 (M3 contd)"/>
      <sheetName val="PC4 (M4 contd)"/>
      <sheetName val="PC7 (M7 contd)"/>
      <sheetName val="PC9 (M9 contd)"/>
      <sheetName val="PC11 (M11 contd)"/>
      <sheetName val="Petty Cash Totals"/>
      <sheetName val="VAT Return Jun 04"/>
      <sheetName val="VAT Return Sep 04"/>
      <sheetName val="VAT Return Dec 04"/>
      <sheetName val="Sales Day Book 2004"/>
      <sheetName val="ILO TOR 0001,2"/>
      <sheetName val="Company_information1"/>
      <sheetName val="Bank_summary1"/>
      <sheetName val="VAT_return1"/>
      <sheetName val="IR35_Calc_Instructions1"/>
      <sheetName val="IR35_Calculator_2003_-_041"/>
      <sheetName val="PC1_(M1_contd)1"/>
      <sheetName val="PC2_(M2_contd)1"/>
      <sheetName val="PC3_(M3_contd)1"/>
      <sheetName val="PC4_(M4_contd)1"/>
      <sheetName val="PC7_(M7_contd)1"/>
      <sheetName val="PC9_(M9_contd)1"/>
      <sheetName val="PC11_(M11_contd)1"/>
      <sheetName val="Petty_Cash_Totals1"/>
      <sheetName val="VAT_Return_Jun_041"/>
      <sheetName val="VAT_Return_Sep_041"/>
      <sheetName val="VAT_Return_Dec_041"/>
      <sheetName val="Sales_Day_Book_20041"/>
      <sheetName val="ILO_TOR_0001,21"/>
      <sheetName val="Company_information"/>
      <sheetName val="Bank_summary"/>
      <sheetName val="VAT_return"/>
      <sheetName val="IR35_Calc_Instructions"/>
      <sheetName val="IR35_Calculator_2003_-_04"/>
      <sheetName val="PC1_(M1_contd)"/>
      <sheetName val="PC2_(M2_contd)"/>
      <sheetName val="PC3_(M3_contd)"/>
      <sheetName val="PC4_(M4_contd)"/>
      <sheetName val="PC7_(M7_contd)"/>
      <sheetName val="PC9_(M9_contd)"/>
      <sheetName val="PC11_(M11_contd)"/>
      <sheetName val="Petty_Cash_Totals"/>
      <sheetName val="VAT_Return_Jun_04"/>
      <sheetName val="VAT_Return_Sep_04"/>
      <sheetName val="VAT_Return_Dec_04"/>
      <sheetName val="Sales_Day_Book_2004"/>
      <sheetName val="ILO_TOR_0001,2"/>
      <sheetName val="Company_information2"/>
      <sheetName val="Bank_summary2"/>
      <sheetName val="VAT_return2"/>
      <sheetName val="IR35_Calc_Instructions2"/>
      <sheetName val="IR35_Calculator_2003_-_042"/>
      <sheetName val="PC1_(M1_contd)2"/>
      <sheetName val="PC2_(M2_contd)2"/>
      <sheetName val="PC3_(M3_contd)2"/>
      <sheetName val="PC4_(M4_contd)2"/>
      <sheetName val="PC7_(M7_contd)2"/>
      <sheetName val="PC9_(M9_contd)2"/>
      <sheetName val="PC11_(M11_contd)2"/>
      <sheetName val="Petty_Cash_Totals2"/>
      <sheetName val="VAT_Return_Jun_042"/>
      <sheetName val="VAT_Return_Sep_042"/>
      <sheetName val="VAT_Return_Dec_042"/>
      <sheetName val="Sales_Day_Book_20042"/>
      <sheetName val="ILO_TOR_0001,22"/>
    </sheetNames>
    <sheetDataSet>
      <sheetData sheetId="0">
        <row r="7">
          <cell r="H7">
            <v>101.56</v>
          </cell>
        </row>
      </sheetData>
      <sheetData sheetId="1">
        <row r="73">
          <cell r="C73" t="str">
            <v>1 January 2004</v>
          </cell>
        </row>
      </sheetData>
      <sheetData sheetId="2"/>
      <sheetData sheetId="3">
        <row r="5">
          <cell r="D5" t="str">
            <v>Cassel Consulting Limited</v>
          </cell>
        </row>
      </sheetData>
      <sheetData sheetId="4">
        <row r="3">
          <cell r="C3" t="str">
            <v>January 2004</v>
          </cell>
        </row>
        <row r="7">
          <cell r="H7">
            <v>0</v>
          </cell>
          <cell r="I7" t="str">
            <v>Interest received</v>
          </cell>
        </row>
        <row r="8">
          <cell r="H8">
            <v>0</v>
          </cell>
          <cell r="I8" t="str">
            <v>Interest received</v>
          </cell>
        </row>
        <row r="9">
          <cell r="H9">
            <v>0</v>
          </cell>
          <cell r="I9" t="str">
            <v>Non-EC sales</v>
          </cell>
        </row>
        <row r="10">
          <cell r="H10">
            <v>0</v>
          </cell>
          <cell r="I10" t="str">
            <v>Non-EC sales</v>
          </cell>
        </row>
        <row r="11">
          <cell r="H11">
            <v>0</v>
          </cell>
          <cell r="I11" t="str">
            <v>Dividends paid</v>
          </cell>
        </row>
        <row r="12">
          <cell r="H12">
            <v>0</v>
          </cell>
          <cell r="I12" t="str">
            <v>Travel, accommodation and subsistence</v>
          </cell>
        </row>
        <row r="13">
          <cell r="H13">
            <v>0</v>
          </cell>
          <cell r="I13" t="str">
            <v>Travel, accommodation and subsistence</v>
          </cell>
        </row>
        <row r="14">
          <cell r="H14">
            <v>0</v>
          </cell>
          <cell r="I14" t="str">
            <v>Telephone &amp; Internet</v>
          </cell>
        </row>
        <row r="15">
          <cell r="H15">
            <v>0</v>
          </cell>
          <cell r="I15" t="str">
            <v>PAYE/National Insurance paid</v>
          </cell>
        </row>
        <row r="16">
          <cell r="H16">
            <v>0</v>
          </cell>
          <cell r="I16" t="str">
            <v>Wages and salaries</v>
          </cell>
        </row>
        <row r="17">
          <cell r="H17">
            <v>0</v>
          </cell>
          <cell r="I17" t="str">
            <v>Bank and credit card charges</v>
          </cell>
        </row>
        <row r="18">
          <cell r="H18">
            <v>0</v>
          </cell>
          <cell r="I18" t="str">
            <v>Bank and credit card charges</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0</v>
          </cell>
          <cell r="G47">
            <v>0</v>
          </cell>
        </row>
      </sheetData>
      <sheetData sheetId="5">
        <row r="3">
          <cell r="C3" t="str">
            <v>February 2004</v>
          </cell>
        </row>
        <row r="7">
          <cell r="H7">
            <v>0</v>
          </cell>
          <cell r="I7" t="str">
            <v>Non-EC sales</v>
          </cell>
        </row>
        <row r="8">
          <cell r="H8">
            <v>0</v>
          </cell>
          <cell r="I8" t="str">
            <v>Bank and credit card charges</v>
          </cell>
        </row>
        <row r="9">
          <cell r="H9">
            <v>0</v>
          </cell>
          <cell r="I9" t="str">
            <v>Bank and credit card charges</v>
          </cell>
        </row>
        <row r="10">
          <cell r="H10">
            <v>0</v>
          </cell>
          <cell r="I10" t="str">
            <v>Petty cash drawn/reimbursed</v>
          </cell>
        </row>
        <row r="11">
          <cell r="H11">
            <v>0</v>
          </cell>
          <cell r="I11" t="str">
            <v>Legal and professional fees</v>
          </cell>
        </row>
        <row r="12">
          <cell r="H12">
            <v>0</v>
          </cell>
          <cell r="I12" t="str">
            <v>Bank and credit card charges</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0</v>
          </cell>
          <cell r="G47">
            <v>0</v>
          </cell>
        </row>
      </sheetData>
      <sheetData sheetId="6">
        <row r="3">
          <cell r="C3" t="str">
            <v>March 2004</v>
          </cell>
        </row>
        <row r="7">
          <cell r="H7">
            <v>0</v>
          </cell>
          <cell r="I7" t="str">
            <v>Bank and credit card charges</v>
          </cell>
        </row>
        <row r="8">
          <cell r="H8">
            <v>0</v>
          </cell>
          <cell r="I8" t="str">
            <v>Interest received</v>
          </cell>
        </row>
        <row r="9">
          <cell r="H9">
            <v>0</v>
          </cell>
          <cell r="I9" t="str">
            <v>Sundry receipts</v>
          </cell>
        </row>
        <row r="10">
          <cell r="H10">
            <v>0</v>
          </cell>
          <cell r="I10" t="str">
            <v>Non-EC sales</v>
          </cell>
        </row>
        <row r="11">
          <cell r="H11">
            <v>0</v>
          </cell>
          <cell r="I11" t="str">
            <v>Dividends paid</v>
          </cell>
        </row>
        <row r="12">
          <cell r="H12">
            <v>0</v>
          </cell>
          <cell r="I12" t="str">
            <v>Travel, accommodation and subsistence</v>
          </cell>
        </row>
        <row r="13">
          <cell r="H13">
            <v>0</v>
          </cell>
          <cell r="I13" t="str">
            <v>Travel, accommodation and subsistence</v>
          </cell>
        </row>
        <row r="14">
          <cell r="H14">
            <v>0</v>
          </cell>
          <cell r="I14" t="str">
            <v>Telephone &amp; Internet</v>
          </cell>
        </row>
        <row r="15">
          <cell r="H15">
            <v>0</v>
          </cell>
          <cell r="I15" t="str">
            <v>PAYE/National Insurance paid</v>
          </cell>
        </row>
        <row r="16">
          <cell r="H16">
            <v>0</v>
          </cell>
          <cell r="I16" t="str">
            <v>Wages and salaries</v>
          </cell>
        </row>
        <row r="17">
          <cell r="H17">
            <v>0</v>
          </cell>
          <cell r="I17" t="str">
            <v>Bank and credit card charges</v>
          </cell>
        </row>
        <row r="18">
          <cell r="H18">
            <v>0</v>
          </cell>
          <cell r="I18" t="str">
            <v>Bank and credit card charges</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0</v>
          </cell>
          <cell r="G47">
            <v>0</v>
          </cell>
        </row>
      </sheetData>
      <sheetData sheetId="7">
        <row r="3">
          <cell r="C3" t="str">
            <v>April 2004</v>
          </cell>
        </row>
        <row r="7">
          <cell r="H7">
            <v>8670.1299999999992</v>
          </cell>
          <cell r="I7" t="str">
            <v>Non-EC sales</v>
          </cell>
        </row>
        <row r="8">
          <cell r="H8">
            <v>0</v>
          </cell>
          <cell r="I8" t="str">
            <v>Bank and credit card charges</v>
          </cell>
        </row>
        <row r="9">
          <cell r="H9">
            <v>0</v>
          </cell>
          <cell r="I9" t="str">
            <v>Bank and credit card charges</v>
          </cell>
        </row>
        <row r="10">
          <cell r="H10">
            <v>0</v>
          </cell>
          <cell r="I10" t="str">
            <v>Petty cash drawn/reimbursed</v>
          </cell>
        </row>
        <row r="11">
          <cell r="H11">
            <v>0</v>
          </cell>
          <cell r="I11" t="str">
            <v>Legal and professional fees</v>
          </cell>
        </row>
        <row r="12">
          <cell r="H12">
            <v>0</v>
          </cell>
          <cell r="I12" t="str">
            <v>Bank and credit card charges</v>
          </cell>
        </row>
        <row r="13">
          <cell r="H13">
            <v>0</v>
          </cell>
          <cell r="I13" t="str">
            <v>Telephone &amp; Internet</v>
          </cell>
        </row>
        <row r="14">
          <cell r="H14">
            <v>0</v>
          </cell>
          <cell r="I14" t="str">
            <v>PAYE/National Insurance paid</v>
          </cell>
        </row>
        <row r="15">
          <cell r="H15">
            <v>0</v>
          </cell>
          <cell r="I15" t="str">
            <v>Wages and salaries</v>
          </cell>
        </row>
        <row r="16">
          <cell r="H16">
            <v>0</v>
          </cell>
          <cell r="I16" t="str">
            <v>Petty cash drawn/reimbursed</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8670.1299999999992</v>
          </cell>
          <cell r="G47">
            <v>0</v>
          </cell>
        </row>
      </sheetData>
      <sheetData sheetId="8">
        <row r="3">
          <cell r="C3" t="str">
            <v>May 2004</v>
          </cell>
        </row>
        <row r="7">
          <cell r="H7">
            <v>11670.31</v>
          </cell>
          <cell r="I7" t="str">
            <v>Non-EC sales</v>
          </cell>
        </row>
        <row r="8">
          <cell r="H8">
            <v>4.57</v>
          </cell>
          <cell r="I8" t="str">
            <v>Interest received</v>
          </cell>
        </row>
        <row r="9">
          <cell r="H9">
            <v>411.25</v>
          </cell>
          <cell r="I9" t="str">
            <v>Sundry receipts</v>
          </cell>
        </row>
        <row r="10">
          <cell r="H10">
            <v>11257.62</v>
          </cell>
          <cell r="I10" t="str">
            <v>Non-EC sales</v>
          </cell>
        </row>
        <row r="11">
          <cell r="H11">
            <v>0</v>
          </cell>
          <cell r="I11" t="str">
            <v>Dividends paid</v>
          </cell>
        </row>
        <row r="12">
          <cell r="H12">
            <v>0</v>
          </cell>
          <cell r="I12" t="str">
            <v>Travel, accommodation and subsistence</v>
          </cell>
        </row>
        <row r="13">
          <cell r="H13">
            <v>0</v>
          </cell>
          <cell r="I13" t="str">
            <v>Travel, accommodation and subsistence</v>
          </cell>
        </row>
        <row r="14">
          <cell r="H14">
            <v>0</v>
          </cell>
          <cell r="I14" t="str">
            <v>Telephone &amp; Internet</v>
          </cell>
        </row>
        <row r="15">
          <cell r="H15">
            <v>0</v>
          </cell>
          <cell r="I15" t="str">
            <v>PAYE/National Insurance paid</v>
          </cell>
        </row>
        <row r="16">
          <cell r="H16">
            <v>0</v>
          </cell>
          <cell r="I16" t="str">
            <v>Wages and salaries</v>
          </cell>
        </row>
        <row r="17">
          <cell r="H17">
            <v>0</v>
          </cell>
          <cell r="I17" t="str">
            <v>Bank and credit card charges</v>
          </cell>
        </row>
        <row r="18">
          <cell r="H18">
            <v>0</v>
          </cell>
          <cell r="I18" t="str">
            <v>Bank and credit card charges</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23343.75</v>
          </cell>
          <cell r="G47">
            <v>0</v>
          </cell>
        </row>
      </sheetData>
      <sheetData sheetId="9">
        <row r="3">
          <cell r="C3" t="str">
            <v>June 2004</v>
          </cell>
        </row>
        <row r="7">
          <cell r="H7">
            <v>26.71</v>
          </cell>
          <cell r="I7" t="str">
            <v>Interest received</v>
          </cell>
        </row>
        <row r="8">
          <cell r="H8">
            <v>7357.99</v>
          </cell>
          <cell r="I8" t="str">
            <v>Non-EC sales</v>
          </cell>
        </row>
        <row r="9">
          <cell r="H9">
            <v>0</v>
          </cell>
          <cell r="I9" t="str">
            <v>Bank and credit card charges</v>
          </cell>
        </row>
        <row r="10">
          <cell r="H10">
            <v>0</v>
          </cell>
          <cell r="I10" t="str">
            <v>Petty cash drawn/reimbursed</v>
          </cell>
        </row>
        <row r="11">
          <cell r="H11">
            <v>0</v>
          </cell>
          <cell r="I11" t="str">
            <v>Legal and professional fees</v>
          </cell>
        </row>
        <row r="12">
          <cell r="H12">
            <v>0</v>
          </cell>
          <cell r="I12" t="str">
            <v>Bank and credit card charges</v>
          </cell>
        </row>
        <row r="13">
          <cell r="H13">
            <v>0</v>
          </cell>
          <cell r="I13" t="str">
            <v>Telephone &amp; Internet</v>
          </cell>
        </row>
        <row r="14">
          <cell r="H14">
            <v>0</v>
          </cell>
          <cell r="I14" t="str">
            <v>PAYE/National Insurance paid</v>
          </cell>
        </row>
        <row r="15">
          <cell r="H15">
            <v>0</v>
          </cell>
          <cell r="I15" t="str">
            <v>Wages and salaries</v>
          </cell>
        </row>
        <row r="16">
          <cell r="H16">
            <v>0</v>
          </cell>
          <cell r="I16" t="str">
            <v>Petty cash drawn/reimbursed</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7384.7</v>
          </cell>
          <cell r="G47">
            <v>0</v>
          </cell>
        </row>
      </sheetData>
      <sheetData sheetId="10">
        <row r="3">
          <cell r="C3" t="str">
            <v>July 2004</v>
          </cell>
        </row>
        <row r="7">
          <cell r="H7">
            <v>15.78</v>
          </cell>
          <cell r="I7" t="str">
            <v>Interest received</v>
          </cell>
        </row>
        <row r="8">
          <cell r="H8">
            <v>15.99</v>
          </cell>
          <cell r="I8" t="str">
            <v>Interest received</v>
          </cell>
        </row>
        <row r="9">
          <cell r="H9">
            <v>7895.38</v>
          </cell>
          <cell r="I9" t="str">
            <v>Non-EC sales</v>
          </cell>
        </row>
        <row r="10">
          <cell r="H10">
            <v>20</v>
          </cell>
          <cell r="I10" t="str">
            <v>Sundry receipts</v>
          </cell>
        </row>
        <row r="11">
          <cell r="H11">
            <v>20</v>
          </cell>
          <cell r="I11" t="str">
            <v>Sundry receipts</v>
          </cell>
        </row>
        <row r="12">
          <cell r="H12">
            <v>0</v>
          </cell>
          <cell r="I12" t="str">
            <v>Travel, accommodation and subsistence</v>
          </cell>
        </row>
        <row r="13">
          <cell r="H13">
            <v>0</v>
          </cell>
          <cell r="I13" t="str">
            <v>Travel, accommodation and subsistence</v>
          </cell>
        </row>
        <row r="14">
          <cell r="H14">
            <v>0</v>
          </cell>
          <cell r="I14" t="str">
            <v>Telephone &amp; Internet</v>
          </cell>
        </row>
        <row r="15">
          <cell r="H15">
            <v>0</v>
          </cell>
          <cell r="I15" t="str">
            <v>PAYE/National Insurance paid</v>
          </cell>
        </row>
        <row r="16">
          <cell r="H16">
            <v>0</v>
          </cell>
          <cell r="I16" t="str">
            <v>Wages and salaries</v>
          </cell>
        </row>
        <row r="17">
          <cell r="H17">
            <v>0</v>
          </cell>
          <cell r="I17" t="str">
            <v>Bank and credit card charges</v>
          </cell>
        </row>
        <row r="18">
          <cell r="H18">
            <v>0</v>
          </cell>
          <cell r="I18" t="str">
            <v>Bank and credit card charges</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7967.1500000000005</v>
          </cell>
          <cell r="G47">
            <v>0</v>
          </cell>
        </row>
      </sheetData>
      <sheetData sheetId="11">
        <row r="3">
          <cell r="C3" t="str">
            <v>August 2004</v>
          </cell>
        </row>
        <row r="7">
          <cell r="H7">
            <v>21.93</v>
          </cell>
          <cell r="I7" t="str">
            <v>Interest received</v>
          </cell>
        </row>
        <row r="8">
          <cell r="H8">
            <v>13021.37</v>
          </cell>
          <cell r="I8" t="str">
            <v>Non-EC sales</v>
          </cell>
        </row>
        <row r="9">
          <cell r="H9">
            <v>17123.060000000001</v>
          </cell>
          <cell r="I9" t="str">
            <v>Non-EC sales</v>
          </cell>
        </row>
        <row r="10">
          <cell r="H10">
            <v>565.91</v>
          </cell>
          <cell r="I10" t="str">
            <v>Sundry receipts</v>
          </cell>
        </row>
        <row r="11">
          <cell r="H11">
            <v>0</v>
          </cell>
          <cell r="I11" t="str">
            <v>Legal and professional fees</v>
          </cell>
        </row>
        <row r="12">
          <cell r="H12">
            <v>0</v>
          </cell>
          <cell r="I12" t="str">
            <v>Bank and credit card charges</v>
          </cell>
        </row>
        <row r="13">
          <cell r="H13">
            <v>0</v>
          </cell>
          <cell r="I13" t="str">
            <v>Telephone &amp; Internet</v>
          </cell>
        </row>
        <row r="14">
          <cell r="H14">
            <v>0</v>
          </cell>
          <cell r="I14" t="str">
            <v>PAYE/National Insurance paid</v>
          </cell>
        </row>
        <row r="15">
          <cell r="H15">
            <v>0</v>
          </cell>
          <cell r="I15" t="str">
            <v>Wages and salaries</v>
          </cell>
        </row>
        <row r="16">
          <cell r="H16">
            <v>0</v>
          </cell>
          <cell r="I16" t="str">
            <v>Petty cash drawn/reimbursed</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30732.27</v>
          </cell>
          <cell r="G47">
            <v>0</v>
          </cell>
        </row>
      </sheetData>
      <sheetData sheetId="12">
        <row r="3">
          <cell r="C3" t="str">
            <v>September 2004</v>
          </cell>
        </row>
        <row r="7">
          <cell r="H7">
            <v>2.86</v>
          </cell>
          <cell r="I7" t="str">
            <v>Interest received</v>
          </cell>
        </row>
        <row r="8">
          <cell r="H8">
            <v>47.93</v>
          </cell>
          <cell r="I8" t="str">
            <v>Interest received</v>
          </cell>
        </row>
        <row r="9">
          <cell r="H9">
            <v>6572.19</v>
          </cell>
          <cell r="I9" t="str">
            <v>Non-EC sales</v>
          </cell>
        </row>
        <row r="10">
          <cell r="H10">
            <v>0</v>
          </cell>
          <cell r="I10" t="str">
            <v>Travel, accommodation and subsistence</v>
          </cell>
        </row>
        <row r="11">
          <cell r="H11">
            <v>0</v>
          </cell>
          <cell r="I11" t="str">
            <v>Transfers to other accounts</v>
          </cell>
        </row>
        <row r="12">
          <cell r="H12">
            <v>0</v>
          </cell>
          <cell r="I12" t="str">
            <v>Petty cash drawn/reimbursed</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6622.98</v>
          </cell>
          <cell r="G47">
            <v>0</v>
          </cell>
        </row>
      </sheetData>
      <sheetData sheetId="13">
        <row r="3">
          <cell r="C3" t="str">
            <v>October 2004</v>
          </cell>
        </row>
        <row r="7">
          <cell r="H7">
            <v>0</v>
          </cell>
        </row>
        <row r="8">
          <cell r="H8">
            <v>0</v>
          </cell>
        </row>
        <row r="9">
          <cell r="H9">
            <v>0</v>
          </cell>
        </row>
        <row r="10">
          <cell r="H10">
            <v>0</v>
          </cell>
        </row>
        <row r="11">
          <cell r="H11">
            <v>0</v>
          </cell>
        </row>
        <row r="12">
          <cell r="H12">
            <v>0</v>
          </cell>
        </row>
        <row r="13">
          <cell r="H13">
            <v>0</v>
          </cell>
        </row>
        <row r="14">
          <cell r="H14">
            <v>0</v>
          </cell>
        </row>
        <row r="15">
          <cell r="H15">
            <v>28.02</v>
          </cell>
          <cell r="I15" t="str">
            <v>Interest received</v>
          </cell>
        </row>
        <row r="16">
          <cell r="H16">
            <v>19245.64</v>
          </cell>
          <cell r="I16" t="str">
            <v>Non-EC sales</v>
          </cell>
        </row>
        <row r="17">
          <cell r="H17">
            <v>484.88</v>
          </cell>
          <cell r="I17" t="str">
            <v>Sundry receipts</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19758.54</v>
          </cell>
          <cell r="G47">
            <v>0</v>
          </cell>
        </row>
      </sheetData>
      <sheetData sheetId="14">
        <row r="3">
          <cell r="C3" t="str">
            <v>November 2004</v>
          </cell>
        </row>
        <row r="7">
          <cell r="H7">
            <v>18.16</v>
          </cell>
          <cell r="I7" t="str">
            <v>Interest received</v>
          </cell>
        </row>
        <row r="8">
          <cell r="H8">
            <v>0</v>
          </cell>
        </row>
        <row r="9">
          <cell r="H9">
            <v>0</v>
          </cell>
        </row>
        <row r="10">
          <cell r="H10">
            <v>0</v>
          </cell>
        </row>
        <row r="11">
          <cell r="H11">
            <v>0</v>
          </cell>
        </row>
        <row r="12">
          <cell r="H12">
            <v>0</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18.16</v>
          </cell>
          <cell r="G47">
            <v>0</v>
          </cell>
        </row>
      </sheetData>
      <sheetData sheetId="15">
        <row r="3">
          <cell r="C3" t="str">
            <v>December 2004</v>
          </cell>
        </row>
        <row r="7">
          <cell r="H7">
            <v>0</v>
          </cell>
        </row>
        <row r="8">
          <cell r="H8">
            <v>0</v>
          </cell>
        </row>
        <row r="9">
          <cell r="H9">
            <v>0</v>
          </cell>
        </row>
        <row r="10">
          <cell r="H10">
            <v>0</v>
          </cell>
        </row>
        <row r="11">
          <cell r="H11">
            <v>0</v>
          </cell>
        </row>
        <row r="12">
          <cell r="H12">
            <v>0</v>
          </cell>
        </row>
        <row r="13">
          <cell r="H13">
            <v>0</v>
          </cell>
        </row>
        <row r="14">
          <cell r="H14">
            <v>0</v>
          </cell>
        </row>
        <row r="15">
          <cell r="H15">
            <v>0</v>
          </cell>
        </row>
        <row r="16">
          <cell r="H16">
            <v>0</v>
          </cell>
        </row>
        <row r="17">
          <cell r="H17">
            <v>0</v>
          </cell>
        </row>
        <row r="18">
          <cell r="H18">
            <v>9.65</v>
          </cell>
          <cell r="I18" t="str">
            <v>Interest received</v>
          </cell>
        </row>
        <row r="19">
          <cell r="H19">
            <v>17804.03</v>
          </cell>
          <cell r="I19" t="str">
            <v>Non-EC sales</v>
          </cell>
        </row>
        <row r="20">
          <cell r="H20">
            <v>18723.3</v>
          </cell>
          <cell r="I20" t="str">
            <v>Non-EC sales</v>
          </cell>
        </row>
        <row r="21">
          <cell r="H21">
            <v>17908.21</v>
          </cell>
          <cell r="I21" t="str">
            <v>Non-EC sales</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54445.189999999995</v>
          </cell>
          <cell r="G47">
            <v>0</v>
          </cell>
        </row>
      </sheetData>
      <sheetData sheetId="16">
        <row r="3">
          <cell r="C3" t="str">
            <v>February 2004</v>
          </cell>
        </row>
        <row r="7">
          <cell r="H7">
            <v>0</v>
          </cell>
          <cell r="I7" t="str">
            <v>Non-EC sales</v>
          </cell>
        </row>
        <row r="8">
          <cell r="H8">
            <v>0</v>
          </cell>
        </row>
        <row r="9">
          <cell r="H9">
            <v>0</v>
          </cell>
        </row>
        <row r="10">
          <cell r="H10">
            <v>0</v>
          </cell>
        </row>
        <row r="11">
          <cell r="H11">
            <v>0</v>
          </cell>
        </row>
        <row r="12">
          <cell r="H12">
            <v>0</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0</v>
          </cell>
          <cell r="G47">
            <v>0</v>
          </cell>
        </row>
      </sheetData>
      <sheetData sheetId="17">
        <row r="3">
          <cell r="C3" t="str">
            <v>January 2004</v>
          </cell>
        </row>
        <row r="7">
          <cell r="H7">
            <v>0</v>
          </cell>
          <cell r="I7" t="str">
            <v>Bank and credit card charges</v>
          </cell>
        </row>
        <row r="8">
          <cell r="H8">
            <v>0</v>
          </cell>
          <cell r="I8" t="str">
            <v>Interest received</v>
          </cell>
        </row>
        <row r="9">
          <cell r="H9">
            <v>0</v>
          </cell>
          <cell r="I9" t="str">
            <v>Sundry receipts</v>
          </cell>
        </row>
        <row r="10">
          <cell r="H10">
            <v>0</v>
          </cell>
          <cell r="I10" t="str">
            <v>Non-EC sales</v>
          </cell>
        </row>
        <row r="11">
          <cell r="H11">
            <v>0</v>
          </cell>
          <cell r="I11" t="str">
            <v>Dividends paid</v>
          </cell>
        </row>
        <row r="12">
          <cell r="H12">
            <v>0</v>
          </cell>
          <cell r="I12" t="str">
            <v>Travel, accommodation and subsistence</v>
          </cell>
        </row>
        <row r="13">
          <cell r="H13">
            <v>0</v>
          </cell>
          <cell r="I13" t="str">
            <v>Travel, accommodation and subsistence</v>
          </cell>
        </row>
        <row r="14">
          <cell r="H14">
            <v>0</v>
          </cell>
          <cell r="I14" t="str">
            <v>Telephone &amp; Internet</v>
          </cell>
        </row>
        <row r="15">
          <cell r="H15">
            <v>0</v>
          </cell>
          <cell r="I15" t="str">
            <v>PAYE/National Insurance paid</v>
          </cell>
        </row>
        <row r="16">
          <cell r="H16">
            <v>0</v>
          </cell>
          <cell r="I16" t="str">
            <v>Wages and salaries</v>
          </cell>
        </row>
        <row r="17">
          <cell r="H17">
            <v>0</v>
          </cell>
          <cell r="I17" t="str">
            <v>Bank and credit card charges</v>
          </cell>
        </row>
        <row r="18">
          <cell r="H18">
            <v>0</v>
          </cell>
          <cell r="I18" t="str">
            <v>Bank and credit card charges</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0</v>
          </cell>
          <cell r="G47">
            <v>0</v>
          </cell>
        </row>
      </sheetData>
      <sheetData sheetId="18">
        <row r="3">
          <cell r="C3" t="str">
            <v>February 2004</v>
          </cell>
        </row>
        <row r="7">
          <cell r="H7">
            <v>0</v>
          </cell>
          <cell r="I7" t="str">
            <v>Non-EC sales</v>
          </cell>
        </row>
        <row r="8">
          <cell r="H8">
            <v>0</v>
          </cell>
          <cell r="I8" t="str">
            <v>Bank and credit card charges</v>
          </cell>
        </row>
        <row r="9">
          <cell r="H9">
            <v>0</v>
          </cell>
          <cell r="I9" t="str">
            <v>Bank and credit card charges</v>
          </cell>
        </row>
        <row r="10">
          <cell r="H10">
            <v>0</v>
          </cell>
          <cell r="I10" t="str">
            <v>Petty cash drawn/reimbursed</v>
          </cell>
        </row>
        <row r="11">
          <cell r="H11">
            <v>0</v>
          </cell>
          <cell r="I11" t="str">
            <v>Legal and professional fees</v>
          </cell>
        </row>
        <row r="12">
          <cell r="H12">
            <v>0</v>
          </cell>
          <cell r="I12" t="str">
            <v>Bank and credit card charges</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0</v>
          </cell>
          <cell r="G47">
            <v>0</v>
          </cell>
        </row>
      </sheetData>
      <sheetData sheetId="19">
        <row r="3">
          <cell r="C3" t="str">
            <v>March 2004</v>
          </cell>
        </row>
        <row r="7">
          <cell r="H7">
            <v>5</v>
          </cell>
          <cell r="I7" t="str">
            <v>Bank and credit card charges</v>
          </cell>
        </row>
        <row r="8">
          <cell r="H8">
            <v>0</v>
          </cell>
          <cell r="I8" t="str">
            <v>Interest received</v>
          </cell>
        </row>
        <row r="9">
          <cell r="H9">
            <v>0</v>
          </cell>
          <cell r="I9" t="str">
            <v>Sundry receipts</v>
          </cell>
        </row>
        <row r="10">
          <cell r="H10">
            <v>0</v>
          </cell>
          <cell r="I10" t="str">
            <v>Non-EC sales</v>
          </cell>
        </row>
        <row r="11">
          <cell r="H11">
            <v>0</v>
          </cell>
          <cell r="I11" t="str">
            <v>Dividends paid</v>
          </cell>
        </row>
        <row r="12">
          <cell r="H12">
            <v>0</v>
          </cell>
          <cell r="I12" t="str">
            <v>Travel, accommodation and subsistence</v>
          </cell>
        </row>
        <row r="13">
          <cell r="H13">
            <v>0</v>
          </cell>
          <cell r="I13" t="str">
            <v>Travel, accommodation and subsistence</v>
          </cell>
        </row>
        <row r="14">
          <cell r="H14">
            <v>0</v>
          </cell>
          <cell r="I14" t="str">
            <v>Telephone &amp; Internet</v>
          </cell>
        </row>
        <row r="15">
          <cell r="H15">
            <v>0</v>
          </cell>
          <cell r="I15" t="str">
            <v>PAYE/National Insurance paid</v>
          </cell>
        </row>
        <row r="16">
          <cell r="H16">
            <v>0</v>
          </cell>
          <cell r="I16" t="str">
            <v>Wages and salaries</v>
          </cell>
        </row>
        <row r="17">
          <cell r="H17">
            <v>0</v>
          </cell>
          <cell r="I17" t="str">
            <v>Bank and credit card charges</v>
          </cell>
        </row>
        <row r="18">
          <cell r="H18">
            <v>0</v>
          </cell>
          <cell r="I18" t="str">
            <v>Bank and credit card charges</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5</v>
          </cell>
          <cell r="G47">
            <v>0</v>
          </cell>
        </row>
      </sheetData>
      <sheetData sheetId="20">
        <row r="3">
          <cell r="C3" t="str">
            <v>April 2004</v>
          </cell>
        </row>
        <row r="7">
          <cell r="H7">
            <v>5</v>
          </cell>
          <cell r="I7" t="str">
            <v>Bank and credit card charges</v>
          </cell>
        </row>
        <row r="8">
          <cell r="H8">
            <v>5</v>
          </cell>
          <cell r="I8" t="str">
            <v>Bank and credit card charges</v>
          </cell>
        </row>
        <row r="9">
          <cell r="H9">
            <v>0</v>
          </cell>
          <cell r="I9" t="str">
            <v>Bank and credit card charges</v>
          </cell>
        </row>
        <row r="10">
          <cell r="H10">
            <v>0</v>
          </cell>
          <cell r="I10" t="str">
            <v>Petty cash drawn/reimbursed</v>
          </cell>
        </row>
        <row r="11">
          <cell r="H11">
            <v>0</v>
          </cell>
          <cell r="I11" t="str">
            <v>Legal and professional fees</v>
          </cell>
        </row>
        <row r="12">
          <cell r="H12">
            <v>0</v>
          </cell>
          <cell r="I12" t="str">
            <v>Bank and credit card charges</v>
          </cell>
        </row>
        <row r="13">
          <cell r="H13">
            <v>0</v>
          </cell>
          <cell r="I13" t="str">
            <v>Telephone &amp; Internet</v>
          </cell>
        </row>
        <row r="14">
          <cell r="H14">
            <v>0</v>
          </cell>
          <cell r="I14" t="str">
            <v>PAYE/National Insurance paid</v>
          </cell>
        </row>
        <row r="15">
          <cell r="H15">
            <v>0</v>
          </cell>
          <cell r="I15" t="str">
            <v>Wages and salaries</v>
          </cell>
        </row>
        <row r="16">
          <cell r="H16">
            <v>0</v>
          </cell>
          <cell r="I16" t="str">
            <v>Petty cash drawn/reimbursed</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10</v>
          </cell>
          <cell r="G47">
            <v>0</v>
          </cell>
        </row>
      </sheetData>
      <sheetData sheetId="21">
        <row r="3">
          <cell r="C3" t="str">
            <v>May 2004</v>
          </cell>
        </row>
        <row r="7">
          <cell r="H7">
            <v>11000</v>
          </cell>
          <cell r="I7" t="str">
            <v>Transfers to other accounts</v>
          </cell>
        </row>
        <row r="8">
          <cell r="H8">
            <v>15189.44</v>
          </cell>
          <cell r="I8" t="str">
            <v>Petty cash drawn/reimbursed</v>
          </cell>
        </row>
        <row r="9">
          <cell r="H9">
            <v>43.4</v>
          </cell>
          <cell r="I9" t="str">
            <v>Printing, postage and stationery</v>
          </cell>
        </row>
        <row r="10">
          <cell r="H10">
            <v>161.5</v>
          </cell>
          <cell r="I10" t="str">
            <v>Software &amp; IT Consumables</v>
          </cell>
        </row>
        <row r="11">
          <cell r="H11">
            <v>1000</v>
          </cell>
          <cell r="I11" t="str">
            <v>Dividends paid</v>
          </cell>
        </row>
        <row r="12">
          <cell r="H12">
            <v>80</v>
          </cell>
          <cell r="I12" t="str">
            <v>Travel, accommodation and subsistence</v>
          </cell>
        </row>
        <row r="13">
          <cell r="H13">
            <v>80</v>
          </cell>
          <cell r="I13" t="str">
            <v>Travel, accommodation and subsistence</v>
          </cell>
        </row>
        <row r="14">
          <cell r="H14">
            <v>148.94</v>
          </cell>
          <cell r="I14" t="str">
            <v>Telephone &amp; Internet</v>
          </cell>
        </row>
        <row r="15">
          <cell r="H15">
            <v>228.04</v>
          </cell>
          <cell r="I15" t="str">
            <v>PAYE/National Insurance paid</v>
          </cell>
        </row>
        <row r="16">
          <cell r="H16">
            <v>2271.96</v>
          </cell>
          <cell r="I16" t="str">
            <v>Wages and salaries</v>
          </cell>
        </row>
        <row r="17">
          <cell r="H17">
            <v>16.68</v>
          </cell>
          <cell r="I17" t="str">
            <v>Bank and credit card charges</v>
          </cell>
        </row>
        <row r="18">
          <cell r="H18">
            <v>20</v>
          </cell>
          <cell r="I18" t="str">
            <v>Bank and credit card charges</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30273.620000000003</v>
          </cell>
          <cell r="G47">
            <v>33.659999999999997</v>
          </cell>
        </row>
      </sheetData>
      <sheetData sheetId="22">
        <row r="3">
          <cell r="C3" t="str">
            <v>June 2004</v>
          </cell>
        </row>
        <row r="7">
          <cell r="H7">
            <v>190</v>
          </cell>
          <cell r="I7" t="str">
            <v>Travel, accommodation and subsistence</v>
          </cell>
        </row>
        <row r="8">
          <cell r="H8">
            <v>20</v>
          </cell>
          <cell r="I8" t="str">
            <v>Bank and credit card charges</v>
          </cell>
        </row>
        <row r="9">
          <cell r="H9">
            <v>8</v>
          </cell>
          <cell r="I9" t="str">
            <v>Bank and credit card charges</v>
          </cell>
        </row>
        <row r="10">
          <cell r="H10">
            <v>4839.2</v>
          </cell>
          <cell r="I10" t="str">
            <v>Petty cash drawn/reimbursed</v>
          </cell>
        </row>
        <row r="11">
          <cell r="H11">
            <v>405.56</v>
          </cell>
          <cell r="I11" t="str">
            <v>Legal and professional fees</v>
          </cell>
        </row>
        <row r="12">
          <cell r="H12">
            <v>17.5</v>
          </cell>
          <cell r="I12" t="str">
            <v>Bank and credit card charges</v>
          </cell>
        </row>
        <row r="13">
          <cell r="H13">
            <v>0</v>
          </cell>
          <cell r="I13" t="str">
            <v>Telephone &amp; Internet</v>
          </cell>
        </row>
        <row r="14">
          <cell r="H14">
            <v>0</v>
          </cell>
          <cell r="I14" t="str">
            <v>PAYE/National Insurance paid</v>
          </cell>
        </row>
        <row r="15">
          <cell r="H15">
            <v>0</v>
          </cell>
          <cell r="I15" t="str">
            <v>Wages and salaries</v>
          </cell>
        </row>
        <row r="16">
          <cell r="H16">
            <v>0</v>
          </cell>
          <cell r="I16" t="str">
            <v>Petty cash drawn/reimbursed</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5480.26</v>
          </cell>
          <cell r="G47">
            <v>0</v>
          </cell>
        </row>
      </sheetData>
      <sheetData sheetId="23">
        <row r="3">
          <cell r="C3" t="str">
            <v>July 2004</v>
          </cell>
        </row>
        <row r="7">
          <cell r="H7">
            <v>50</v>
          </cell>
          <cell r="I7" t="str">
            <v>Travel, accommodation and subsistence</v>
          </cell>
        </row>
        <row r="8">
          <cell r="H8">
            <v>16.66</v>
          </cell>
          <cell r="I8" t="str">
            <v>Bank and credit card charges</v>
          </cell>
        </row>
        <row r="9">
          <cell r="H9">
            <v>16.75</v>
          </cell>
          <cell r="I9" t="str">
            <v>Bank and credit card charges</v>
          </cell>
        </row>
        <row r="10">
          <cell r="H10">
            <v>50</v>
          </cell>
          <cell r="I10" t="str">
            <v>Travel, accommodation and subsistence</v>
          </cell>
        </row>
        <row r="11">
          <cell r="H11">
            <v>25000</v>
          </cell>
          <cell r="I11" t="str">
            <v>Transfers to other accounts</v>
          </cell>
        </row>
        <row r="12">
          <cell r="H12">
            <v>1771.05</v>
          </cell>
          <cell r="I12" t="str">
            <v>Petty cash drawn/reimbursed</v>
          </cell>
        </row>
        <row r="13">
          <cell r="H13">
            <v>0</v>
          </cell>
          <cell r="I13" t="str">
            <v>Travel, accommodation and subsistence</v>
          </cell>
        </row>
        <row r="14">
          <cell r="H14">
            <v>0</v>
          </cell>
          <cell r="I14" t="str">
            <v>Telephone &amp; Internet</v>
          </cell>
        </row>
        <row r="15">
          <cell r="H15">
            <v>0</v>
          </cell>
          <cell r="I15" t="str">
            <v>PAYE/National Insurance paid</v>
          </cell>
        </row>
        <row r="16">
          <cell r="H16">
            <v>0</v>
          </cell>
          <cell r="I16" t="str">
            <v>Wages and salaries</v>
          </cell>
        </row>
        <row r="17">
          <cell r="H17">
            <v>0</v>
          </cell>
          <cell r="I17" t="str">
            <v>Bank and credit card charges</v>
          </cell>
        </row>
        <row r="18">
          <cell r="H18">
            <v>0</v>
          </cell>
          <cell r="I18" t="str">
            <v>Bank and credit card charges</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26904.46</v>
          </cell>
          <cell r="G47">
            <v>0</v>
          </cell>
        </row>
      </sheetData>
      <sheetData sheetId="24">
        <row r="3">
          <cell r="C3" t="str">
            <v>August 2004</v>
          </cell>
        </row>
        <row r="7">
          <cell r="H7">
            <v>3.4099999999999997</v>
          </cell>
          <cell r="I7" t="str">
            <v>Telephone &amp; Internet</v>
          </cell>
        </row>
        <row r="8">
          <cell r="H8">
            <v>112.5</v>
          </cell>
          <cell r="I8" t="str">
            <v>Legal and professional fees</v>
          </cell>
        </row>
        <row r="9">
          <cell r="H9">
            <v>1815.51</v>
          </cell>
          <cell r="I9" t="str">
            <v>Legal and professional fees</v>
          </cell>
        </row>
        <row r="10">
          <cell r="H10">
            <v>17.5</v>
          </cell>
          <cell r="I10" t="str">
            <v>Bank and credit card charges</v>
          </cell>
        </row>
        <row r="11">
          <cell r="H11">
            <v>3699.02</v>
          </cell>
          <cell r="I11" t="str">
            <v>Petty cash drawn/reimbursed</v>
          </cell>
        </row>
        <row r="12">
          <cell r="H12">
            <v>17.59</v>
          </cell>
          <cell r="I12" t="str">
            <v>Bank and credit card charges</v>
          </cell>
        </row>
        <row r="13">
          <cell r="H13">
            <v>50.25</v>
          </cell>
          <cell r="I13" t="str">
            <v>Telephone &amp; Internet</v>
          </cell>
        </row>
        <row r="14">
          <cell r="H14">
            <v>3365.35</v>
          </cell>
          <cell r="I14" t="str">
            <v>PAYE/National Insurance paid</v>
          </cell>
        </row>
        <row r="15">
          <cell r="H15">
            <v>6687.27</v>
          </cell>
          <cell r="I15" t="str">
            <v>Wages and salaries</v>
          </cell>
        </row>
        <row r="16">
          <cell r="H16">
            <v>4021.86</v>
          </cell>
          <cell r="I16" t="str">
            <v>Petty cash drawn/reimbursed</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19799.650000000001</v>
          </cell>
          <cell r="G47">
            <v>9.3899999999999988</v>
          </cell>
        </row>
      </sheetData>
      <sheetData sheetId="25">
        <row r="6">
          <cell r="E6">
            <v>12</v>
          </cell>
        </row>
        <row r="7">
          <cell r="H7">
            <v>17.8</v>
          </cell>
          <cell r="I7" t="str">
            <v>Bank and credit card charges</v>
          </cell>
        </row>
        <row r="8">
          <cell r="H8">
            <v>15000</v>
          </cell>
          <cell r="I8" t="str">
            <v>Transfers to other accounts</v>
          </cell>
        </row>
        <row r="9">
          <cell r="H9">
            <v>0</v>
          </cell>
        </row>
        <row r="10">
          <cell r="H10">
            <v>0</v>
          </cell>
        </row>
        <row r="11">
          <cell r="H11">
            <v>0</v>
          </cell>
        </row>
        <row r="12">
          <cell r="H12">
            <v>0</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15017.8</v>
          </cell>
          <cell r="G47">
            <v>0</v>
          </cell>
        </row>
      </sheetData>
      <sheetData sheetId="26">
        <row r="5">
          <cell r="D5" t="str">
            <v>Cassel Consulting Limited</v>
          </cell>
        </row>
        <row r="7">
          <cell r="H7">
            <v>80</v>
          </cell>
          <cell r="I7" t="str">
            <v>Travel, accommodation and subsistence</v>
          </cell>
        </row>
        <row r="8">
          <cell r="H8">
            <v>80</v>
          </cell>
          <cell r="I8" t="str">
            <v>Travel, accommodation and subsistence</v>
          </cell>
        </row>
        <row r="9">
          <cell r="H9">
            <v>57.709999999999994</v>
          </cell>
          <cell r="I9" t="str">
            <v>Telephone &amp; Internet</v>
          </cell>
        </row>
        <row r="10">
          <cell r="H10">
            <v>3757.02</v>
          </cell>
          <cell r="I10" t="str">
            <v>Petty cash drawn/reimbursed</v>
          </cell>
        </row>
        <row r="11">
          <cell r="H11">
            <v>325.64</v>
          </cell>
          <cell r="I11" t="str">
            <v>Legal and professional fees</v>
          </cell>
        </row>
        <row r="12">
          <cell r="H12">
            <v>17.5</v>
          </cell>
          <cell r="I12" t="str">
            <v>Bank and credit card charges</v>
          </cell>
        </row>
        <row r="13">
          <cell r="H13">
            <v>0</v>
          </cell>
          <cell r="I13" t="str">
            <v>Travel, accommodation and subsistence</v>
          </cell>
        </row>
        <row r="14">
          <cell r="H14">
            <v>0</v>
          </cell>
          <cell r="I14" t="str">
            <v>Travel, accommodation and subsistence</v>
          </cell>
        </row>
        <row r="15">
          <cell r="H15">
            <v>0</v>
          </cell>
          <cell r="I15" t="str">
            <v>Travel, accommodation and subsistence</v>
          </cell>
        </row>
        <row r="16">
          <cell r="H16">
            <v>0</v>
          </cell>
          <cell r="I16" t="str">
            <v>Travel, accommodation and subsistence</v>
          </cell>
        </row>
        <row r="17">
          <cell r="H17">
            <v>0</v>
          </cell>
          <cell r="I17" t="str">
            <v>Travel, accommodation and subsistence</v>
          </cell>
        </row>
        <row r="18">
          <cell r="H18">
            <v>0</v>
          </cell>
          <cell r="I18" t="str">
            <v>Travel, accommodation and subsistence</v>
          </cell>
        </row>
        <row r="19">
          <cell r="H19">
            <v>0</v>
          </cell>
          <cell r="I19" t="str">
            <v>Travel, accommodation and subsistence</v>
          </cell>
        </row>
        <row r="20">
          <cell r="H20">
            <v>0</v>
          </cell>
          <cell r="I20" t="str">
            <v>Travel, accommodation and subsistence</v>
          </cell>
        </row>
        <row r="21">
          <cell r="H21">
            <v>0</v>
          </cell>
          <cell r="I21" t="str">
            <v>Travel, accommodation and subsistence</v>
          </cell>
        </row>
        <row r="22">
          <cell r="H22">
            <v>0</v>
          </cell>
          <cell r="I22" t="str">
            <v>Travel, accommodation and subsistence</v>
          </cell>
        </row>
        <row r="23">
          <cell r="H23">
            <v>0</v>
          </cell>
          <cell r="I23" t="str">
            <v>Travel, accommodation and subsistence</v>
          </cell>
        </row>
        <row r="24">
          <cell r="H24">
            <v>0</v>
          </cell>
          <cell r="I24" t="str">
            <v>Travel, accommodation and subsistence</v>
          </cell>
        </row>
        <row r="25">
          <cell r="H25">
            <v>0</v>
          </cell>
          <cell r="I25" t="str">
            <v>Travel, accommodation and subsistence</v>
          </cell>
        </row>
        <row r="26">
          <cell r="H26">
            <v>0</v>
          </cell>
          <cell r="I26" t="str">
            <v>Travel, accommodation and subsistence</v>
          </cell>
        </row>
        <row r="27">
          <cell r="H27">
            <v>0</v>
          </cell>
          <cell r="I27" t="str">
            <v>Travel, accommodation and subsistence</v>
          </cell>
        </row>
        <row r="28">
          <cell r="H28">
            <v>0</v>
          </cell>
          <cell r="I28" t="str">
            <v>Sundry expenses</v>
          </cell>
        </row>
        <row r="29">
          <cell r="H29">
            <v>0</v>
          </cell>
          <cell r="I29" t="str">
            <v>Sundry expenses</v>
          </cell>
        </row>
        <row r="30">
          <cell r="H30">
            <v>0</v>
          </cell>
          <cell r="I30" t="str">
            <v>Sundry expenses</v>
          </cell>
        </row>
        <row r="31">
          <cell r="H31">
            <v>0</v>
          </cell>
          <cell r="I31" t="str">
            <v>Travel, accommodation and subsistence</v>
          </cell>
        </row>
        <row r="32">
          <cell r="H32">
            <v>0</v>
          </cell>
          <cell r="I32" t="str">
            <v>Travel, accommodation and subsistence</v>
          </cell>
        </row>
        <row r="33">
          <cell r="H33">
            <v>0</v>
          </cell>
          <cell r="I33" t="str">
            <v>Travel, accommodation and subsistence</v>
          </cell>
        </row>
        <row r="34">
          <cell r="H34">
            <v>0</v>
          </cell>
          <cell r="I34" t="str">
            <v>Travel, accommodation and subsistence</v>
          </cell>
        </row>
        <row r="35">
          <cell r="H35">
            <v>0</v>
          </cell>
          <cell r="I35" t="str">
            <v>Travel, accommodation and subsistence</v>
          </cell>
        </row>
        <row r="36">
          <cell r="H36">
            <v>0</v>
          </cell>
          <cell r="I36" t="str">
            <v>Legal and professional fees</v>
          </cell>
        </row>
        <row r="37">
          <cell r="H37">
            <v>0</v>
          </cell>
          <cell r="I37" t="str">
            <v>Motor Travel</v>
          </cell>
        </row>
        <row r="38">
          <cell r="H38">
            <v>0</v>
          </cell>
          <cell r="I38" t="str">
            <v>Travel, accommodation and subsistence</v>
          </cell>
        </row>
        <row r="39">
          <cell r="H39">
            <v>0</v>
          </cell>
          <cell r="I39" t="str">
            <v>Travel, accommodation and subsistence</v>
          </cell>
        </row>
        <row r="40">
          <cell r="H40">
            <v>0</v>
          </cell>
          <cell r="I40" t="str">
            <v>Travel, accommodation and subsistence</v>
          </cell>
        </row>
        <row r="41">
          <cell r="H41">
            <v>0</v>
          </cell>
          <cell r="I41" t="str">
            <v>Travel, accommodation and subsistence</v>
          </cell>
        </row>
        <row r="42">
          <cell r="H42">
            <v>0</v>
          </cell>
          <cell r="I42" t="str">
            <v>Travel, accommodation and subsistence</v>
          </cell>
        </row>
        <row r="43">
          <cell r="H43">
            <v>0</v>
          </cell>
          <cell r="I43" t="str">
            <v>Travel, accommodation and subsistence</v>
          </cell>
        </row>
        <row r="44">
          <cell r="H44">
            <v>0</v>
          </cell>
          <cell r="I44" t="str">
            <v>Travel, accommodation and subsistence</v>
          </cell>
        </row>
        <row r="45">
          <cell r="H45">
            <v>0</v>
          </cell>
          <cell r="I45" t="str">
            <v>Travel, accommodation and subsistence</v>
          </cell>
        </row>
        <row r="46">
          <cell r="H46">
            <v>0</v>
          </cell>
          <cell r="I46" t="str">
            <v>Travel, accommodation and subsistence</v>
          </cell>
        </row>
        <row r="47">
          <cell r="F47">
            <v>4327.96</v>
          </cell>
          <cell r="G47">
            <v>10.09</v>
          </cell>
        </row>
      </sheetData>
      <sheetData sheetId="27">
        <row r="5">
          <cell r="D5" t="str">
            <v>Cassel Consulting Limited</v>
          </cell>
        </row>
        <row r="7">
          <cell r="H7">
            <v>19.189999999999998</v>
          </cell>
          <cell r="I7" t="str">
            <v>Telephone &amp; Internet</v>
          </cell>
        </row>
        <row r="8">
          <cell r="H8">
            <v>50</v>
          </cell>
          <cell r="I8" t="str">
            <v>Travel, accommodation and subsistence</v>
          </cell>
        </row>
        <row r="9">
          <cell r="H9">
            <v>50</v>
          </cell>
          <cell r="I9" t="str">
            <v>Travel, accommodation and subsistence</v>
          </cell>
        </row>
        <row r="10">
          <cell r="H10">
            <v>6440.32</v>
          </cell>
          <cell r="I10" t="str">
            <v>Wages and salaries</v>
          </cell>
        </row>
        <row r="11">
          <cell r="H11">
            <v>2408.19</v>
          </cell>
          <cell r="I11" t="str">
            <v>Petty cash drawn/reimbursed</v>
          </cell>
        </row>
        <row r="12">
          <cell r="H12">
            <v>27000</v>
          </cell>
          <cell r="I12" t="str">
            <v>Transfers to other accounts</v>
          </cell>
        </row>
        <row r="13">
          <cell r="H13">
            <v>3899.66</v>
          </cell>
          <cell r="I13" t="str">
            <v>PAYE/National Insurance paid</v>
          </cell>
        </row>
        <row r="14">
          <cell r="H14">
            <v>560</v>
          </cell>
          <cell r="I14" t="str">
            <v>Sundry expenses</v>
          </cell>
        </row>
        <row r="15">
          <cell r="H15">
            <v>5</v>
          </cell>
          <cell r="I15" t="str">
            <v>Bank and credit card charges</v>
          </cell>
        </row>
        <row r="16">
          <cell r="H16">
            <v>17.84</v>
          </cell>
          <cell r="I16" t="str">
            <v>Bank and credit card charges</v>
          </cell>
        </row>
        <row r="17">
          <cell r="H17">
            <v>10000</v>
          </cell>
          <cell r="I17" t="str">
            <v>Transfers to other accounts</v>
          </cell>
        </row>
        <row r="18">
          <cell r="H18">
            <v>2851.1</v>
          </cell>
          <cell r="I18" t="str">
            <v>Legal and professional fees</v>
          </cell>
        </row>
        <row r="19">
          <cell r="H19">
            <v>17.5</v>
          </cell>
          <cell r="I19" t="str">
            <v>Bank and credit card charges</v>
          </cell>
        </row>
        <row r="20">
          <cell r="H20">
            <v>0</v>
          </cell>
          <cell r="I20" t="str">
            <v>Travel, accommodation and subsistence</v>
          </cell>
        </row>
        <row r="21">
          <cell r="H21">
            <v>0</v>
          </cell>
          <cell r="I21" t="str">
            <v>Travel, accommodation and subsistence</v>
          </cell>
        </row>
        <row r="22">
          <cell r="H22">
            <v>0</v>
          </cell>
          <cell r="I22" t="str">
            <v>Entertaining</v>
          </cell>
        </row>
        <row r="23">
          <cell r="H23">
            <v>0</v>
          </cell>
          <cell r="I23" t="str">
            <v>Travel, accommodation and subsistence</v>
          </cell>
        </row>
        <row r="24">
          <cell r="H24">
            <v>0</v>
          </cell>
          <cell r="I24" t="str">
            <v>Travel, accommodation and subsistence</v>
          </cell>
        </row>
        <row r="25">
          <cell r="H25">
            <v>0</v>
          </cell>
          <cell r="I25" t="str">
            <v>Travel, accommodation and subsistence</v>
          </cell>
        </row>
        <row r="26">
          <cell r="H26">
            <v>0</v>
          </cell>
          <cell r="I26" t="str">
            <v>Motor Travel</v>
          </cell>
        </row>
        <row r="27">
          <cell r="H27">
            <v>0</v>
          </cell>
          <cell r="I27" t="str">
            <v>Travel, accommodation and subsistence</v>
          </cell>
        </row>
        <row r="28">
          <cell r="H28">
            <v>0</v>
          </cell>
          <cell r="I28" t="str">
            <v>Travel, accommodation and subsistence</v>
          </cell>
        </row>
        <row r="29">
          <cell r="H29">
            <v>0</v>
          </cell>
          <cell r="I29" t="str">
            <v>Travel, accommodation and subsistence</v>
          </cell>
        </row>
        <row r="30">
          <cell r="H30">
            <v>0</v>
          </cell>
          <cell r="I30" t="str">
            <v>Travel, accommodation and subsistence</v>
          </cell>
        </row>
        <row r="31">
          <cell r="H31">
            <v>0</v>
          </cell>
          <cell r="I31" t="str">
            <v>Travel, accommodation and subsistence</v>
          </cell>
        </row>
        <row r="32">
          <cell r="H32">
            <v>0</v>
          </cell>
          <cell r="I32" t="str">
            <v>Entertaining</v>
          </cell>
        </row>
        <row r="33">
          <cell r="H33">
            <v>0</v>
          </cell>
          <cell r="I33" t="str">
            <v>Travel, accommodation and subsistence</v>
          </cell>
        </row>
        <row r="34">
          <cell r="H34">
            <v>0</v>
          </cell>
          <cell r="I34" t="str">
            <v>Travel, accommodation and subsistence</v>
          </cell>
        </row>
        <row r="35">
          <cell r="H35">
            <v>0</v>
          </cell>
          <cell r="I35" t="str">
            <v>Travel, accommodation and subsistence</v>
          </cell>
        </row>
        <row r="36">
          <cell r="H36">
            <v>0</v>
          </cell>
          <cell r="I36" t="str">
            <v>Motor Travel</v>
          </cell>
        </row>
        <row r="37">
          <cell r="H37">
            <v>0</v>
          </cell>
          <cell r="I37" t="str">
            <v>Travel, accommodation and subsistence</v>
          </cell>
        </row>
        <row r="38">
          <cell r="H38">
            <v>0</v>
          </cell>
          <cell r="I38" t="str">
            <v>Travel, accommodation and subsistence</v>
          </cell>
        </row>
        <row r="39">
          <cell r="H39">
            <v>0</v>
          </cell>
          <cell r="I39" t="str">
            <v>Motor Travel</v>
          </cell>
        </row>
        <row r="40">
          <cell r="H40">
            <v>0</v>
          </cell>
          <cell r="I40" t="str">
            <v>Telephone &amp; Internet</v>
          </cell>
        </row>
        <row r="41">
          <cell r="H41">
            <v>0</v>
          </cell>
          <cell r="I41" t="str">
            <v>Telephone &amp; Internet</v>
          </cell>
        </row>
        <row r="42">
          <cell r="H42">
            <v>0</v>
          </cell>
          <cell r="I42" t="str">
            <v>Travel, accommodation and subsistence</v>
          </cell>
        </row>
        <row r="43">
          <cell r="H43">
            <v>0</v>
          </cell>
          <cell r="I43" t="str">
            <v>Travel, accommodation and subsistence</v>
          </cell>
        </row>
        <row r="44">
          <cell r="H44">
            <v>0</v>
          </cell>
          <cell r="I44" t="str">
            <v>Travel, accommodation and subsistence</v>
          </cell>
        </row>
        <row r="45">
          <cell r="H45">
            <v>0</v>
          </cell>
          <cell r="I45" t="str">
            <v>Travel, accommodation and subsistence</v>
          </cell>
        </row>
        <row r="46">
          <cell r="H46">
            <v>0</v>
          </cell>
          <cell r="I46" t="str">
            <v>Travel, accommodation and subsistence</v>
          </cell>
        </row>
        <row r="47">
          <cell r="F47">
            <v>53322.15</v>
          </cell>
          <cell r="G47">
            <v>3.35</v>
          </cell>
        </row>
      </sheetData>
      <sheetData sheetId="28">
        <row r="5">
          <cell r="D5" t="str">
            <v>Cassel Consulting Limited</v>
          </cell>
        </row>
        <row r="7">
          <cell r="H7">
            <v>341.5</v>
          </cell>
          <cell r="I7" t="str">
            <v>Travel, accommodation and subsistence</v>
          </cell>
        </row>
        <row r="8">
          <cell r="H8">
            <v>175.5</v>
          </cell>
          <cell r="I8" t="str">
            <v>Travel, accommodation and subsistence</v>
          </cell>
        </row>
        <row r="9">
          <cell r="H9">
            <v>5.05</v>
          </cell>
          <cell r="I9" t="str">
            <v>Travel, accommodation and subsistence</v>
          </cell>
        </row>
        <row r="10">
          <cell r="H10">
            <v>11.7</v>
          </cell>
          <cell r="I10" t="str">
            <v>Travel, accommodation and subsistence</v>
          </cell>
        </row>
        <row r="11">
          <cell r="H11">
            <v>9.36</v>
          </cell>
          <cell r="I11" t="str">
            <v>Travel, accommodation and subsistence</v>
          </cell>
        </row>
        <row r="12">
          <cell r="H12">
            <v>7.96</v>
          </cell>
          <cell r="I12" t="str">
            <v>Travel, accommodation and subsistence</v>
          </cell>
        </row>
        <row r="13">
          <cell r="H13">
            <v>1.03</v>
          </cell>
          <cell r="I13" t="str">
            <v>Travel, accommodation and subsistence</v>
          </cell>
        </row>
        <row r="14">
          <cell r="H14">
            <v>1.03</v>
          </cell>
          <cell r="I14" t="str">
            <v>Travel, accommodation and subsistence</v>
          </cell>
        </row>
        <row r="15">
          <cell r="H15">
            <v>3.84</v>
          </cell>
          <cell r="I15" t="str">
            <v>Travel, accommodation and subsistence</v>
          </cell>
        </row>
        <row r="16">
          <cell r="H16">
            <v>1.92</v>
          </cell>
          <cell r="I16" t="str">
            <v>Travel, accommodation and subsistence</v>
          </cell>
        </row>
        <row r="17">
          <cell r="H17">
            <v>3.23</v>
          </cell>
          <cell r="I17" t="str">
            <v>Travel, accommodation and subsistence</v>
          </cell>
        </row>
        <row r="18">
          <cell r="H18">
            <v>171.5</v>
          </cell>
          <cell r="I18" t="str">
            <v>Travel, accommodation and subsistence</v>
          </cell>
        </row>
        <row r="19">
          <cell r="H19">
            <v>74.5</v>
          </cell>
          <cell r="I19" t="str">
            <v>Travel, accommodation and subsistence</v>
          </cell>
        </row>
        <row r="20">
          <cell r="H20">
            <v>1.03</v>
          </cell>
          <cell r="I20" t="str">
            <v>Travel, accommodation and subsistence</v>
          </cell>
        </row>
        <row r="21">
          <cell r="H21">
            <v>1.03</v>
          </cell>
          <cell r="I21" t="str">
            <v>Travel, accommodation and subsistence</v>
          </cell>
        </row>
        <row r="22">
          <cell r="H22">
            <v>4.53</v>
          </cell>
          <cell r="I22" t="str">
            <v>Travel, accommodation and subsistence</v>
          </cell>
        </row>
        <row r="23">
          <cell r="H23">
            <v>8.19</v>
          </cell>
          <cell r="I23" t="str">
            <v>Travel, accommodation and subsistence</v>
          </cell>
        </row>
        <row r="24">
          <cell r="H24">
            <v>1.03</v>
          </cell>
          <cell r="I24" t="str">
            <v>Travel, accommodation and subsistence</v>
          </cell>
        </row>
        <row r="25">
          <cell r="H25">
            <v>1.03</v>
          </cell>
          <cell r="I25" t="str">
            <v>Travel, accommodation and subsistence</v>
          </cell>
        </row>
        <row r="26">
          <cell r="H26">
            <v>4.07</v>
          </cell>
          <cell r="I26" t="str">
            <v>Travel, accommodation and subsistence</v>
          </cell>
        </row>
        <row r="27">
          <cell r="H27">
            <v>7.09</v>
          </cell>
          <cell r="I27" t="str">
            <v>Travel, accommodation and subsistence</v>
          </cell>
        </row>
        <row r="28">
          <cell r="H28">
            <v>132</v>
          </cell>
          <cell r="I28" t="str">
            <v>Sundry expenses</v>
          </cell>
        </row>
        <row r="29">
          <cell r="H29">
            <v>75</v>
          </cell>
          <cell r="I29" t="str">
            <v>Sundry expenses</v>
          </cell>
        </row>
        <row r="30">
          <cell r="H30">
            <v>260</v>
          </cell>
          <cell r="I30" t="str">
            <v>Sundry expenses</v>
          </cell>
        </row>
        <row r="31">
          <cell r="H31">
            <v>1.03</v>
          </cell>
          <cell r="I31" t="str">
            <v>Travel, accommodation and subsistence</v>
          </cell>
        </row>
        <row r="32">
          <cell r="H32">
            <v>1.03</v>
          </cell>
          <cell r="I32" t="str">
            <v>Travel, accommodation and subsistence</v>
          </cell>
        </row>
        <row r="33">
          <cell r="H33">
            <v>4.45</v>
          </cell>
          <cell r="I33" t="str">
            <v>Travel, accommodation and subsistence</v>
          </cell>
        </row>
        <row r="34">
          <cell r="H34">
            <v>3.51</v>
          </cell>
          <cell r="I34" t="str">
            <v>Travel, accommodation and subsistence</v>
          </cell>
        </row>
        <row r="35">
          <cell r="H35">
            <v>68.09</v>
          </cell>
          <cell r="I35" t="str">
            <v>Travel, accommodation and subsistence</v>
          </cell>
        </row>
        <row r="36">
          <cell r="H36">
            <v>350</v>
          </cell>
          <cell r="I36" t="str">
            <v>Legal and professional fees</v>
          </cell>
        </row>
        <row r="37">
          <cell r="H37">
            <v>53.6</v>
          </cell>
          <cell r="I37" t="str">
            <v>Motor Travel</v>
          </cell>
        </row>
        <row r="38">
          <cell r="H38">
            <v>224.61</v>
          </cell>
          <cell r="I38" t="str">
            <v>Travel, accommodation and subsistence</v>
          </cell>
        </row>
        <row r="39">
          <cell r="H39">
            <v>146.30000000000001</v>
          </cell>
          <cell r="I39" t="str">
            <v>Travel, accommodation and subsistence</v>
          </cell>
        </row>
        <row r="40">
          <cell r="H40">
            <v>366.3</v>
          </cell>
          <cell r="I40" t="str">
            <v>Travel, accommodation and subsistence</v>
          </cell>
        </row>
        <row r="41">
          <cell r="H41">
            <v>5.5</v>
          </cell>
          <cell r="I41" t="str">
            <v>Travel, accommodation and subsistence</v>
          </cell>
        </row>
        <row r="42">
          <cell r="H42">
            <v>11.63</v>
          </cell>
          <cell r="I42" t="str">
            <v>Travel, accommodation and subsistence</v>
          </cell>
        </row>
        <row r="43">
          <cell r="H43">
            <v>1.02</v>
          </cell>
          <cell r="I43" t="str">
            <v>Travel, accommodation and subsistence</v>
          </cell>
        </row>
        <row r="44">
          <cell r="H44">
            <v>10.24</v>
          </cell>
          <cell r="I44" t="str">
            <v>Travel, accommodation and subsistence</v>
          </cell>
        </row>
        <row r="45">
          <cell r="H45">
            <v>5.58</v>
          </cell>
          <cell r="I45" t="str">
            <v>Travel, accommodation and subsistence</v>
          </cell>
        </row>
        <row r="46">
          <cell r="H46">
            <v>12.75</v>
          </cell>
          <cell r="I46" t="str">
            <v>Travel, accommodation and subsistence</v>
          </cell>
        </row>
        <row r="47">
          <cell r="F47">
            <v>2641.92</v>
          </cell>
          <cell r="G47">
            <v>73.16</v>
          </cell>
        </row>
      </sheetData>
      <sheetData sheetId="29">
        <row r="7">
          <cell r="H7">
            <v>5.05</v>
          </cell>
          <cell r="I7" t="str">
            <v>Travel, accommodation and subsistence</v>
          </cell>
        </row>
        <row r="8">
          <cell r="H8">
            <v>11.56</v>
          </cell>
          <cell r="I8" t="str">
            <v>Travel, accommodation and subsistence</v>
          </cell>
        </row>
        <row r="9">
          <cell r="H9">
            <v>1.02</v>
          </cell>
          <cell r="I9" t="str">
            <v>Travel, accommodation and subsistence</v>
          </cell>
        </row>
        <row r="10">
          <cell r="H10">
            <v>3.47</v>
          </cell>
          <cell r="I10" t="str">
            <v>Travel, accommodation and subsistence</v>
          </cell>
        </row>
        <row r="11">
          <cell r="H11">
            <v>5.57</v>
          </cell>
          <cell r="I11" t="str">
            <v>Travel, accommodation and subsistence</v>
          </cell>
        </row>
        <row r="12">
          <cell r="H12">
            <v>1.02</v>
          </cell>
          <cell r="I12" t="str">
            <v>Travel, accommodation and subsistence</v>
          </cell>
        </row>
        <row r="13">
          <cell r="H13">
            <v>1.02</v>
          </cell>
          <cell r="I13" t="str">
            <v>Travel, accommodation and subsistence</v>
          </cell>
        </row>
        <row r="14">
          <cell r="H14">
            <v>2.2200000000000002</v>
          </cell>
          <cell r="I14" t="str">
            <v>Travel, accommodation and subsistence</v>
          </cell>
        </row>
        <row r="15">
          <cell r="H15">
            <v>2.77</v>
          </cell>
          <cell r="I15" t="str">
            <v>Travel, accommodation and subsistence</v>
          </cell>
        </row>
        <row r="16">
          <cell r="H16">
            <v>1.94</v>
          </cell>
          <cell r="I16" t="str">
            <v>Travel, accommodation and subsistence</v>
          </cell>
        </row>
        <row r="17">
          <cell r="H17">
            <v>1.02</v>
          </cell>
          <cell r="I17" t="str">
            <v>Travel, accommodation and subsistence</v>
          </cell>
        </row>
        <row r="18">
          <cell r="H18">
            <v>1.02</v>
          </cell>
          <cell r="I18" t="str">
            <v>Travel, accommodation and subsistence</v>
          </cell>
        </row>
        <row r="19">
          <cell r="H19">
            <v>6.86</v>
          </cell>
          <cell r="I19" t="str">
            <v>Travel, accommodation and subsistence</v>
          </cell>
        </row>
        <row r="20">
          <cell r="H20">
            <v>4.04</v>
          </cell>
          <cell r="I20" t="str">
            <v>Travel, accommodation and subsistence</v>
          </cell>
        </row>
        <row r="21">
          <cell r="H21">
            <v>1.02</v>
          </cell>
          <cell r="I21" t="str">
            <v>Travel, accommodation and subsistence</v>
          </cell>
        </row>
        <row r="22">
          <cell r="H22">
            <v>1.02</v>
          </cell>
          <cell r="I22" t="str">
            <v>Travel, accommodation and subsistence</v>
          </cell>
        </row>
        <row r="23">
          <cell r="H23">
            <v>3.14</v>
          </cell>
          <cell r="I23" t="str">
            <v>Travel, accommodation and subsistence</v>
          </cell>
        </row>
        <row r="24">
          <cell r="H24">
            <v>2.2200000000000002</v>
          </cell>
          <cell r="I24" t="str">
            <v>Travel, accommodation and subsistence</v>
          </cell>
        </row>
        <row r="25">
          <cell r="H25">
            <v>2.08</v>
          </cell>
          <cell r="I25" t="str">
            <v>Travel, accommodation and subsistence</v>
          </cell>
        </row>
        <row r="26">
          <cell r="H26">
            <v>183.05</v>
          </cell>
          <cell r="I26" t="str">
            <v>Travel, accommodation and subsistence</v>
          </cell>
        </row>
        <row r="27">
          <cell r="H27">
            <v>1.02</v>
          </cell>
          <cell r="I27" t="str">
            <v>Travel, accommodation and subsistence</v>
          </cell>
        </row>
        <row r="28">
          <cell r="H28">
            <v>1.02</v>
          </cell>
          <cell r="I28" t="str">
            <v>Travel, accommodation and subsistence</v>
          </cell>
        </row>
        <row r="29">
          <cell r="H29">
            <v>2.13</v>
          </cell>
          <cell r="I29" t="str">
            <v>Travel, accommodation and subsistence</v>
          </cell>
        </row>
        <row r="30">
          <cell r="H30">
            <v>3.47</v>
          </cell>
          <cell r="I30" t="str">
            <v>Travel, accommodation and subsistence</v>
          </cell>
        </row>
        <row r="31">
          <cell r="H31">
            <v>72.34</v>
          </cell>
          <cell r="I31" t="str">
            <v>Travel, accommodation and subsistence</v>
          </cell>
        </row>
        <row r="32">
          <cell r="H32">
            <v>52.8</v>
          </cell>
          <cell r="I32" t="str">
            <v>Motor Travel</v>
          </cell>
        </row>
        <row r="33">
          <cell r="H33">
            <v>122.2</v>
          </cell>
          <cell r="I33" t="str">
            <v>Travel, accommodation and subsistence</v>
          </cell>
        </row>
        <row r="34">
          <cell r="H34">
            <v>102.2</v>
          </cell>
          <cell r="I34" t="str">
            <v>Travel, accommodation and subsistence</v>
          </cell>
        </row>
        <row r="35">
          <cell r="H35">
            <v>2.52</v>
          </cell>
          <cell r="I35" t="str">
            <v>Printing, postage and stationery</v>
          </cell>
        </row>
        <row r="36">
          <cell r="H36">
            <v>5.05</v>
          </cell>
          <cell r="I36" t="str">
            <v>Travel, accommodation and subsistence</v>
          </cell>
        </row>
        <row r="37">
          <cell r="H37">
            <v>11.52</v>
          </cell>
          <cell r="I37" t="str">
            <v>Travel, accommodation and subsistence</v>
          </cell>
        </row>
        <row r="38">
          <cell r="H38">
            <v>1.01</v>
          </cell>
          <cell r="I38" t="str">
            <v>Travel, accommodation and subsistence</v>
          </cell>
        </row>
        <row r="39">
          <cell r="H39">
            <v>1.01</v>
          </cell>
          <cell r="I39" t="str">
            <v>Travel, accommodation and subsistence</v>
          </cell>
        </row>
        <row r="40">
          <cell r="H40">
            <v>1.01</v>
          </cell>
          <cell r="I40" t="str">
            <v>Travel, accommodation and subsistence</v>
          </cell>
        </row>
        <row r="41">
          <cell r="H41">
            <v>3.13</v>
          </cell>
          <cell r="I41" t="str">
            <v>Travel, accommodation and subsistence</v>
          </cell>
        </row>
        <row r="42">
          <cell r="H42">
            <v>4.6100000000000003</v>
          </cell>
          <cell r="I42" t="str">
            <v>Travel, accommodation and subsistence</v>
          </cell>
        </row>
        <row r="43">
          <cell r="H43">
            <v>1.01</v>
          </cell>
          <cell r="I43" t="str">
            <v>Travel, accommodation and subsistence</v>
          </cell>
        </row>
        <row r="44">
          <cell r="H44">
            <v>1.01</v>
          </cell>
          <cell r="I44" t="str">
            <v>Travel, accommodation and subsistence</v>
          </cell>
        </row>
        <row r="45">
          <cell r="H45">
            <v>5.76</v>
          </cell>
          <cell r="I45" t="str">
            <v>Travel, accommodation and subsistence</v>
          </cell>
        </row>
        <row r="46">
          <cell r="H46">
            <v>3.46</v>
          </cell>
          <cell r="I46" t="str">
            <v>Travel, accommodation and subsistence</v>
          </cell>
        </row>
        <row r="47">
          <cell r="F47">
            <v>652.49</v>
          </cell>
          <cell r="G47">
            <v>13.1</v>
          </cell>
        </row>
      </sheetData>
      <sheetData sheetId="30">
        <row r="7">
          <cell r="H7">
            <v>11.21</v>
          </cell>
          <cell r="I7" t="str">
            <v>Travel, accommodation and subsistence</v>
          </cell>
        </row>
        <row r="8">
          <cell r="H8">
            <v>0.99</v>
          </cell>
          <cell r="I8" t="str">
            <v>Travel, accommodation and subsistence</v>
          </cell>
        </row>
        <row r="9">
          <cell r="H9">
            <v>5.65</v>
          </cell>
          <cell r="I9" t="str">
            <v>Travel, accommodation and subsistence</v>
          </cell>
        </row>
        <row r="10">
          <cell r="H10">
            <v>3.86</v>
          </cell>
          <cell r="I10" t="str">
            <v>Travel, accommodation and subsistence</v>
          </cell>
        </row>
        <row r="11">
          <cell r="H11">
            <v>0.99</v>
          </cell>
          <cell r="I11" t="str">
            <v>Travel, accommodation and subsistence</v>
          </cell>
        </row>
        <row r="12">
          <cell r="H12">
            <v>0.99</v>
          </cell>
          <cell r="I12" t="str">
            <v>Travel, accommodation and subsistence</v>
          </cell>
        </row>
        <row r="13">
          <cell r="H13">
            <v>1.52</v>
          </cell>
          <cell r="I13" t="str">
            <v>Travel, accommodation and subsistence</v>
          </cell>
        </row>
        <row r="14">
          <cell r="H14">
            <v>3.52</v>
          </cell>
          <cell r="I14" t="str">
            <v>Travel, accommodation and subsistence</v>
          </cell>
        </row>
        <row r="15">
          <cell r="H15">
            <v>0.99</v>
          </cell>
          <cell r="I15" t="str">
            <v>Travel, accommodation and subsistence</v>
          </cell>
        </row>
        <row r="16">
          <cell r="H16">
            <v>0.99</v>
          </cell>
          <cell r="I16" t="str">
            <v>Travel, accommodation and subsistence</v>
          </cell>
        </row>
        <row r="17">
          <cell r="H17">
            <v>2.69</v>
          </cell>
          <cell r="I17" t="str">
            <v>Travel, accommodation and subsistence</v>
          </cell>
        </row>
        <row r="18">
          <cell r="H18">
            <v>3.56</v>
          </cell>
          <cell r="I18" t="str">
            <v>Travel, accommodation and subsistence</v>
          </cell>
        </row>
        <row r="19">
          <cell r="H19">
            <v>0.99</v>
          </cell>
          <cell r="I19" t="str">
            <v>Travel, accommodation and subsistence</v>
          </cell>
        </row>
        <row r="20">
          <cell r="H20">
            <v>5.74</v>
          </cell>
          <cell r="I20" t="str">
            <v>Travel, accommodation and subsistence</v>
          </cell>
        </row>
        <row r="21">
          <cell r="H21">
            <v>14.34</v>
          </cell>
          <cell r="I21" t="str">
            <v>Travel, accommodation and subsistence</v>
          </cell>
        </row>
        <row r="22">
          <cell r="H22">
            <v>177.5</v>
          </cell>
          <cell r="I22" t="str">
            <v>Travel, accommodation and subsistence</v>
          </cell>
        </row>
        <row r="23">
          <cell r="H23">
            <v>0.99</v>
          </cell>
          <cell r="I23" t="str">
            <v>Travel, accommodation and subsistence</v>
          </cell>
        </row>
        <row r="24">
          <cell r="H24">
            <v>0.99</v>
          </cell>
          <cell r="I24" t="str">
            <v>Travel, accommodation and subsistence</v>
          </cell>
        </row>
        <row r="25">
          <cell r="H25">
            <v>4.4400000000000004</v>
          </cell>
          <cell r="I25" t="str">
            <v>Travel, accommodation and subsistence</v>
          </cell>
        </row>
        <row r="26">
          <cell r="H26">
            <v>2.42</v>
          </cell>
          <cell r="I26" t="str">
            <v>Travel, accommodation and subsistence</v>
          </cell>
        </row>
        <row r="27">
          <cell r="H27">
            <v>3.36</v>
          </cell>
          <cell r="I27" t="str">
            <v>Travel, accommodation and subsistence</v>
          </cell>
        </row>
        <row r="28">
          <cell r="H28">
            <v>72.34</v>
          </cell>
          <cell r="I28" t="str">
            <v>Travel, accommodation and subsistence</v>
          </cell>
        </row>
        <row r="29">
          <cell r="H29">
            <v>52.8</v>
          </cell>
          <cell r="I29" t="str">
            <v>Travel, accommodation and subsistence</v>
          </cell>
        </row>
        <row r="30">
          <cell r="H30">
            <v>11.22</v>
          </cell>
          <cell r="I30" t="str">
            <v>Travel, accommodation and subsistence</v>
          </cell>
        </row>
        <row r="31">
          <cell r="H31">
            <v>0.99</v>
          </cell>
          <cell r="I31" t="str">
            <v>Travel, accommodation and subsistence</v>
          </cell>
        </row>
        <row r="32">
          <cell r="H32">
            <v>0.99</v>
          </cell>
          <cell r="I32" t="str">
            <v>Travel, accommodation and subsistence</v>
          </cell>
        </row>
        <row r="33">
          <cell r="H33">
            <v>0.99</v>
          </cell>
          <cell r="I33" t="str">
            <v>Travel, accommodation and subsistence</v>
          </cell>
        </row>
        <row r="34">
          <cell r="H34">
            <v>2.15</v>
          </cell>
          <cell r="I34" t="str">
            <v>Travel, accommodation and subsistence</v>
          </cell>
        </row>
        <row r="35">
          <cell r="H35">
            <v>2.2400000000000002</v>
          </cell>
          <cell r="I35" t="str">
            <v>Travel, accommodation and subsistence</v>
          </cell>
        </row>
        <row r="36">
          <cell r="H36">
            <v>4.4000000000000004</v>
          </cell>
          <cell r="I36" t="str">
            <v>Travel, accommodation and subsistence</v>
          </cell>
        </row>
        <row r="37">
          <cell r="H37">
            <v>0.99</v>
          </cell>
          <cell r="I37" t="str">
            <v>Travel, accommodation and subsistence</v>
          </cell>
        </row>
        <row r="38">
          <cell r="H38">
            <v>0.99</v>
          </cell>
          <cell r="I38" t="str">
            <v>Travel, accommodation and subsistence</v>
          </cell>
        </row>
        <row r="39">
          <cell r="H39">
            <v>3.77</v>
          </cell>
          <cell r="I39" t="str">
            <v>Travel, accommodation and subsistence</v>
          </cell>
        </row>
        <row r="40">
          <cell r="H40">
            <v>3.05</v>
          </cell>
          <cell r="I40" t="str">
            <v>Travel, accommodation and subsistence</v>
          </cell>
        </row>
        <row r="41">
          <cell r="H41">
            <v>3.93</v>
          </cell>
          <cell r="I41" t="str">
            <v>Travel, accommodation and subsistence</v>
          </cell>
        </row>
        <row r="42">
          <cell r="H42">
            <v>0.99</v>
          </cell>
          <cell r="I42" t="str">
            <v>Travel, accommodation and subsistence</v>
          </cell>
        </row>
        <row r="43">
          <cell r="H43">
            <v>0.99</v>
          </cell>
          <cell r="I43" t="str">
            <v>Travel, accommodation and subsistence</v>
          </cell>
        </row>
        <row r="44">
          <cell r="H44">
            <v>2.06</v>
          </cell>
          <cell r="I44" t="str">
            <v>Travel, accommodation and subsistence</v>
          </cell>
        </row>
        <row r="45">
          <cell r="H45">
            <v>2.63</v>
          </cell>
          <cell r="I45" t="str">
            <v>Travel, accommodation and subsistence</v>
          </cell>
        </row>
        <row r="46">
          <cell r="H46">
            <v>3.37</v>
          </cell>
          <cell r="I46" t="str">
            <v>Travel, accommodation and subsistence</v>
          </cell>
        </row>
        <row r="47">
          <cell r="F47">
            <v>431.28000000000009</v>
          </cell>
          <cell r="G47">
            <v>12.66</v>
          </cell>
        </row>
      </sheetData>
      <sheetData sheetId="31">
        <row r="7">
          <cell r="H7">
            <v>7.8199999999999994</v>
          </cell>
          <cell r="I7" t="str">
            <v>Printing, postage and stationery</v>
          </cell>
        </row>
        <row r="8">
          <cell r="H8">
            <v>6.43</v>
          </cell>
          <cell r="I8" t="str">
            <v>Printing, postage and stationery</v>
          </cell>
        </row>
        <row r="9">
          <cell r="H9">
            <v>5.05</v>
          </cell>
          <cell r="I9" t="str">
            <v>Travel, accommodation and subsistence</v>
          </cell>
        </row>
        <row r="10">
          <cell r="H10">
            <v>11.24</v>
          </cell>
          <cell r="I10" t="str">
            <v>Travel, accommodation and subsistence</v>
          </cell>
        </row>
        <row r="11">
          <cell r="H11">
            <v>0.99</v>
          </cell>
          <cell r="I11" t="str">
            <v>Travel, accommodation and subsistence</v>
          </cell>
        </row>
        <row r="12">
          <cell r="H12">
            <v>5.87</v>
          </cell>
          <cell r="I12" t="str">
            <v>Travel, accommodation and subsistence</v>
          </cell>
        </row>
        <row r="13">
          <cell r="H13">
            <v>4.45</v>
          </cell>
          <cell r="I13" t="str">
            <v>Travel, accommodation and subsistence</v>
          </cell>
        </row>
        <row r="14">
          <cell r="H14">
            <v>0.99</v>
          </cell>
          <cell r="I14" t="str">
            <v>Travel, accommodation and subsistence</v>
          </cell>
        </row>
        <row r="15">
          <cell r="H15">
            <v>0.99</v>
          </cell>
          <cell r="I15" t="str">
            <v>Travel, accommodation and subsistence</v>
          </cell>
        </row>
        <row r="16">
          <cell r="H16">
            <v>2.88</v>
          </cell>
          <cell r="I16" t="str">
            <v>Travel, accommodation and subsistence</v>
          </cell>
        </row>
        <row r="17">
          <cell r="H17">
            <v>2.4500000000000002</v>
          </cell>
          <cell r="I17" t="str">
            <v>Travel, accommodation and subsistence</v>
          </cell>
        </row>
        <row r="18">
          <cell r="H18">
            <v>0.99</v>
          </cell>
          <cell r="I18" t="str">
            <v>Travel, accommodation and subsistence</v>
          </cell>
        </row>
        <row r="19">
          <cell r="H19">
            <v>0.99</v>
          </cell>
          <cell r="I19" t="str">
            <v>Travel, accommodation and subsistence</v>
          </cell>
        </row>
        <row r="20">
          <cell r="H20">
            <v>2.16</v>
          </cell>
          <cell r="I20" t="str">
            <v>Travel, accommodation and subsistence</v>
          </cell>
        </row>
        <row r="21">
          <cell r="H21">
            <v>2.83</v>
          </cell>
          <cell r="I21" t="str">
            <v>Travel, accommodation and subsistence</v>
          </cell>
        </row>
        <row r="22">
          <cell r="H22">
            <v>3.55</v>
          </cell>
          <cell r="I22" t="str">
            <v>Travel, accommodation and subsistence</v>
          </cell>
        </row>
        <row r="23">
          <cell r="H23">
            <v>133.54</v>
          </cell>
          <cell r="I23" t="str">
            <v>Travel, accommodation and subsistence</v>
          </cell>
        </row>
        <row r="24">
          <cell r="H24">
            <v>0.99</v>
          </cell>
          <cell r="I24" t="str">
            <v>Travel, accommodation and subsistence</v>
          </cell>
        </row>
        <row r="25">
          <cell r="H25">
            <v>0.99</v>
          </cell>
          <cell r="I25" t="str">
            <v>Travel, accommodation and subsistence</v>
          </cell>
        </row>
        <row r="26">
          <cell r="H26">
            <v>1.93</v>
          </cell>
          <cell r="I26" t="str">
            <v>Travel, accommodation and subsistence</v>
          </cell>
        </row>
        <row r="27">
          <cell r="H27">
            <v>3.37</v>
          </cell>
          <cell r="I27" t="str">
            <v>Travel, accommodation and subsistence</v>
          </cell>
        </row>
        <row r="28">
          <cell r="H28">
            <v>57.87</v>
          </cell>
          <cell r="I28" t="str">
            <v>Travel, accommodation and subsistence</v>
          </cell>
        </row>
        <row r="29">
          <cell r="H29">
            <v>53.6</v>
          </cell>
          <cell r="I29" t="str">
            <v>Motor Travel</v>
          </cell>
        </row>
        <row r="30">
          <cell r="H30">
            <v>1350.9399999999998</v>
          </cell>
          <cell r="I30" t="str">
            <v>Accountancy fees</v>
          </cell>
        </row>
        <row r="31">
          <cell r="H31">
            <v>411.25</v>
          </cell>
          <cell r="I31" t="str">
            <v>Sundry expenses</v>
          </cell>
        </row>
        <row r="32">
          <cell r="H32">
            <v>5.05</v>
          </cell>
          <cell r="I32" t="str">
            <v>Travel, accommodation and subsistence</v>
          </cell>
        </row>
        <row r="33">
          <cell r="H33">
            <v>11.39</v>
          </cell>
          <cell r="I33" t="str">
            <v>Travel, accommodation and subsistence</v>
          </cell>
        </row>
        <row r="34">
          <cell r="H34">
            <v>1</v>
          </cell>
          <cell r="I34" t="str">
            <v>Travel, accommodation and subsistence</v>
          </cell>
        </row>
        <row r="35">
          <cell r="H35">
            <v>4.53</v>
          </cell>
          <cell r="I35" t="str">
            <v>Travel, accommodation and subsistence</v>
          </cell>
        </row>
        <row r="36">
          <cell r="H36">
            <v>1</v>
          </cell>
          <cell r="I36" t="str">
            <v>Travel, accommodation and subsistence</v>
          </cell>
        </row>
        <row r="37">
          <cell r="H37">
            <v>2.1</v>
          </cell>
          <cell r="I37" t="str">
            <v>Travel, accommodation and subsistence</v>
          </cell>
        </row>
        <row r="38">
          <cell r="H38">
            <v>14.57</v>
          </cell>
          <cell r="I38" t="str">
            <v>Travel, accommodation and subsistence</v>
          </cell>
        </row>
        <row r="39">
          <cell r="H39">
            <v>1</v>
          </cell>
          <cell r="I39" t="str">
            <v>Travel, accommodation and subsistence</v>
          </cell>
        </row>
        <row r="40">
          <cell r="H40">
            <v>1</v>
          </cell>
          <cell r="I40" t="str">
            <v>Travel, accommodation and subsistence</v>
          </cell>
        </row>
        <row r="41">
          <cell r="H41">
            <v>6.31</v>
          </cell>
          <cell r="I41" t="str">
            <v>Travel, accommodation and subsistence</v>
          </cell>
        </row>
        <row r="42">
          <cell r="H42">
            <v>6.65</v>
          </cell>
          <cell r="I42" t="str">
            <v>Travel, accommodation and subsistence</v>
          </cell>
        </row>
        <row r="43">
          <cell r="H43">
            <v>1</v>
          </cell>
          <cell r="I43" t="str">
            <v>Travel, accommodation and subsistence</v>
          </cell>
        </row>
        <row r="44">
          <cell r="H44">
            <v>1</v>
          </cell>
          <cell r="I44" t="str">
            <v>Travel, accommodation and subsistence</v>
          </cell>
        </row>
        <row r="45">
          <cell r="H45">
            <v>5.01</v>
          </cell>
          <cell r="I45" t="str">
            <v>Travel, accommodation and subsistence</v>
          </cell>
        </row>
        <row r="46">
          <cell r="H46">
            <v>1.23</v>
          </cell>
          <cell r="I46" t="str">
            <v>Travel, accommodation and subsistence</v>
          </cell>
        </row>
        <row r="47">
          <cell r="F47">
            <v>2384.9100000000003</v>
          </cell>
          <cell r="G47">
            <v>247.91</v>
          </cell>
        </row>
      </sheetData>
      <sheetData sheetId="32">
        <row r="7">
          <cell r="H7">
            <v>8.5</v>
          </cell>
          <cell r="I7" t="str">
            <v>Telephone &amp; Internet</v>
          </cell>
        </row>
        <row r="8">
          <cell r="H8">
            <v>47.66</v>
          </cell>
          <cell r="I8" t="str">
            <v>Printing, postage and stationery</v>
          </cell>
        </row>
        <row r="9">
          <cell r="H9">
            <v>21.6</v>
          </cell>
          <cell r="I9" t="str">
            <v>Motor Travel</v>
          </cell>
        </row>
        <row r="10">
          <cell r="H10">
            <v>19.57</v>
          </cell>
          <cell r="I10" t="str">
            <v>Sundry expenses</v>
          </cell>
        </row>
        <row r="11">
          <cell r="H11">
            <v>346.4</v>
          </cell>
          <cell r="I11" t="str">
            <v>Travel, accommodation and subsistence</v>
          </cell>
        </row>
        <row r="12">
          <cell r="H12">
            <v>8.3000000000000007</v>
          </cell>
          <cell r="I12" t="str">
            <v>Telephone &amp; Internet</v>
          </cell>
        </row>
        <row r="13">
          <cell r="H13">
            <v>22</v>
          </cell>
          <cell r="I13" t="str">
            <v>Motor Travel</v>
          </cell>
        </row>
        <row r="14">
          <cell r="H14">
            <v>21.6</v>
          </cell>
          <cell r="I14" t="str">
            <v>Motor Travel</v>
          </cell>
        </row>
        <row r="15">
          <cell r="H15">
            <v>22.8</v>
          </cell>
          <cell r="I15" t="str">
            <v>Motor Travel</v>
          </cell>
        </row>
        <row r="16">
          <cell r="H16">
            <v>22</v>
          </cell>
          <cell r="I16" t="str">
            <v>Motor Travel</v>
          </cell>
        </row>
        <row r="17">
          <cell r="H17">
            <v>76.5</v>
          </cell>
          <cell r="I17" t="str">
            <v>Entertaining</v>
          </cell>
        </row>
        <row r="18">
          <cell r="H18">
            <v>35.200000000000003</v>
          </cell>
          <cell r="I18" t="str">
            <v>Travel, accommodation and subsistence</v>
          </cell>
        </row>
        <row r="19">
          <cell r="H19">
            <v>285.31</v>
          </cell>
          <cell r="I19" t="str">
            <v>Travel, accommodation and subsistence</v>
          </cell>
        </row>
        <row r="20">
          <cell r="H20">
            <v>10.88</v>
          </cell>
          <cell r="I20" t="str">
            <v>Travel, accommodation and subsistence</v>
          </cell>
        </row>
        <row r="21">
          <cell r="H21">
            <v>57.87</v>
          </cell>
          <cell r="I21" t="str">
            <v>Travel, accommodation and subsistence</v>
          </cell>
        </row>
        <row r="22">
          <cell r="H22">
            <v>52.4</v>
          </cell>
          <cell r="I22" t="str">
            <v>Travel, accommodation and subsistence</v>
          </cell>
        </row>
        <row r="23">
          <cell r="H23">
            <v>18.48</v>
          </cell>
          <cell r="I23" t="str">
            <v>Telephone &amp; Internet</v>
          </cell>
        </row>
        <row r="24">
          <cell r="H24">
            <v>136.32</v>
          </cell>
          <cell r="I24" t="str">
            <v>Telephone &amp; Internet</v>
          </cell>
        </row>
        <row r="25">
          <cell r="H25">
            <v>0</v>
          </cell>
          <cell r="I25" t="str">
            <v>Travel, accommodation and subsistence</v>
          </cell>
        </row>
        <row r="26">
          <cell r="H26">
            <v>0</v>
          </cell>
          <cell r="I26" t="str">
            <v>Travel, accommodation and subsistence</v>
          </cell>
        </row>
        <row r="27">
          <cell r="H27">
            <v>0</v>
          </cell>
          <cell r="I27" t="str">
            <v>Travel, accommodation and subsistence</v>
          </cell>
        </row>
        <row r="28">
          <cell r="H28">
            <v>0</v>
          </cell>
          <cell r="I28" t="str">
            <v>Motor Travel</v>
          </cell>
        </row>
        <row r="29">
          <cell r="H29">
            <v>0</v>
          </cell>
          <cell r="I29" t="str">
            <v>Telephone &amp; Internet</v>
          </cell>
        </row>
        <row r="30">
          <cell r="H30">
            <v>0</v>
          </cell>
          <cell r="I30" t="str">
            <v>Motor Travel</v>
          </cell>
        </row>
        <row r="31">
          <cell r="H31">
            <v>0</v>
          </cell>
          <cell r="I31" t="str">
            <v>Motor Travel</v>
          </cell>
        </row>
        <row r="32">
          <cell r="H32">
            <v>0</v>
          </cell>
          <cell r="I32" t="str">
            <v>Travel, accommodation and subsistence</v>
          </cell>
        </row>
        <row r="33">
          <cell r="H33">
            <v>0</v>
          </cell>
          <cell r="I33" t="str">
            <v>Travel, accommodation and subsistence</v>
          </cell>
        </row>
        <row r="34">
          <cell r="H34">
            <v>0</v>
          </cell>
          <cell r="I34" t="str">
            <v>Travel, accommodation and subsistence</v>
          </cell>
        </row>
        <row r="35">
          <cell r="H35">
            <v>0</v>
          </cell>
          <cell r="I35" t="str">
            <v>Travel, accommodation and subsistence</v>
          </cell>
        </row>
        <row r="36">
          <cell r="H36">
            <v>0</v>
          </cell>
          <cell r="I36" t="str">
            <v>Travel, accommodation and subsistence</v>
          </cell>
        </row>
        <row r="37">
          <cell r="H37">
            <v>0</v>
          </cell>
          <cell r="I37" t="str">
            <v>Travel, accommodation and subsistence</v>
          </cell>
        </row>
        <row r="38">
          <cell r="H38">
            <v>0</v>
          </cell>
          <cell r="I38" t="str">
            <v>Travel, accommodation and subsistence</v>
          </cell>
        </row>
        <row r="39">
          <cell r="H39">
            <v>0</v>
          </cell>
          <cell r="I39" t="str">
            <v>Travel, accommodation and subsistence</v>
          </cell>
        </row>
        <row r="40">
          <cell r="H40">
            <v>0</v>
          </cell>
          <cell r="I40" t="str">
            <v>Travel, accommodation and subsistence</v>
          </cell>
        </row>
        <row r="41">
          <cell r="H41">
            <v>0</v>
          </cell>
          <cell r="I41" t="str">
            <v>Travel, accommodation and subsistence</v>
          </cell>
        </row>
        <row r="42">
          <cell r="H42">
            <v>0</v>
          </cell>
          <cell r="I42" t="str">
            <v>Motor Travel</v>
          </cell>
        </row>
        <row r="43">
          <cell r="H43">
            <v>0</v>
          </cell>
          <cell r="I43" t="str">
            <v>Travel, accommodation and subsistence</v>
          </cell>
        </row>
        <row r="44">
          <cell r="H44">
            <v>0</v>
          </cell>
          <cell r="I44" t="str">
            <v>Motor Travel</v>
          </cell>
        </row>
        <row r="45">
          <cell r="H45">
            <v>0</v>
          </cell>
          <cell r="I45" t="str">
            <v>Travel, accommodation and subsistence</v>
          </cell>
        </row>
        <row r="46">
          <cell r="H46">
            <v>0</v>
          </cell>
          <cell r="I46" t="str">
            <v>Travel, accommodation and subsistence</v>
          </cell>
        </row>
        <row r="47">
          <cell r="F47">
            <v>1241.4600000000003</v>
          </cell>
          <cell r="G47">
            <v>28.07</v>
          </cell>
        </row>
      </sheetData>
      <sheetData sheetId="33">
        <row r="7">
          <cell r="H7">
            <v>21.6</v>
          </cell>
          <cell r="I7" t="str">
            <v>Motor Travel</v>
          </cell>
        </row>
        <row r="8">
          <cell r="H8">
            <v>21.6</v>
          </cell>
          <cell r="I8" t="str">
            <v>Motor Travel</v>
          </cell>
        </row>
        <row r="9">
          <cell r="H9">
            <v>186.4</v>
          </cell>
          <cell r="I9" t="str">
            <v>Travel, accommodation and subsistence</v>
          </cell>
        </row>
        <row r="10">
          <cell r="H10">
            <v>21.6</v>
          </cell>
          <cell r="I10" t="str">
            <v>Motor Travel</v>
          </cell>
        </row>
        <row r="11">
          <cell r="H11">
            <v>22</v>
          </cell>
          <cell r="I11" t="str">
            <v>Motor Travel</v>
          </cell>
        </row>
        <row r="12">
          <cell r="H12">
            <v>38.89</v>
          </cell>
          <cell r="I12" t="str">
            <v>Travel, accommodation and subsistence</v>
          </cell>
        </row>
        <row r="13">
          <cell r="H13">
            <v>13.58</v>
          </cell>
          <cell r="I13" t="str">
            <v>Entertaining</v>
          </cell>
        </row>
        <row r="14">
          <cell r="H14">
            <v>31.82</v>
          </cell>
          <cell r="I14" t="str">
            <v>Travel, accommodation and subsistence</v>
          </cell>
        </row>
        <row r="15">
          <cell r="H15">
            <v>407.29</v>
          </cell>
          <cell r="I15" t="str">
            <v>Travel, accommodation and subsistence</v>
          </cell>
        </row>
        <row r="16">
          <cell r="H16">
            <v>20.51</v>
          </cell>
          <cell r="I16" t="str">
            <v>Travel, accommodation and subsistence</v>
          </cell>
        </row>
        <row r="17">
          <cell r="H17">
            <v>31.82</v>
          </cell>
          <cell r="I17" t="str">
            <v>Travel, accommodation and subsistence</v>
          </cell>
        </row>
        <row r="18">
          <cell r="H18">
            <v>21.21</v>
          </cell>
          <cell r="I18" t="str">
            <v>Travel, accommodation and subsistence</v>
          </cell>
        </row>
        <row r="19">
          <cell r="H19">
            <v>12.02</v>
          </cell>
          <cell r="I19" t="str">
            <v>Travel, accommodation and subsistence</v>
          </cell>
        </row>
        <row r="20">
          <cell r="H20">
            <v>74.25</v>
          </cell>
          <cell r="I20" t="str">
            <v>Travel, accommodation and subsistence</v>
          </cell>
        </row>
        <row r="21">
          <cell r="H21">
            <v>12.52</v>
          </cell>
          <cell r="I21" t="str">
            <v>Entertaining</v>
          </cell>
        </row>
        <row r="22">
          <cell r="H22">
            <v>531.03</v>
          </cell>
          <cell r="I22" t="str">
            <v>Travel, accommodation and subsistence</v>
          </cell>
        </row>
        <row r="23">
          <cell r="H23">
            <v>21.21</v>
          </cell>
          <cell r="I23" t="str">
            <v>Travel, accommodation and subsistence</v>
          </cell>
        </row>
        <row r="24">
          <cell r="H24">
            <v>8.5</v>
          </cell>
          <cell r="I24" t="str">
            <v>Telephone &amp; Internet</v>
          </cell>
        </row>
        <row r="25">
          <cell r="H25">
            <v>9.8699999999999992</v>
          </cell>
          <cell r="I25" t="str">
            <v>Telephone &amp; Internet</v>
          </cell>
        </row>
        <row r="26">
          <cell r="H26">
            <v>54.830000000000005</v>
          </cell>
          <cell r="I26" t="str">
            <v>Telephone &amp; Internet</v>
          </cell>
        </row>
        <row r="27">
          <cell r="H27">
            <v>67.34</v>
          </cell>
          <cell r="I27" t="str">
            <v>Travel, accommodation and subsistence</v>
          </cell>
        </row>
        <row r="28">
          <cell r="H28">
            <v>15.2</v>
          </cell>
          <cell r="I28" t="str">
            <v>Motor Travel</v>
          </cell>
        </row>
        <row r="29">
          <cell r="H29">
            <v>52.74</v>
          </cell>
          <cell r="I29" t="str">
            <v>Travel, accommodation and subsistence</v>
          </cell>
        </row>
        <row r="30">
          <cell r="H30">
            <v>0</v>
          </cell>
          <cell r="I30" t="str">
            <v>Travel, accommodation and subsistence</v>
          </cell>
        </row>
        <row r="31">
          <cell r="H31">
            <v>0</v>
          </cell>
          <cell r="I31" t="str">
            <v>Telephone &amp; Internet</v>
          </cell>
        </row>
        <row r="32">
          <cell r="H32">
            <v>0</v>
          </cell>
          <cell r="I32" t="str">
            <v>Telephone &amp; Internet</v>
          </cell>
        </row>
        <row r="33">
          <cell r="H33">
            <v>0</v>
          </cell>
          <cell r="I33" t="str">
            <v>Software &amp; IT Consumables</v>
          </cell>
        </row>
        <row r="34">
          <cell r="H34">
            <v>0</v>
          </cell>
          <cell r="I34" t="str">
            <v>Telephone &amp; Internet</v>
          </cell>
        </row>
        <row r="35">
          <cell r="H35">
            <v>0</v>
          </cell>
          <cell r="I35" t="str">
            <v>Telephone &amp; Internet</v>
          </cell>
        </row>
        <row r="36">
          <cell r="H36">
            <v>0</v>
          </cell>
          <cell r="I36" t="str">
            <v>Telephone &amp; Internet</v>
          </cell>
        </row>
        <row r="37">
          <cell r="H37">
            <v>0</v>
          </cell>
          <cell r="I37" t="str">
            <v>Printing, postage and stationery</v>
          </cell>
        </row>
        <row r="38">
          <cell r="H38">
            <v>0</v>
          </cell>
          <cell r="I38" t="str">
            <v>Travel, accommodation and subsistence</v>
          </cell>
        </row>
        <row r="39">
          <cell r="H39">
            <v>0</v>
          </cell>
          <cell r="I39" t="str">
            <v>Travel, accommodation and subsistence</v>
          </cell>
        </row>
        <row r="40">
          <cell r="H40">
            <v>0</v>
          </cell>
          <cell r="I40" t="str">
            <v>Travel, accommodation and subsistence</v>
          </cell>
        </row>
        <row r="41">
          <cell r="H41">
            <v>0</v>
          </cell>
          <cell r="I41" t="str">
            <v>Travel, accommodation and subsistence</v>
          </cell>
        </row>
        <row r="42">
          <cell r="H42">
            <v>0</v>
          </cell>
          <cell r="I42" t="str">
            <v>Motor Travel</v>
          </cell>
        </row>
        <row r="43">
          <cell r="H43">
            <v>0</v>
          </cell>
          <cell r="I43" t="str">
            <v>Travel, accommodation and subsistence</v>
          </cell>
        </row>
        <row r="44">
          <cell r="H44">
            <v>0</v>
          </cell>
          <cell r="I44" t="str">
            <v>Motor Travel</v>
          </cell>
        </row>
        <row r="45">
          <cell r="H45">
            <v>0</v>
          </cell>
          <cell r="I45" t="str">
            <v>Travel, accommodation and subsistence</v>
          </cell>
        </row>
        <row r="46">
          <cell r="H46">
            <v>0</v>
          </cell>
          <cell r="I46" t="str">
            <v>Travel, accommodation and subsistence</v>
          </cell>
        </row>
        <row r="47">
          <cell r="F47">
            <v>1710.6499999999999</v>
          </cell>
          <cell r="G47">
            <v>12.82</v>
          </cell>
        </row>
      </sheetData>
      <sheetData sheetId="34">
        <row r="7">
          <cell r="H7">
            <v>202.51</v>
          </cell>
          <cell r="I7" t="str">
            <v>Travel, accommodation and subsistence</v>
          </cell>
        </row>
        <row r="8">
          <cell r="H8">
            <v>52.74</v>
          </cell>
          <cell r="I8" t="str">
            <v>Travel, accommodation and subsistence</v>
          </cell>
        </row>
        <row r="9">
          <cell r="H9">
            <v>45.96</v>
          </cell>
          <cell r="I9" t="str">
            <v>Travel, accommodation and subsistence</v>
          </cell>
        </row>
        <row r="10">
          <cell r="H10">
            <v>16</v>
          </cell>
          <cell r="I10" t="str">
            <v>Motor Travel</v>
          </cell>
        </row>
        <row r="11">
          <cell r="H11">
            <v>1235</v>
          </cell>
          <cell r="I11" t="str">
            <v>Travel, accommodation and subsistence</v>
          </cell>
        </row>
        <row r="12">
          <cell r="H12">
            <v>247.36</v>
          </cell>
          <cell r="I12" t="str">
            <v>Travel, accommodation and subsistence</v>
          </cell>
        </row>
        <row r="13">
          <cell r="H13">
            <v>3.95</v>
          </cell>
          <cell r="I13" t="str">
            <v>Travel, accommodation and subsistence</v>
          </cell>
        </row>
        <row r="14">
          <cell r="H14">
            <v>6.4</v>
          </cell>
          <cell r="I14" t="str">
            <v>Travel, accommodation and subsistence</v>
          </cell>
        </row>
        <row r="15">
          <cell r="H15">
            <v>21.96</v>
          </cell>
          <cell r="I15" t="str">
            <v>Entertaining</v>
          </cell>
        </row>
        <row r="16">
          <cell r="H16">
            <v>52</v>
          </cell>
          <cell r="I16" t="str">
            <v>Entertaining</v>
          </cell>
        </row>
        <row r="17">
          <cell r="H17">
            <v>17.34</v>
          </cell>
          <cell r="I17" t="str">
            <v>Travel, accommodation and subsistence</v>
          </cell>
        </row>
        <row r="18">
          <cell r="H18">
            <v>359.29</v>
          </cell>
          <cell r="I18" t="str">
            <v>Travel, accommodation and subsistence</v>
          </cell>
        </row>
        <row r="19">
          <cell r="H19">
            <v>15.2</v>
          </cell>
          <cell r="I19" t="str">
            <v>Motor Travel</v>
          </cell>
        </row>
        <row r="20">
          <cell r="H20">
            <v>52.57</v>
          </cell>
          <cell r="I20" t="str">
            <v>Travel, accommodation and subsistence</v>
          </cell>
        </row>
        <row r="21">
          <cell r="H21">
            <v>11.21</v>
          </cell>
          <cell r="I21" t="str">
            <v>Travel, accommodation and subsistence</v>
          </cell>
        </row>
        <row r="22">
          <cell r="H22">
            <v>167.28</v>
          </cell>
          <cell r="I22" t="str">
            <v>Travel, accommodation and subsistence</v>
          </cell>
        </row>
        <row r="23">
          <cell r="H23">
            <v>8.41</v>
          </cell>
          <cell r="I23" t="str">
            <v>Travel, accommodation and subsistence</v>
          </cell>
        </row>
        <row r="24">
          <cell r="H24">
            <v>8.41</v>
          </cell>
          <cell r="I24" t="str">
            <v>Travel, accommodation and subsistence</v>
          </cell>
        </row>
        <row r="25">
          <cell r="H25">
            <v>438.35</v>
          </cell>
          <cell r="I25" t="str">
            <v>Travel, accommodation and subsistence</v>
          </cell>
        </row>
        <row r="26">
          <cell r="H26">
            <v>52.57</v>
          </cell>
          <cell r="I26" t="str">
            <v>Travel, accommodation and subsistence</v>
          </cell>
        </row>
        <row r="27">
          <cell r="H27">
            <v>76.599999999999994</v>
          </cell>
          <cell r="I27" t="str">
            <v>Travel, accommodation and subsistence</v>
          </cell>
        </row>
        <row r="28">
          <cell r="H28">
            <v>16</v>
          </cell>
          <cell r="I28" t="str">
            <v>Motor Travel</v>
          </cell>
        </row>
        <row r="29">
          <cell r="H29">
            <v>8.5</v>
          </cell>
          <cell r="I29" t="str">
            <v>Telephone &amp; Internet</v>
          </cell>
        </row>
        <row r="30">
          <cell r="H30">
            <v>58.8</v>
          </cell>
          <cell r="I30" t="str">
            <v>Motor Travel</v>
          </cell>
        </row>
        <row r="31">
          <cell r="H31">
            <v>15.2</v>
          </cell>
          <cell r="I31" t="str">
            <v>Motor Travel</v>
          </cell>
        </row>
        <row r="32">
          <cell r="H32">
            <v>52.37</v>
          </cell>
          <cell r="I32" t="str">
            <v>Travel, accommodation and subsistence</v>
          </cell>
        </row>
        <row r="33">
          <cell r="H33">
            <v>12.57</v>
          </cell>
          <cell r="I33" t="str">
            <v>Travel, accommodation and subsistence</v>
          </cell>
        </row>
        <row r="34">
          <cell r="H34">
            <v>13.97</v>
          </cell>
          <cell r="I34" t="str">
            <v>Travel, accommodation and subsistence</v>
          </cell>
        </row>
        <row r="35">
          <cell r="H35">
            <v>3.94</v>
          </cell>
          <cell r="I35" t="str">
            <v>Travel, accommodation and subsistence</v>
          </cell>
        </row>
        <row r="36">
          <cell r="H36">
            <v>12.57</v>
          </cell>
          <cell r="I36" t="str">
            <v>Travel, accommodation and subsistence</v>
          </cell>
        </row>
        <row r="37">
          <cell r="H37">
            <v>3.02</v>
          </cell>
          <cell r="I37" t="str">
            <v>Travel, accommodation and subsistence</v>
          </cell>
        </row>
        <row r="38">
          <cell r="H38">
            <v>5.52</v>
          </cell>
          <cell r="I38" t="str">
            <v>Travel, accommodation and subsistence</v>
          </cell>
        </row>
        <row r="39">
          <cell r="H39">
            <v>402.23</v>
          </cell>
          <cell r="I39" t="str">
            <v>Travel, accommodation and subsistence</v>
          </cell>
        </row>
        <row r="40">
          <cell r="H40">
            <v>52.37</v>
          </cell>
          <cell r="I40" t="str">
            <v>Travel, accommodation and subsistence</v>
          </cell>
        </row>
        <row r="41">
          <cell r="H41">
            <v>76.599999999999994</v>
          </cell>
          <cell r="I41" t="str">
            <v>Travel, accommodation and subsistence</v>
          </cell>
        </row>
        <row r="42">
          <cell r="H42">
            <v>16</v>
          </cell>
          <cell r="I42" t="str">
            <v>Motor Travel</v>
          </cell>
        </row>
        <row r="43">
          <cell r="H43">
            <v>57.28</v>
          </cell>
          <cell r="I43" t="str">
            <v>Travel, accommodation and subsistence</v>
          </cell>
        </row>
        <row r="44">
          <cell r="H44">
            <v>15.2</v>
          </cell>
          <cell r="I44" t="str">
            <v>Motor Travel</v>
          </cell>
        </row>
        <row r="45">
          <cell r="H45">
            <v>53.11</v>
          </cell>
          <cell r="I45" t="str">
            <v>Travel, accommodation and subsistence</v>
          </cell>
        </row>
        <row r="46">
          <cell r="H46">
            <v>5.08</v>
          </cell>
          <cell r="I46" t="str">
            <v>Travel, accommodation and subsistence</v>
          </cell>
        </row>
        <row r="47">
          <cell r="F47">
            <v>4007.77</v>
          </cell>
          <cell r="G47">
            <v>36.33</v>
          </cell>
        </row>
      </sheetData>
      <sheetData sheetId="35">
        <row r="7">
          <cell r="H7">
            <v>47.24</v>
          </cell>
          <cell r="I7" t="str">
            <v>Travel, accommodation and subsistence</v>
          </cell>
        </row>
        <row r="8">
          <cell r="H8">
            <v>7.8</v>
          </cell>
          <cell r="I8" t="str">
            <v>Travel, accommodation and subsistence</v>
          </cell>
        </row>
        <row r="9">
          <cell r="H9">
            <v>534.32000000000005</v>
          </cell>
          <cell r="I9" t="str">
            <v>Software &amp; IT Consumables</v>
          </cell>
        </row>
        <row r="10">
          <cell r="H10">
            <v>11</v>
          </cell>
          <cell r="I10" t="str">
            <v>Sundry expenses</v>
          </cell>
        </row>
        <row r="11">
          <cell r="H11">
            <v>53.15</v>
          </cell>
          <cell r="I11" t="str">
            <v>Travel, accommodation and subsistence</v>
          </cell>
        </row>
        <row r="12">
          <cell r="H12">
            <v>3.1</v>
          </cell>
          <cell r="I12" t="str">
            <v>Travel, accommodation and subsistence</v>
          </cell>
        </row>
        <row r="13">
          <cell r="H13">
            <v>4.96</v>
          </cell>
          <cell r="I13" t="str">
            <v>Travel, accommodation and subsistence</v>
          </cell>
        </row>
        <row r="14">
          <cell r="H14">
            <v>5.32</v>
          </cell>
          <cell r="I14" t="str">
            <v>Travel, accommodation and subsistence</v>
          </cell>
        </row>
        <row r="15">
          <cell r="H15">
            <v>2.72</v>
          </cell>
          <cell r="I15" t="str">
            <v>Travel, accommodation and subsistence</v>
          </cell>
        </row>
        <row r="16">
          <cell r="H16">
            <v>2.91</v>
          </cell>
          <cell r="I16" t="str">
            <v>Travel, accommodation and subsistence</v>
          </cell>
        </row>
        <row r="17">
          <cell r="H17">
            <v>12.05</v>
          </cell>
          <cell r="I17" t="str">
            <v>Travel, accommodation and subsistence</v>
          </cell>
        </row>
        <row r="18">
          <cell r="H18">
            <v>5.67</v>
          </cell>
          <cell r="I18" t="str">
            <v>Travel, accommodation and subsistence</v>
          </cell>
        </row>
        <row r="19">
          <cell r="H19">
            <v>2.98</v>
          </cell>
          <cell r="I19" t="str">
            <v>Travel, accommodation and subsistence</v>
          </cell>
        </row>
        <row r="20">
          <cell r="H20">
            <v>924.95</v>
          </cell>
          <cell r="I20" t="str">
            <v>Travel, accommodation and subsistence</v>
          </cell>
        </row>
        <row r="21">
          <cell r="H21">
            <v>53.15</v>
          </cell>
          <cell r="I21" t="str">
            <v>Travel, accommodation and subsistence</v>
          </cell>
        </row>
        <row r="22">
          <cell r="H22">
            <v>3.54</v>
          </cell>
          <cell r="I22" t="str">
            <v>Travel, accommodation and subsistence</v>
          </cell>
        </row>
        <row r="23">
          <cell r="H23">
            <v>8.5</v>
          </cell>
          <cell r="I23" t="str">
            <v>Telephone &amp; Internet</v>
          </cell>
        </row>
        <row r="24">
          <cell r="H24">
            <v>829</v>
          </cell>
          <cell r="I24" t="str">
            <v>Purchase of fixed assets</v>
          </cell>
        </row>
        <row r="25">
          <cell r="H25">
            <v>34.950000000000003</v>
          </cell>
          <cell r="I25" t="str">
            <v>Purchase of fixed assets</v>
          </cell>
        </row>
        <row r="26">
          <cell r="H26">
            <v>169.36</v>
          </cell>
          <cell r="I26" t="str">
            <v>Software &amp; IT Consumables</v>
          </cell>
        </row>
        <row r="27">
          <cell r="H27">
            <v>9.43</v>
          </cell>
          <cell r="I27" t="str">
            <v>Sundry expenses</v>
          </cell>
        </row>
        <row r="28">
          <cell r="H28">
            <v>14.95</v>
          </cell>
          <cell r="I28" t="str">
            <v>Sundry expenses</v>
          </cell>
        </row>
        <row r="29">
          <cell r="H29">
            <v>56.99</v>
          </cell>
          <cell r="I29" t="str">
            <v>Travel, accommodation and subsistence</v>
          </cell>
        </row>
        <row r="30">
          <cell r="H30">
            <v>64.47</v>
          </cell>
          <cell r="I30" t="str">
            <v>Travel, accommodation and subsistence</v>
          </cell>
        </row>
        <row r="31">
          <cell r="H31">
            <v>50</v>
          </cell>
          <cell r="I31" t="str">
            <v>Telephone &amp; Internet</v>
          </cell>
        </row>
        <row r="32">
          <cell r="H32">
            <v>18.709999999999997</v>
          </cell>
          <cell r="I32" t="str">
            <v>Telephone &amp; Internet</v>
          </cell>
        </row>
        <row r="33">
          <cell r="H33">
            <v>59.56</v>
          </cell>
          <cell r="I33" t="str">
            <v>Software &amp; IT Consumables</v>
          </cell>
        </row>
        <row r="34">
          <cell r="H34">
            <v>102.39</v>
          </cell>
          <cell r="I34" t="str">
            <v>Telephone &amp; Internet</v>
          </cell>
        </row>
        <row r="35">
          <cell r="H35">
            <v>58.7</v>
          </cell>
          <cell r="I35" t="str">
            <v>Telephone &amp; Internet</v>
          </cell>
        </row>
        <row r="36">
          <cell r="H36">
            <v>76.55</v>
          </cell>
          <cell r="I36" t="str">
            <v>Telephone &amp; Internet</v>
          </cell>
        </row>
        <row r="37">
          <cell r="H37">
            <v>6.12</v>
          </cell>
          <cell r="I37" t="str">
            <v>Printing, postage and stationery</v>
          </cell>
        </row>
        <row r="38">
          <cell r="H38">
            <v>6</v>
          </cell>
          <cell r="I38" t="str">
            <v>Travel, accommodation and subsistence</v>
          </cell>
        </row>
        <row r="39">
          <cell r="H39">
            <v>6.94</v>
          </cell>
          <cell r="I39" t="str">
            <v>Travel, accommodation and subsistence</v>
          </cell>
        </row>
        <row r="40">
          <cell r="H40">
            <v>100.14</v>
          </cell>
          <cell r="I40" t="str">
            <v>Travel, accommodation and subsistence</v>
          </cell>
        </row>
        <row r="41">
          <cell r="H41">
            <v>14.54</v>
          </cell>
          <cell r="I41" t="str">
            <v>Travel, accommodation and subsistence</v>
          </cell>
        </row>
        <row r="42">
          <cell r="H42">
            <v>0</v>
          </cell>
          <cell r="I42" t="str">
            <v>Motor Travel</v>
          </cell>
        </row>
        <row r="43">
          <cell r="H43">
            <v>0</v>
          </cell>
          <cell r="I43" t="str">
            <v>Travel, accommodation and subsistence</v>
          </cell>
        </row>
        <row r="44">
          <cell r="H44">
            <v>0</v>
          </cell>
          <cell r="I44" t="str">
            <v>Motor Travel</v>
          </cell>
        </row>
        <row r="45">
          <cell r="H45">
            <v>0</v>
          </cell>
          <cell r="I45" t="str">
            <v>Travel, accommodation and subsistence</v>
          </cell>
        </row>
        <row r="46">
          <cell r="H46">
            <v>0</v>
          </cell>
          <cell r="I46" t="str">
            <v>Travel, accommodation and subsistence</v>
          </cell>
        </row>
        <row r="47">
          <cell r="F47">
            <v>3699.0199999999991</v>
          </cell>
          <cell r="G47">
            <v>336.85999999999996</v>
          </cell>
        </row>
      </sheetData>
      <sheetData sheetId="36">
        <row r="7">
          <cell r="H7">
            <v>2.85</v>
          </cell>
          <cell r="I7" t="str">
            <v>Travel, accommodation and subsistence</v>
          </cell>
        </row>
        <row r="8">
          <cell r="H8">
            <v>12.83</v>
          </cell>
          <cell r="I8" t="str">
            <v>Travel, accommodation and subsistence</v>
          </cell>
        </row>
        <row r="9">
          <cell r="H9">
            <v>4.6399999999999997</v>
          </cell>
          <cell r="I9" t="str">
            <v>Travel, accommodation and subsistence</v>
          </cell>
        </row>
        <row r="10">
          <cell r="H10">
            <v>14.44</v>
          </cell>
          <cell r="I10" t="str">
            <v>Travel, accommodation and subsistence</v>
          </cell>
        </row>
        <row r="11">
          <cell r="H11">
            <v>346.17</v>
          </cell>
          <cell r="I11" t="str">
            <v>Travel, accommodation and subsistence</v>
          </cell>
        </row>
        <row r="12">
          <cell r="H12">
            <v>12.12</v>
          </cell>
          <cell r="I12" t="str">
            <v>Travel, accommodation and subsistence</v>
          </cell>
        </row>
        <row r="13">
          <cell r="H13">
            <v>3.29</v>
          </cell>
          <cell r="I13" t="str">
            <v>Travel, accommodation and subsistence</v>
          </cell>
        </row>
        <row r="14">
          <cell r="H14">
            <v>53.48</v>
          </cell>
          <cell r="I14" t="str">
            <v>Travel, accommodation and subsistence</v>
          </cell>
        </row>
        <row r="15">
          <cell r="H15">
            <v>3.57</v>
          </cell>
          <cell r="I15" t="str">
            <v>Travel, accommodation and subsistence</v>
          </cell>
        </row>
        <row r="16">
          <cell r="H16">
            <v>50</v>
          </cell>
          <cell r="I16" t="str">
            <v>Travel, accommodation and subsistence</v>
          </cell>
        </row>
        <row r="17">
          <cell r="H17">
            <v>144.97999999999999</v>
          </cell>
          <cell r="I17" t="str">
            <v>Travel, accommodation and subsistence</v>
          </cell>
        </row>
        <row r="18">
          <cell r="H18">
            <v>4.24</v>
          </cell>
          <cell r="I18" t="str">
            <v>Travel, accommodation and subsistence</v>
          </cell>
        </row>
        <row r="19">
          <cell r="H19">
            <v>2.38</v>
          </cell>
          <cell r="I19" t="str">
            <v>Travel, accommodation and subsistence</v>
          </cell>
        </row>
        <row r="20">
          <cell r="H20">
            <v>33.299999999999997</v>
          </cell>
          <cell r="I20" t="str">
            <v>Travel, accommodation and subsistence</v>
          </cell>
        </row>
        <row r="21">
          <cell r="H21">
            <v>21.41</v>
          </cell>
          <cell r="I21" t="str">
            <v>Travel, accommodation and subsistence</v>
          </cell>
        </row>
        <row r="22">
          <cell r="H22">
            <v>177.63</v>
          </cell>
          <cell r="I22" t="str">
            <v>Travel, accommodation and subsistence</v>
          </cell>
        </row>
        <row r="23">
          <cell r="H23">
            <v>35.68</v>
          </cell>
          <cell r="I23" t="str">
            <v>Travel, accommodation and subsistence</v>
          </cell>
        </row>
        <row r="24">
          <cell r="H24">
            <v>3.33</v>
          </cell>
          <cell r="I24" t="str">
            <v>Travel, accommodation and subsistence</v>
          </cell>
        </row>
        <row r="25">
          <cell r="H25">
            <v>44.68</v>
          </cell>
          <cell r="I25" t="str">
            <v>Travel, accommodation and subsistence</v>
          </cell>
        </row>
        <row r="26">
          <cell r="H26">
            <v>44.4</v>
          </cell>
          <cell r="I26" t="str">
            <v>Motor Travel</v>
          </cell>
        </row>
        <row r="27">
          <cell r="H27">
            <v>167.56</v>
          </cell>
          <cell r="I27" t="str">
            <v>Travel, accommodation and subsistence</v>
          </cell>
        </row>
        <row r="28">
          <cell r="H28">
            <v>18.709999999999997</v>
          </cell>
          <cell r="I28" t="str">
            <v>Telephone &amp; Internet</v>
          </cell>
        </row>
        <row r="29">
          <cell r="H29">
            <v>84.26</v>
          </cell>
          <cell r="I29" t="str">
            <v>Sundry expenses</v>
          </cell>
        </row>
        <row r="30">
          <cell r="H30">
            <v>414.5</v>
          </cell>
          <cell r="I30" t="str">
            <v>Travel, accommodation and subsistence</v>
          </cell>
        </row>
        <row r="31">
          <cell r="H31">
            <v>53.81</v>
          </cell>
          <cell r="I31" t="str">
            <v>Travel, accommodation and subsistence</v>
          </cell>
        </row>
        <row r="32">
          <cell r="H32">
            <v>3.16</v>
          </cell>
          <cell r="I32" t="str">
            <v>Travel, accommodation and subsistence</v>
          </cell>
        </row>
        <row r="33">
          <cell r="H33">
            <v>2.2400000000000002</v>
          </cell>
          <cell r="I33" t="str">
            <v>Travel, accommodation and subsistence</v>
          </cell>
        </row>
        <row r="34">
          <cell r="H34">
            <v>212</v>
          </cell>
          <cell r="I34" t="str">
            <v>Travel, accommodation and subsistence</v>
          </cell>
        </row>
        <row r="35">
          <cell r="H35">
            <v>20.8</v>
          </cell>
          <cell r="I35" t="str">
            <v>Travel, accommodation and subsistence</v>
          </cell>
        </row>
        <row r="36">
          <cell r="H36">
            <v>3.26</v>
          </cell>
          <cell r="I36" t="str">
            <v>Travel, accommodation and subsistence</v>
          </cell>
        </row>
        <row r="37">
          <cell r="H37">
            <v>2.33</v>
          </cell>
          <cell r="I37" t="str">
            <v>Travel, accommodation and subsistence</v>
          </cell>
        </row>
        <row r="38">
          <cell r="H38">
            <v>33.96</v>
          </cell>
          <cell r="I38" t="str">
            <v>Travel, accommodation and subsistence</v>
          </cell>
        </row>
        <row r="39">
          <cell r="H39">
            <v>74.430000000000007</v>
          </cell>
          <cell r="I39" t="str">
            <v>Travel, accommodation and subsistence</v>
          </cell>
        </row>
        <row r="40">
          <cell r="H40">
            <v>7.07</v>
          </cell>
          <cell r="I40" t="str">
            <v>Travel, accommodation and subsistence</v>
          </cell>
        </row>
        <row r="41">
          <cell r="H41">
            <v>36.75</v>
          </cell>
          <cell r="I41" t="str">
            <v>Travel, accommodation and subsistence</v>
          </cell>
        </row>
        <row r="42">
          <cell r="H42">
            <v>129.79</v>
          </cell>
          <cell r="I42" t="str">
            <v>Travel, accommodation and subsistence</v>
          </cell>
        </row>
        <row r="43">
          <cell r="H43">
            <v>2.14</v>
          </cell>
          <cell r="I43" t="str">
            <v>Travel, accommodation and subsistence</v>
          </cell>
        </row>
        <row r="44">
          <cell r="H44">
            <v>2.33</v>
          </cell>
          <cell r="I44" t="str">
            <v>Travel, accommodation and subsistence</v>
          </cell>
        </row>
        <row r="45">
          <cell r="H45">
            <v>21.52</v>
          </cell>
          <cell r="I45" t="str">
            <v>Travel, accommodation and subsistence</v>
          </cell>
        </row>
        <row r="46">
          <cell r="H46">
            <v>1.99</v>
          </cell>
          <cell r="I46" t="str">
            <v>Travel, accommodation and subsistence</v>
          </cell>
        </row>
        <row r="47">
          <cell r="F47">
            <v>2333.8699999999994</v>
          </cell>
          <cell r="G47">
            <v>25.84</v>
          </cell>
        </row>
      </sheetData>
      <sheetData sheetId="37">
        <row r="5">
          <cell r="D5" t="str">
            <v>Cassel Consulting Limited</v>
          </cell>
        </row>
        <row r="7">
          <cell r="H7">
            <v>191.56</v>
          </cell>
          <cell r="I7" t="str">
            <v>Travel, accommodation and subsistence</v>
          </cell>
        </row>
        <row r="8">
          <cell r="H8">
            <v>132.56</v>
          </cell>
          <cell r="I8" t="str">
            <v>Travel, accommodation and subsistence</v>
          </cell>
        </row>
        <row r="9">
          <cell r="H9">
            <v>145.9</v>
          </cell>
          <cell r="I9" t="str">
            <v>Travel, accommodation and subsistence</v>
          </cell>
        </row>
        <row r="10">
          <cell r="H10">
            <v>54.34</v>
          </cell>
          <cell r="I10" t="str">
            <v>Travel, accommodation and subsistence</v>
          </cell>
        </row>
        <row r="11">
          <cell r="H11">
            <v>389.05</v>
          </cell>
          <cell r="I11" t="str">
            <v>Travel, accommodation and subsistence</v>
          </cell>
        </row>
        <row r="12">
          <cell r="H12">
            <v>61.28</v>
          </cell>
          <cell r="I12" t="str">
            <v>Travel, accommodation and subsistence</v>
          </cell>
        </row>
        <row r="13">
          <cell r="H13">
            <v>31.6</v>
          </cell>
          <cell r="I13" t="str">
            <v>Motor Travel</v>
          </cell>
        </row>
        <row r="14">
          <cell r="H14">
            <v>18.709999999999997</v>
          </cell>
          <cell r="I14" t="str">
            <v>Telephone &amp; Internet</v>
          </cell>
        </row>
        <row r="15">
          <cell r="H15">
            <v>144.9</v>
          </cell>
          <cell r="I15" t="str">
            <v>Travel, accommodation and subsistence</v>
          </cell>
        </row>
        <row r="16">
          <cell r="H16">
            <v>2.2400000000000002</v>
          </cell>
          <cell r="I16" t="str">
            <v>Travel, accommodation and subsistence</v>
          </cell>
        </row>
        <row r="17">
          <cell r="H17">
            <v>11.94</v>
          </cell>
          <cell r="I17" t="str">
            <v>Travel, accommodation and subsistence</v>
          </cell>
        </row>
        <row r="18">
          <cell r="H18">
            <v>27.17</v>
          </cell>
          <cell r="I18" t="str">
            <v>Travel, accommodation and subsistence</v>
          </cell>
        </row>
        <row r="19">
          <cell r="H19">
            <v>3.98</v>
          </cell>
          <cell r="I19" t="str">
            <v>Travel, accommodation and subsistence</v>
          </cell>
        </row>
        <row r="20">
          <cell r="H20">
            <v>14.49</v>
          </cell>
          <cell r="I20" t="str">
            <v>Travel, accommodation and subsistence</v>
          </cell>
        </row>
        <row r="21">
          <cell r="H21">
            <v>4.16</v>
          </cell>
          <cell r="I21" t="str">
            <v>Travel, accommodation and subsistence</v>
          </cell>
        </row>
        <row r="22">
          <cell r="H22">
            <v>86.94</v>
          </cell>
          <cell r="I22" t="str">
            <v>Entertaining</v>
          </cell>
        </row>
        <row r="23">
          <cell r="H23">
            <v>427.66</v>
          </cell>
          <cell r="I23" t="str">
            <v>Travel, accommodation and subsistence</v>
          </cell>
        </row>
        <row r="24">
          <cell r="H24">
            <v>13.04</v>
          </cell>
          <cell r="I24" t="str">
            <v>Travel, accommodation and subsistence</v>
          </cell>
        </row>
        <row r="25">
          <cell r="H25">
            <v>76.599999999999994</v>
          </cell>
          <cell r="I25" t="str">
            <v>Travel, accommodation and subsistence</v>
          </cell>
        </row>
        <row r="26">
          <cell r="H26">
            <v>32.799999999999997</v>
          </cell>
          <cell r="I26" t="str">
            <v>Motor Travel</v>
          </cell>
        </row>
        <row r="27">
          <cell r="H27">
            <v>354.1</v>
          </cell>
          <cell r="I27" t="str">
            <v>Travel, accommodation and subsistence</v>
          </cell>
        </row>
        <row r="28">
          <cell r="H28">
            <v>12.48</v>
          </cell>
          <cell r="I28" t="str">
            <v>Travel, accommodation and subsistence</v>
          </cell>
        </row>
        <row r="29">
          <cell r="H29">
            <v>4.8099999999999996</v>
          </cell>
          <cell r="I29" t="str">
            <v>Travel, accommodation and subsistence</v>
          </cell>
        </row>
        <row r="30">
          <cell r="H30">
            <v>0.99</v>
          </cell>
          <cell r="I30" t="str">
            <v>Travel, accommodation and subsistence</v>
          </cell>
        </row>
        <row r="31">
          <cell r="H31">
            <v>11</v>
          </cell>
          <cell r="I31" t="str">
            <v>Travel, accommodation and subsistence</v>
          </cell>
        </row>
        <row r="32">
          <cell r="H32">
            <v>110.09</v>
          </cell>
          <cell r="I32" t="str">
            <v>Entertaining</v>
          </cell>
        </row>
        <row r="33">
          <cell r="H33">
            <v>323.3</v>
          </cell>
          <cell r="I33" t="str">
            <v>Travel, accommodation and subsistence</v>
          </cell>
        </row>
        <row r="34">
          <cell r="H34">
            <v>11.74</v>
          </cell>
          <cell r="I34" t="str">
            <v>Travel, accommodation and subsistence</v>
          </cell>
        </row>
        <row r="35">
          <cell r="H35">
            <v>57.87</v>
          </cell>
          <cell r="I35" t="str">
            <v>Travel, accommodation and subsistence</v>
          </cell>
        </row>
        <row r="36">
          <cell r="H36">
            <v>52.8</v>
          </cell>
          <cell r="I36" t="str">
            <v>Motor Travel</v>
          </cell>
        </row>
        <row r="37">
          <cell r="H37">
            <v>210.59</v>
          </cell>
          <cell r="I37" t="str">
            <v>Travel, accommodation and subsistence</v>
          </cell>
        </row>
        <row r="38">
          <cell r="H38">
            <v>57.87</v>
          </cell>
          <cell r="I38" t="str">
            <v>Travel, accommodation and subsistence</v>
          </cell>
        </row>
        <row r="39">
          <cell r="H39">
            <v>53.2</v>
          </cell>
          <cell r="I39" t="str">
            <v>Motor Travel</v>
          </cell>
        </row>
        <row r="40">
          <cell r="H40">
            <v>151.69</v>
          </cell>
          <cell r="I40" t="str">
            <v>Telephone &amp; Internet</v>
          </cell>
        </row>
        <row r="41">
          <cell r="H41">
            <v>399.37</v>
          </cell>
          <cell r="I41" t="str">
            <v>Telephone &amp; Internet</v>
          </cell>
        </row>
        <row r="42">
          <cell r="H42">
            <v>0</v>
          </cell>
          <cell r="I42" t="str">
            <v>Travel, accommodation and subsistence</v>
          </cell>
        </row>
        <row r="43">
          <cell r="H43">
            <v>0</v>
          </cell>
          <cell r="I43" t="str">
            <v>Travel, accommodation and subsistence</v>
          </cell>
        </row>
        <row r="44">
          <cell r="H44">
            <v>0</v>
          </cell>
          <cell r="I44" t="str">
            <v>Travel, accommodation and subsistence</v>
          </cell>
        </row>
        <row r="45">
          <cell r="H45">
            <v>0</v>
          </cell>
          <cell r="I45" t="str">
            <v>Travel, accommodation and subsistence</v>
          </cell>
        </row>
        <row r="46">
          <cell r="H46">
            <v>0</v>
          </cell>
          <cell r="I46" t="str">
            <v>Travel, accommodation and subsistence</v>
          </cell>
        </row>
        <row r="47">
          <cell r="F47">
            <v>3757.0200000000004</v>
          </cell>
          <cell r="G47">
            <v>74.2</v>
          </cell>
        </row>
      </sheetData>
      <sheetData sheetId="38">
        <row r="5">
          <cell r="D5" t="str">
            <v>Cassel Consulting Limited</v>
          </cell>
        </row>
        <row r="7">
          <cell r="H7">
            <v>1.36</v>
          </cell>
          <cell r="I7" t="str">
            <v>Travel, accommodation and subsistence</v>
          </cell>
        </row>
        <row r="8">
          <cell r="H8">
            <v>147.88999999999999</v>
          </cell>
          <cell r="I8" t="str">
            <v>Entertaining</v>
          </cell>
        </row>
        <row r="9">
          <cell r="H9">
            <v>4.4400000000000004</v>
          </cell>
          <cell r="I9" t="str">
            <v>Travel, accommodation and subsistence</v>
          </cell>
        </row>
        <row r="10">
          <cell r="H10">
            <v>9.24</v>
          </cell>
          <cell r="I10" t="str">
            <v>Entertaining</v>
          </cell>
        </row>
        <row r="11">
          <cell r="H11">
            <v>6.49</v>
          </cell>
          <cell r="I11" t="str">
            <v>Entertaining</v>
          </cell>
        </row>
        <row r="12">
          <cell r="H12">
            <v>155.28</v>
          </cell>
          <cell r="I12" t="str">
            <v>Entertaining</v>
          </cell>
        </row>
        <row r="13">
          <cell r="H13">
            <v>5.18</v>
          </cell>
          <cell r="I13" t="str">
            <v>Travel, accommodation and subsistence</v>
          </cell>
        </row>
        <row r="14">
          <cell r="H14">
            <v>11.83</v>
          </cell>
          <cell r="I14" t="str">
            <v>Travel, accommodation and subsistence</v>
          </cell>
        </row>
        <row r="15">
          <cell r="H15">
            <v>68.03</v>
          </cell>
          <cell r="I15" t="str">
            <v>Entertaining</v>
          </cell>
        </row>
        <row r="16">
          <cell r="H16">
            <v>2.2200000000000002</v>
          </cell>
          <cell r="I16" t="str">
            <v>Travel, accommodation and subsistence</v>
          </cell>
        </row>
        <row r="17">
          <cell r="H17">
            <v>2.9</v>
          </cell>
          <cell r="I17" t="str">
            <v>Travel, accommodation and subsistence</v>
          </cell>
        </row>
        <row r="18">
          <cell r="H18">
            <v>3.97</v>
          </cell>
          <cell r="I18" t="str">
            <v>Entertaining</v>
          </cell>
        </row>
        <row r="19">
          <cell r="H19">
            <v>1315.14</v>
          </cell>
          <cell r="I19" t="str">
            <v>Travel, accommodation and subsistence</v>
          </cell>
        </row>
        <row r="20">
          <cell r="H20">
            <v>6.17</v>
          </cell>
          <cell r="I20" t="str">
            <v>Entertaining</v>
          </cell>
        </row>
        <row r="21">
          <cell r="H21">
            <v>56.58</v>
          </cell>
          <cell r="I21" t="str">
            <v>Travel, accommodation and subsistence</v>
          </cell>
        </row>
        <row r="22">
          <cell r="H22">
            <v>18.709999999999997</v>
          </cell>
          <cell r="I22" t="str">
            <v>Telephone &amp; Internet</v>
          </cell>
        </row>
        <row r="23">
          <cell r="H23">
            <v>10.620000000000001</v>
          </cell>
          <cell r="I23" t="str">
            <v>Printing, postage and stationery</v>
          </cell>
        </row>
        <row r="24">
          <cell r="H24">
            <v>33.799999999999997</v>
          </cell>
          <cell r="I24" t="str">
            <v>Printing, postage and stationery</v>
          </cell>
        </row>
        <row r="25">
          <cell r="H25">
            <v>3.36</v>
          </cell>
          <cell r="I25" t="str">
            <v>Printing, postage and stationery</v>
          </cell>
        </row>
        <row r="26">
          <cell r="H26">
            <v>7.8</v>
          </cell>
          <cell r="I26" t="str">
            <v>Travel, accommodation and subsistence</v>
          </cell>
        </row>
        <row r="27">
          <cell r="H27">
            <v>3.35</v>
          </cell>
          <cell r="I27" t="str">
            <v>Travel, accommodation and subsistence</v>
          </cell>
        </row>
        <row r="28">
          <cell r="H28">
            <v>80.86</v>
          </cell>
          <cell r="I28" t="str">
            <v>Entertaining</v>
          </cell>
        </row>
        <row r="29">
          <cell r="H29">
            <v>326.02999999999997</v>
          </cell>
          <cell r="I29" t="str">
            <v>Travel, accommodation and subsistence</v>
          </cell>
        </row>
        <row r="30">
          <cell r="H30">
            <v>61.28</v>
          </cell>
          <cell r="I30" t="str">
            <v>Travel, accommodation and subsistence</v>
          </cell>
        </row>
        <row r="31">
          <cell r="H31">
            <v>31.2</v>
          </cell>
          <cell r="I31" t="str">
            <v>Motor Travel</v>
          </cell>
        </row>
        <row r="32">
          <cell r="H32">
            <v>116.56</v>
          </cell>
          <cell r="I32" t="str">
            <v>Travel, accommodation and subsistence</v>
          </cell>
        </row>
        <row r="33">
          <cell r="H33">
            <v>107.56</v>
          </cell>
          <cell r="I33" t="str">
            <v>Travel, accommodation and subsistence</v>
          </cell>
        </row>
        <row r="34">
          <cell r="H34">
            <v>55.56</v>
          </cell>
          <cell r="I34" t="str">
            <v>Travel, accommodation and subsistence</v>
          </cell>
        </row>
        <row r="35">
          <cell r="H35">
            <v>4.21</v>
          </cell>
          <cell r="I35" t="str">
            <v>Travel, accommodation and subsistence</v>
          </cell>
        </row>
        <row r="36">
          <cell r="H36">
            <v>2.65</v>
          </cell>
          <cell r="I36" t="str">
            <v>Travel, accommodation and subsistence</v>
          </cell>
        </row>
        <row r="37">
          <cell r="H37">
            <v>3.14</v>
          </cell>
          <cell r="I37" t="str">
            <v>Travel, accommodation and subsistence</v>
          </cell>
        </row>
        <row r="38">
          <cell r="H38">
            <v>13.23</v>
          </cell>
          <cell r="I38" t="str">
            <v>Travel, accommodation and subsistence</v>
          </cell>
        </row>
        <row r="39">
          <cell r="H39">
            <v>2.41</v>
          </cell>
          <cell r="I39" t="str">
            <v>Travel, accommodation and subsistence</v>
          </cell>
        </row>
        <row r="40">
          <cell r="H40">
            <v>14.7</v>
          </cell>
          <cell r="I40" t="str">
            <v>Travel, accommodation and subsistence</v>
          </cell>
        </row>
        <row r="41">
          <cell r="H41">
            <v>33.08</v>
          </cell>
          <cell r="I41" t="str">
            <v>Travel, accommodation and subsistence</v>
          </cell>
        </row>
        <row r="42">
          <cell r="H42">
            <v>14.7</v>
          </cell>
          <cell r="I42" t="str">
            <v>Travel, accommodation and subsistence</v>
          </cell>
        </row>
        <row r="43">
          <cell r="H43">
            <v>4.3899999999999997</v>
          </cell>
          <cell r="I43" t="str">
            <v>Travel, accommodation and subsistence</v>
          </cell>
        </row>
        <row r="44">
          <cell r="H44">
            <v>33.450000000000003</v>
          </cell>
          <cell r="I44" t="str">
            <v>Travel, accommodation and subsistence</v>
          </cell>
        </row>
        <row r="45">
          <cell r="H45">
            <v>446.23</v>
          </cell>
          <cell r="I45" t="str">
            <v>Travel, accommodation and subsistence</v>
          </cell>
        </row>
        <row r="46">
          <cell r="H46">
            <v>12.5</v>
          </cell>
          <cell r="I46" t="str">
            <v>Travel, accommodation and subsistence</v>
          </cell>
        </row>
        <row r="47">
          <cell r="F47">
            <v>3260.1199999999985</v>
          </cell>
          <cell r="G47">
            <v>22.020000000000003</v>
          </cell>
        </row>
      </sheetData>
      <sheetData sheetId="39">
        <row r="7">
          <cell r="H7">
            <v>101.56</v>
          </cell>
          <cell r="I7" t="str">
            <v>Travel, accommodation and subsistence</v>
          </cell>
        </row>
        <row r="8">
          <cell r="H8">
            <v>249.67</v>
          </cell>
          <cell r="I8" t="str">
            <v>Entertaining</v>
          </cell>
        </row>
        <row r="9">
          <cell r="H9">
            <v>7.6</v>
          </cell>
          <cell r="I9" t="str">
            <v>Travel, accommodation and subsistence</v>
          </cell>
        </row>
        <row r="10">
          <cell r="H10">
            <v>422.9</v>
          </cell>
          <cell r="I10" t="str">
            <v>Travel, accommodation and subsistence</v>
          </cell>
        </row>
        <row r="11">
          <cell r="H11">
            <v>13.22</v>
          </cell>
          <cell r="I11" t="str">
            <v>Travel, accommodation and subsistence</v>
          </cell>
        </row>
        <row r="12">
          <cell r="H12">
            <v>76.59</v>
          </cell>
          <cell r="I12" t="str">
            <v>Travel, accommodation and subsistence</v>
          </cell>
        </row>
        <row r="13">
          <cell r="H13">
            <v>32.799999999999997</v>
          </cell>
          <cell r="I13" t="str">
            <v>Motor Travel</v>
          </cell>
        </row>
        <row r="14">
          <cell r="H14">
            <v>37.56</v>
          </cell>
          <cell r="I14" t="str">
            <v>Travel, accommodation and subsistence</v>
          </cell>
        </row>
        <row r="15">
          <cell r="H15">
            <v>3.7</v>
          </cell>
          <cell r="I15" t="str">
            <v>Travel, accommodation and subsistence</v>
          </cell>
        </row>
        <row r="16">
          <cell r="H16">
            <v>13.77</v>
          </cell>
          <cell r="I16" t="str">
            <v>Travel, accommodation and subsistence</v>
          </cell>
        </row>
        <row r="17">
          <cell r="H17">
            <v>3.02</v>
          </cell>
          <cell r="I17" t="str">
            <v>Travel, accommodation and subsistence</v>
          </cell>
        </row>
        <row r="18">
          <cell r="H18">
            <v>13.77</v>
          </cell>
          <cell r="I18" t="str">
            <v>Travel, accommodation and subsistence</v>
          </cell>
        </row>
        <row r="19">
          <cell r="H19">
            <v>1.96</v>
          </cell>
          <cell r="I19" t="str">
            <v>Travel, accommodation and subsistence</v>
          </cell>
        </row>
        <row r="20">
          <cell r="H20">
            <v>374.25</v>
          </cell>
          <cell r="I20" t="str">
            <v>Travel, accommodation and subsistence</v>
          </cell>
        </row>
        <row r="21">
          <cell r="H21">
            <v>13.05</v>
          </cell>
          <cell r="I21" t="str">
            <v>Travel, accommodation and subsistence</v>
          </cell>
        </row>
        <row r="22">
          <cell r="H22">
            <v>5.94</v>
          </cell>
          <cell r="I22" t="str">
            <v>Travel, accommodation and subsistence</v>
          </cell>
        </row>
        <row r="23">
          <cell r="H23">
            <v>61.269999999999996</v>
          </cell>
          <cell r="I23" t="str">
            <v>Travel, accommodation and subsistence</v>
          </cell>
        </row>
        <row r="24">
          <cell r="H24">
            <v>32.4</v>
          </cell>
          <cell r="I24" t="str">
            <v>Motor Travel</v>
          </cell>
        </row>
        <row r="25">
          <cell r="H25">
            <v>18.709999999999997</v>
          </cell>
          <cell r="I25" t="str">
            <v>Telephone &amp; Internet</v>
          </cell>
        </row>
        <row r="26">
          <cell r="H26">
            <v>45.089999999999996</v>
          </cell>
          <cell r="I26" t="str">
            <v>Printing, postage and stationery</v>
          </cell>
        </row>
        <row r="27">
          <cell r="H27">
            <v>4.91</v>
          </cell>
          <cell r="I27" t="str">
            <v>Travel, accommodation and subsistence</v>
          </cell>
        </row>
        <row r="28">
          <cell r="H28">
            <v>76.099999999999994</v>
          </cell>
          <cell r="I28" t="str">
            <v>Entertaining</v>
          </cell>
        </row>
        <row r="29">
          <cell r="H29">
            <v>5.07</v>
          </cell>
          <cell r="I29" t="str">
            <v>Travel, accommodation and subsistence</v>
          </cell>
        </row>
        <row r="30">
          <cell r="H30">
            <v>2.23</v>
          </cell>
          <cell r="I30" t="str">
            <v>Travel, accommodation and subsistence</v>
          </cell>
        </row>
        <row r="31">
          <cell r="H31">
            <v>2.31</v>
          </cell>
          <cell r="I31" t="str">
            <v>Travel, accommodation and subsistence</v>
          </cell>
        </row>
        <row r="32">
          <cell r="H32">
            <v>13.05</v>
          </cell>
          <cell r="I32" t="str">
            <v>Travel, accommodation and subsistence</v>
          </cell>
        </row>
        <row r="33">
          <cell r="H33">
            <v>457.35</v>
          </cell>
          <cell r="I33" t="str">
            <v>Travel, accommodation and subsistence</v>
          </cell>
        </row>
        <row r="34">
          <cell r="H34">
            <v>12.32</v>
          </cell>
          <cell r="I34" t="str">
            <v>Travel, accommodation and subsistence</v>
          </cell>
        </row>
        <row r="35">
          <cell r="H35">
            <v>4.6399999999999997</v>
          </cell>
          <cell r="I35" t="str">
            <v>Travel, accommodation and subsistence</v>
          </cell>
        </row>
        <row r="36">
          <cell r="H36">
            <v>735.4</v>
          </cell>
          <cell r="I36" t="str">
            <v>Travel, accommodation and subsistence</v>
          </cell>
        </row>
        <row r="37">
          <cell r="H37">
            <v>735.4</v>
          </cell>
          <cell r="I37" t="str">
            <v>Travel, accommodation and subsistence</v>
          </cell>
        </row>
        <row r="38">
          <cell r="H38">
            <v>121.77</v>
          </cell>
          <cell r="I38" t="str">
            <v>Telephone &amp; Internet</v>
          </cell>
        </row>
        <row r="39">
          <cell r="H39">
            <v>0</v>
          </cell>
          <cell r="I39" t="str">
            <v>Travel, accommodation and subsistence</v>
          </cell>
        </row>
        <row r="40">
          <cell r="H40">
            <v>0</v>
          </cell>
          <cell r="I40" t="str">
            <v>Travel, accommodation and subsistence</v>
          </cell>
        </row>
        <row r="41">
          <cell r="H41">
            <v>0</v>
          </cell>
          <cell r="I41" t="str">
            <v>Travel, accommodation and subsistence</v>
          </cell>
        </row>
        <row r="42">
          <cell r="H42">
            <v>0</v>
          </cell>
          <cell r="I42" t="str">
            <v>Travel, accommodation and subsistence</v>
          </cell>
        </row>
        <row r="43">
          <cell r="H43">
            <v>0</v>
          </cell>
          <cell r="I43" t="str">
            <v>Travel, accommodation and subsistence</v>
          </cell>
        </row>
        <row r="44">
          <cell r="H44">
            <v>0</v>
          </cell>
          <cell r="I44" t="str">
            <v>Travel, accommodation and subsistence</v>
          </cell>
        </row>
        <row r="45">
          <cell r="H45">
            <v>0</v>
          </cell>
          <cell r="I45" t="str">
            <v>Travel, accommodation and subsistence</v>
          </cell>
        </row>
        <row r="46">
          <cell r="H46">
            <v>0</v>
          </cell>
          <cell r="I46" t="str">
            <v>Travel, accommodation and subsistence</v>
          </cell>
        </row>
        <row r="47">
          <cell r="F47">
            <v>3755.9900000000002</v>
          </cell>
          <cell r="G47">
            <v>56.61</v>
          </cell>
        </row>
      </sheetData>
      <sheetData sheetId="40">
        <row r="3">
          <cell r="C3" t="str">
            <v>August 2004</v>
          </cell>
        </row>
        <row r="73">
          <cell r="C73" t="str">
            <v>1 January 2004</v>
          </cell>
        </row>
        <row r="74">
          <cell r="C74" t="str">
            <v>1 February 2004</v>
          </cell>
        </row>
        <row r="75">
          <cell r="C75" t="str">
            <v>1 March 2004</v>
          </cell>
        </row>
        <row r="76">
          <cell r="C76" t="str">
            <v>1 April 2004</v>
          </cell>
        </row>
        <row r="77">
          <cell r="C77" t="str">
            <v>1 May 2004</v>
          </cell>
        </row>
        <row r="78">
          <cell r="C78" t="str">
            <v>1 June 2004</v>
          </cell>
        </row>
        <row r="79">
          <cell r="C79" t="str">
            <v>1 July 2004</v>
          </cell>
        </row>
        <row r="80">
          <cell r="C80" t="str">
            <v>1 August 2004</v>
          </cell>
        </row>
        <row r="81">
          <cell r="C81" t="str">
            <v>1 September 2004</v>
          </cell>
        </row>
        <row r="82">
          <cell r="C82" t="str">
            <v>1 October 2004</v>
          </cell>
        </row>
        <row r="83">
          <cell r="C83" t="str">
            <v>1 November 2004</v>
          </cell>
        </row>
        <row r="84">
          <cell r="C84" t="str">
            <v>1 December 2004</v>
          </cell>
        </row>
      </sheetData>
      <sheetData sheetId="41">
        <row r="6">
          <cell r="E6">
            <v>12</v>
          </cell>
        </row>
      </sheetData>
      <sheetData sheetId="42">
        <row r="6">
          <cell r="E6">
            <v>12</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
          <cell r="D5" t="str">
            <v>Cassel Consulting Limited</v>
          </cell>
        </row>
      </sheetData>
      <sheetData sheetId="59">
        <row r="6">
          <cell r="E6">
            <v>12</v>
          </cell>
        </row>
      </sheetData>
      <sheetData sheetId="60">
        <row r="6">
          <cell r="E6">
            <v>12</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5">
          <cell r="D5" t="str">
            <v>Cassel Consulting Limited</v>
          </cell>
        </row>
      </sheetData>
      <sheetData sheetId="77">
        <row r="6">
          <cell r="E6">
            <v>12</v>
          </cell>
        </row>
      </sheetData>
      <sheetData sheetId="78">
        <row r="6">
          <cell r="E6">
            <v>12</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ow r="5">
          <cell r="D5" t="str">
            <v>Cassel Consulting Limited</v>
          </cell>
        </row>
      </sheetData>
      <sheetData sheetId="95">
        <row r="6">
          <cell r="E6">
            <v>12</v>
          </cell>
        </row>
      </sheetData>
      <sheetData sheetId="96">
        <row r="6">
          <cell r="E6">
            <v>12</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troduction"/>
      <sheetName val="Instructions"/>
      <sheetName val="Company information"/>
      <sheetName val="BR1"/>
      <sheetName val="BR2"/>
      <sheetName val="BR3"/>
      <sheetName val="BR4"/>
      <sheetName val="BR5"/>
      <sheetName val="BR6"/>
      <sheetName val="BR7"/>
      <sheetName val="BR8"/>
      <sheetName val="BR9"/>
      <sheetName val="BR10"/>
      <sheetName val="BR11"/>
      <sheetName val="BR12"/>
      <sheetName val="BP1"/>
      <sheetName val="BP2"/>
      <sheetName val="BP3"/>
      <sheetName val="BP4"/>
      <sheetName val="BP5"/>
      <sheetName val="BP6"/>
      <sheetName val="BP7"/>
      <sheetName val="BP8"/>
      <sheetName val="BP9"/>
      <sheetName val="BP10"/>
      <sheetName val="BP11"/>
      <sheetName val="BP12"/>
      <sheetName val="PC1"/>
      <sheetName val="PC2"/>
      <sheetName val="PC3"/>
      <sheetName val="PC4"/>
      <sheetName val="PC5"/>
      <sheetName val="PC6"/>
      <sheetName val="PC7"/>
      <sheetName val="PC8"/>
      <sheetName val="PC9"/>
      <sheetName val="PC10"/>
      <sheetName val="PC11"/>
      <sheetName val="PC12"/>
      <sheetName val="Summary"/>
      <sheetName val="Bank summary"/>
      <sheetName val="VAT return"/>
      <sheetName val="IR35 Calc Instructions"/>
      <sheetName val="IR35 Calculator 2003 - 04"/>
    </sheetNames>
    <sheetDataSet>
      <sheetData sheetId="0" refreshError="1"/>
      <sheetData sheetId="1" refreshError="1"/>
      <sheetData sheetId="2" refreshError="1"/>
      <sheetData sheetId="3">
        <row r="7">
          <cell r="E7" t="str">
            <v>Yes</v>
          </cell>
        </row>
      </sheetData>
      <sheetData sheetId="4">
        <row r="7">
          <cell r="E7" t="str">
            <v>Yes</v>
          </cell>
        </row>
      </sheetData>
      <sheetData sheetId="5">
        <row r="7">
          <cell r="E7" t="str">
            <v>Yes</v>
          </cell>
        </row>
      </sheetData>
      <sheetData sheetId="6">
        <row r="7">
          <cell r="E7" t="str">
            <v>Yes</v>
          </cell>
        </row>
      </sheetData>
      <sheetData sheetId="7">
        <row r="7">
          <cell r="E7" t="str">
            <v>Yes</v>
          </cell>
        </row>
      </sheetData>
      <sheetData sheetId="8">
        <row r="7">
          <cell r="E7" t="str">
            <v>Yes</v>
          </cell>
        </row>
      </sheetData>
      <sheetData sheetId="9">
        <row r="7">
          <cell r="E7" t="str">
            <v>Yes</v>
          </cell>
        </row>
      </sheetData>
      <sheetData sheetId="10">
        <row r="7">
          <cell r="E7" t="str">
            <v>Yes</v>
          </cell>
        </row>
      </sheetData>
      <sheetData sheetId="11">
        <row r="7">
          <cell r="E7" t="str">
            <v>Yes</v>
          </cell>
        </row>
      </sheetData>
      <sheetData sheetId="12">
        <row r="7">
          <cell r="E7" t="str">
            <v>Yes</v>
          </cell>
        </row>
      </sheetData>
      <sheetData sheetId="13">
        <row r="7">
          <cell r="E7" t="str">
            <v>Yes</v>
          </cell>
        </row>
      </sheetData>
      <sheetData sheetId="14">
        <row r="7">
          <cell r="E7" t="str">
            <v>Yes</v>
          </cell>
        </row>
      </sheetData>
      <sheetData sheetId="15">
        <row r="7">
          <cell r="E7" t="str">
            <v>Yes</v>
          </cell>
        </row>
      </sheetData>
      <sheetData sheetId="16">
        <row r="7">
          <cell r="E7" t="str">
            <v>Yes</v>
          </cell>
        </row>
        <row r="8">
          <cell r="E8" t="str">
            <v>Yes</v>
          </cell>
        </row>
        <row r="9">
          <cell r="E9" t="str">
            <v>Yes</v>
          </cell>
        </row>
        <row r="10">
          <cell r="E10" t="str">
            <v>Yes</v>
          </cell>
        </row>
      </sheetData>
      <sheetData sheetId="17">
        <row r="7">
          <cell r="E7" t="str">
            <v>yes</v>
          </cell>
        </row>
      </sheetData>
      <sheetData sheetId="18">
        <row r="7">
          <cell r="E7" t="str">
            <v>Yes</v>
          </cell>
        </row>
      </sheetData>
      <sheetData sheetId="19">
        <row r="7">
          <cell r="E7" t="str">
            <v>Yes</v>
          </cell>
        </row>
      </sheetData>
      <sheetData sheetId="20">
        <row r="7">
          <cell r="E7" t="str">
            <v>Yes</v>
          </cell>
        </row>
      </sheetData>
      <sheetData sheetId="21">
        <row r="7">
          <cell r="E7" t="str">
            <v>Yes</v>
          </cell>
        </row>
      </sheetData>
      <sheetData sheetId="22">
        <row r="7">
          <cell r="E7" t="str">
            <v>Yes</v>
          </cell>
        </row>
      </sheetData>
      <sheetData sheetId="23">
        <row r="7">
          <cell r="E7" t="str">
            <v>Yes</v>
          </cell>
        </row>
      </sheetData>
      <sheetData sheetId="24">
        <row r="7">
          <cell r="E7" t="str">
            <v>Yes</v>
          </cell>
        </row>
      </sheetData>
      <sheetData sheetId="25">
        <row r="7">
          <cell r="E7" t="str">
            <v>Yes</v>
          </cell>
        </row>
      </sheetData>
      <sheetData sheetId="26">
        <row r="7">
          <cell r="E7" t="str">
            <v>Yes</v>
          </cell>
        </row>
      </sheetData>
      <sheetData sheetId="27">
        <row r="7">
          <cell r="E7" t="str">
            <v>Yes</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troduction"/>
      <sheetName val="Instructions"/>
      <sheetName val="Company information"/>
      <sheetName val="BR1"/>
      <sheetName val="BR2"/>
      <sheetName val="BR3"/>
      <sheetName val="BR4"/>
      <sheetName val="BR5"/>
      <sheetName val="BR6"/>
      <sheetName val="BR7"/>
      <sheetName val="BR8"/>
      <sheetName val="BR9"/>
      <sheetName val="BR10"/>
      <sheetName val="BR11"/>
      <sheetName val="BR12"/>
      <sheetName val="BP1"/>
      <sheetName val="BP2"/>
      <sheetName val="BP3"/>
      <sheetName val="BP4"/>
      <sheetName val="BP5"/>
      <sheetName val="BP6"/>
      <sheetName val="BP7"/>
      <sheetName val="BP8"/>
      <sheetName val="BP9"/>
      <sheetName val="BP10"/>
      <sheetName val="BP11"/>
      <sheetName val="BP12"/>
      <sheetName val="PC1"/>
      <sheetName val="PC2"/>
      <sheetName val="PC3"/>
      <sheetName val="PC4"/>
      <sheetName val="PC5"/>
      <sheetName val="PC6"/>
      <sheetName val="PC7"/>
      <sheetName val="PC8"/>
      <sheetName val="PC9"/>
      <sheetName val="PC10"/>
      <sheetName val="PC11"/>
      <sheetName val="PC12"/>
      <sheetName val="Summary"/>
      <sheetName val="Bank summary"/>
      <sheetName val="VAT return"/>
      <sheetName val="IR35 Calc Instructions"/>
      <sheetName val="IR35 Calculator 2003 - 04"/>
    </sheetNames>
    <sheetDataSet>
      <sheetData sheetId="0" refreshError="1"/>
      <sheetData sheetId="1" refreshError="1"/>
      <sheetData sheetId="2" refreshError="1"/>
      <sheetData sheetId="3"/>
      <sheetData sheetId="4">
        <row r="8">
          <cell r="E8" t="str">
            <v>Yes</v>
          </cell>
          <cell r="F8">
            <v>1299.55</v>
          </cell>
        </row>
        <row r="9">
          <cell r="E9" t="str">
            <v>Yes</v>
          </cell>
          <cell r="F9">
            <v>31.84</v>
          </cell>
        </row>
      </sheetData>
      <sheetData sheetId="5">
        <row r="7">
          <cell r="E7" t="str">
            <v>Yes</v>
          </cell>
          <cell r="F7">
            <v>25.34</v>
          </cell>
        </row>
      </sheetData>
      <sheetData sheetId="6">
        <row r="7">
          <cell r="E7" t="str">
            <v>Yes</v>
          </cell>
          <cell r="F7">
            <v>12.76</v>
          </cell>
        </row>
      </sheetData>
      <sheetData sheetId="7">
        <row r="7">
          <cell r="E7" t="str">
            <v>Yes</v>
          </cell>
          <cell r="F7">
            <v>9.34</v>
          </cell>
        </row>
      </sheetData>
      <sheetData sheetId="8"/>
      <sheetData sheetId="9">
        <row r="7">
          <cell r="E7" t="str">
            <v>Yes</v>
          </cell>
          <cell r="F7">
            <v>2941.85</v>
          </cell>
        </row>
        <row r="8">
          <cell r="E8" t="str">
            <v>Yes</v>
          </cell>
          <cell r="F8">
            <v>530.04999999999995</v>
          </cell>
        </row>
      </sheetData>
      <sheetData sheetId="10">
        <row r="7">
          <cell r="E7" t="str">
            <v>Yes</v>
          </cell>
          <cell r="F7">
            <v>3059.94</v>
          </cell>
        </row>
        <row r="8">
          <cell r="E8" t="str">
            <v>Yes</v>
          </cell>
          <cell r="F8">
            <v>3663.3</v>
          </cell>
        </row>
        <row r="9">
          <cell r="E9" t="str">
            <v>Yes</v>
          </cell>
          <cell r="F9">
            <v>4.21</v>
          </cell>
        </row>
      </sheetData>
      <sheetData sheetId="11">
        <row r="7">
          <cell r="E7" t="str">
            <v>Yes</v>
          </cell>
          <cell r="F7">
            <v>4800.46</v>
          </cell>
        </row>
        <row r="8">
          <cell r="E8" t="str">
            <v>Yes</v>
          </cell>
          <cell r="F8">
            <v>3036.79</v>
          </cell>
        </row>
        <row r="9">
          <cell r="E9" t="str">
            <v>Yes</v>
          </cell>
          <cell r="F9">
            <v>146.88</v>
          </cell>
        </row>
        <row r="10">
          <cell r="E10" t="str">
            <v>Yes</v>
          </cell>
          <cell r="F10">
            <v>17.95</v>
          </cell>
        </row>
      </sheetData>
      <sheetData sheetId="12">
        <row r="7">
          <cell r="E7" t="str">
            <v>Yes</v>
          </cell>
          <cell r="F7">
            <v>2958.65</v>
          </cell>
        </row>
        <row r="8">
          <cell r="E8" t="str">
            <v>Yes</v>
          </cell>
          <cell r="F8">
            <v>3057.31</v>
          </cell>
        </row>
        <row r="9">
          <cell r="E9" t="str">
            <v>Yes</v>
          </cell>
          <cell r="F9">
            <v>37.130000000000003</v>
          </cell>
        </row>
      </sheetData>
      <sheetData sheetId="13">
        <row r="7">
          <cell r="E7" t="str">
            <v>Yes</v>
          </cell>
          <cell r="F7">
            <v>1597.3</v>
          </cell>
        </row>
        <row r="8">
          <cell r="E8" t="str">
            <v>Yes</v>
          </cell>
          <cell r="F8">
            <v>8225</v>
          </cell>
        </row>
        <row r="9">
          <cell r="E9" t="str">
            <v>Yes</v>
          </cell>
          <cell r="F9">
            <v>3489.63</v>
          </cell>
        </row>
        <row r="10">
          <cell r="E10" t="str">
            <v>Yes</v>
          </cell>
          <cell r="F10">
            <v>64.069999999999993</v>
          </cell>
        </row>
      </sheetData>
      <sheetData sheetId="14">
        <row r="7">
          <cell r="E7" t="str">
            <v>Yes</v>
          </cell>
          <cell r="F7">
            <v>3.38</v>
          </cell>
        </row>
        <row r="8">
          <cell r="E8" t="str">
            <v>Yes</v>
          </cell>
          <cell r="F8">
            <v>881.25</v>
          </cell>
        </row>
        <row r="9">
          <cell r="E9" t="str">
            <v>Yes</v>
          </cell>
          <cell r="F9">
            <v>5291.26</v>
          </cell>
        </row>
        <row r="10">
          <cell r="E10" t="str">
            <v>Yes</v>
          </cell>
          <cell r="F10">
            <v>3435</v>
          </cell>
        </row>
        <row r="11">
          <cell r="E11" t="str">
            <v>Yes</v>
          </cell>
          <cell r="F11">
            <v>67.599999999999994</v>
          </cell>
        </row>
      </sheetData>
      <sheetData sheetId="15">
        <row r="7">
          <cell r="E7" t="str">
            <v>Yes</v>
          </cell>
          <cell r="F7">
            <v>3092.6</v>
          </cell>
        </row>
        <row r="8">
          <cell r="E8" t="str">
            <v>Yes</v>
          </cell>
          <cell r="F8">
            <v>4168.78</v>
          </cell>
        </row>
        <row r="9">
          <cell r="E9" t="str">
            <v>Yes</v>
          </cell>
          <cell r="F9">
            <v>1365.84</v>
          </cell>
        </row>
        <row r="10">
          <cell r="E10" t="str">
            <v>Yes</v>
          </cell>
          <cell r="F10">
            <v>41.71</v>
          </cell>
        </row>
      </sheetData>
      <sheetData sheetId="16">
        <row r="7">
          <cell r="F7">
            <v>40.200000000000003</v>
          </cell>
        </row>
        <row r="8">
          <cell r="F8">
            <v>38.49</v>
          </cell>
        </row>
        <row r="9">
          <cell r="F9">
            <v>145.4</v>
          </cell>
        </row>
        <row r="10">
          <cell r="F10">
            <v>1000</v>
          </cell>
        </row>
      </sheetData>
      <sheetData sheetId="17">
        <row r="7">
          <cell r="E7" t="str">
            <v>yes</v>
          </cell>
          <cell r="F7">
            <v>1315.5</v>
          </cell>
        </row>
        <row r="8">
          <cell r="E8" t="str">
            <v>Yes</v>
          </cell>
          <cell r="F8">
            <v>6.4</v>
          </cell>
        </row>
        <row r="9">
          <cell r="E9" t="str">
            <v>Yes</v>
          </cell>
          <cell r="F9">
            <v>925.95</v>
          </cell>
        </row>
        <row r="10">
          <cell r="E10" t="str">
            <v>Yes</v>
          </cell>
          <cell r="F10">
            <v>36.840000000000003</v>
          </cell>
        </row>
        <row r="11">
          <cell r="E11" t="str">
            <v>Yes</v>
          </cell>
          <cell r="F11">
            <v>822.29</v>
          </cell>
        </row>
        <row r="12">
          <cell r="E12" t="str">
            <v>Yes</v>
          </cell>
          <cell r="F12">
            <v>38.49</v>
          </cell>
        </row>
        <row r="13">
          <cell r="E13" t="str">
            <v>Yes</v>
          </cell>
          <cell r="F13">
            <v>139.53</v>
          </cell>
        </row>
        <row r="14">
          <cell r="E14" t="str">
            <v>Yes</v>
          </cell>
          <cell r="F14">
            <v>1000</v>
          </cell>
        </row>
      </sheetData>
      <sheetData sheetId="18">
        <row r="7">
          <cell r="E7" t="str">
            <v>Yes</v>
          </cell>
          <cell r="F7">
            <v>27.08</v>
          </cell>
        </row>
        <row r="8">
          <cell r="E8" t="str">
            <v>Yes</v>
          </cell>
          <cell r="F8">
            <v>633.05999999999995</v>
          </cell>
        </row>
        <row r="9">
          <cell r="E9" t="str">
            <v>Yes</v>
          </cell>
          <cell r="F9">
            <v>731.32</v>
          </cell>
        </row>
        <row r="10">
          <cell r="E10" t="str">
            <v>Yes</v>
          </cell>
          <cell r="F10">
            <v>35.479999999999997</v>
          </cell>
        </row>
        <row r="11">
          <cell r="E11" t="str">
            <v>Yes</v>
          </cell>
          <cell r="F11">
            <v>139.53</v>
          </cell>
        </row>
        <row r="12">
          <cell r="E12" t="str">
            <v>Yes</v>
          </cell>
          <cell r="F12">
            <v>481.75</v>
          </cell>
        </row>
        <row r="13">
          <cell r="E13" t="str">
            <v>Yes</v>
          </cell>
          <cell r="F13">
            <v>1000</v>
          </cell>
        </row>
        <row r="14">
          <cell r="E14" t="str">
            <v>Yes</v>
          </cell>
          <cell r="F14">
            <v>116.33</v>
          </cell>
        </row>
      </sheetData>
      <sheetData sheetId="19">
        <row r="7">
          <cell r="E7" t="str">
            <v>Yes</v>
          </cell>
          <cell r="F7">
            <v>40.659999999999997</v>
          </cell>
        </row>
        <row r="8">
          <cell r="E8" t="str">
            <v>Yes</v>
          </cell>
          <cell r="F8">
            <v>388.44</v>
          </cell>
        </row>
        <row r="9">
          <cell r="E9" t="str">
            <v>Yes</v>
          </cell>
          <cell r="F9">
            <v>35.479999999999997</v>
          </cell>
        </row>
        <row r="10">
          <cell r="E10" t="str">
            <v>Yes</v>
          </cell>
          <cell r="F10">
            <v>139.53</v>
          </cell>
        </row>
        <row r="11">
          <cell r="E11" t="str">
            <v>Yes</v>
          </cell>
          <cell r="F11">
            <v>708.62</v>
          </cell>
        </row>
        <row r="12">
          <cell r="E12" t="str">
            <v>Yes</v>
          </cell>
          <cell r="F12">
            <v>1000</v>
          </cell>
        </row>
      </sheetData>
      <sheetData sheetId="20">
        <row r="7">
          <cell r="E7" t="str">
            <v>Yes</v>
          </cell>
          <cell r="F7">
            <v>39.729999999999997</v>
          </cell>
        </row>
        <row r="8">
          <cell r="E8" t="str">
            <v>Yes</v>
          </cell>
          <cell r="F8">
            <v>569.29</v>
          </cell>
        </row>
        <row r="9">
          <cell r="E9" t="str">
            <v>Yes</v>
          </cell>
          <cell r="F9">
            <v>35.6</v>
          </cell>
        </row>
        <row r="10">
          <cell r="E10" t="str">
            <v>Yes</v>
          </cell>
          <cell r="F10">
            <v>139.53</v>
          </cell>
        </row>
        <row r="11">
          <cell r="E11" t="str">
            <v>Yes</v>
          </cell>
          <cell r="F11">
            <v>1000</v>
          </cell>
        </row>
      </sheetData>
      <sheetData sheetId="21">
        <row r="7">
          <cell r="E7" t="str">
            <v>Yes</v>
          </cell>
          <cell r="F7">
            <v>30.53</v>
          </cell>
        </row>
        <row r="8">
          <cell r="E8" t="str">
            <v>Yes</v>
          </cell>
          <cell r="F8">
            <v>1422.68</v>
          </cell>
        </row>
        <row r="9">
          <cell r="E9" t="str">
            <v>Yes</v>
          </cell>
          <cell r="F9">
            <v>533</v>
          </cell>
        </row>
        <row r="10">
          <cell r="E10" t="str">
            <v>Yes</v>
          </cell>
          <cell r="F10">
            <v>35.479999999999997</v>
          </cell>
        </row>
        <row r="11">
          <cell r="E11" t="str">
            <v>Yes</v>
          </cell>
          <cell r="F11">
            <v>139.53</v>
          </cell>
        </row>
        <row r="12">
          <cell r="E12" t="str">
            <v>Yes</v>
          </cell>
          <cell r="F12">
            <v>1000</v>
          </cell>
        </row>
      </sheetData>
      <sheetData sheetId="22">
        <row r="7">
          <cell r="E7" t="str">
            <v>Yes</v>
          </cell>
          <cell r="F7">
            <v>39.78</v>
          </cell>
        </row>
        <row r="8">
          <cell r="E8" t="str">
            <v>Yes</v>
          </cell>
          <cell r="F8">
            <v>441.67</v>
          </cell>
        </row>
        <row r="9">
          <cell r="E9" t="str">
            <v>Yes</v>
          </cell>
          <cell r="F9">
            <v>35.479999999999997</v>
          </cell>
        </row>
        <row r="10">
          <cell r="E10" t="str">
            <v>Yes</v>
          </cell>
          <cell r="F10">
            <v>433.99</v>
          </cell>
        </row>
        <row r="11">
          <cell r="E11" t="str">
            <v>Yes</v>
          </cell>
          <cell r="F11">
            <v>1000</v>
          </cell>
        </row>
        <row r="12">
          <cell r="E12" t="str">
            <v>yes</v>
          </cell>
          <cell r="F12">
            <v>139.53</v>
          </cell>
        </row>
      </sheetData>
      <sheetData sheetId="23">
        <row r="7">
          <cell r="E7" t="str">
            <v>Yes</v>
          </cell>
          <cell r="F7">
            <v>3.2</v>
          </cell>
        </row>
        <row r="8">
          <cell r="E8" t="str">
            <v>Yes</v>
          </cell>
          <cell r="F8">
            <v>333</v>
          </cell>
        </row>
        <row r="9">
          <cell r="E9" t="str">
            <v>Yes</v>
          </cell>
          <cell r="F9">
            <v>35.479999999999997</v>
          </cell>
        </row>
        <row r="10">
          <cell r="E10" t="str">
            <v>Yes</v>
          </cell>
          <cell r="F10">
            <v>139.53</v>
          </cell>
        </row>
        <row r="11">
          <cell r="E11" t="str">
            <v>Yes</v>
          </cell>
          <cell r="F11">
            <v>1000</v>
          </cell>
        </row>
      </sheetData>
      <sheetData sheetId="24">
        <row r="7">
          <cell r="E7" t="str">
            <v>Yes</v>
          </cell>
          <cell r="F7">
            <v>152</v>
          </cell>
        </row>
        <row r="8">
          <cell r="E8" t="str">
            <v>Yes</v>
          </cell>
          <cell r="F8">
            <v>36.17</v>
          </cell>
        </row>
        <row r="9">
          <cell r="E9" t="str">
            <v>Yes</v>
          </cell>
          <cell r="F9">
            <v>1771.06</v>
          </cell>
        </row>
        <row r="10">
          <cell r="E10" t="str">
            <v>Yes</v>
          </cell>
          <cell r="F10">
            <v>750.69</v>
          </cell>
        </row>
        <row r="11">
          <cell r="E11" t="str">
            <v>Yes</v>
          </cell>
          <cell r="F11">
            <v>32.549999999999997</v>
          </cell>
        </row>
        <row r="12">
          <cell r="E12" t="str">
            <v>Yes</v>
          </cell>
          <cell r="F12">
            <v>1612.37</v>
          </cell>
        </row>
        <row r="13">
          <cell r="E13" t="str">
            <v>Yes</v>
          </cell>
          <cell r="F13">
            <v>35.479999999999997</v>
          </cell>
        </row>
        <row r="14">
          <cell r="E14" t="str">
            <v>Yes</v>
          </cell>
          <cell r="F14">
            <v>139.53</v>
          </cell>
        </row>
        <row r="15">
          <cell r="E15" t="str">
            <v>Yes</v>
          </cell>
          <cell r="F15">
            <v>1000</v>
          </cell>
        </row>
      </sheetData>
      <sheetData sheetId="25">
        <row r="7">
          <cell r="E7" t="str">
            <v>Yes</v>
          </cell>
          <cell r="F7">
            <v>46.93</v>
          </cell>
        </row>
        <row r="8">
          <cell r="E8" t="str">
            <v>Yes</v>
          </cell>
          <cell r="F8">
            <v>716.05</v>
          </cell>
        </row>
        <row r="9">
          <cell r="E9" t="str">
            <v>Yes</v>
          </cell>
          <cell r="F9">
            <v>95</v>
          </cell>
        </row>
        <row r="10">
          <cell r="E10" t="str">
            <v>Yes</v>
          </cell>
          <cell r="F10">
            <v>35.479999999999997</v>
          </cell>
        </row>
        <row r="11">
          <cell r="E11" t="str">
            <v>Yes</v>
          </cell>
          <cell r="F11">
            <v>139.53</v>
          </cell>
        </row>
        <row r="12">
          <cell r="E12" t="str">
            <v>Yes</v>
          </cell>
          <cell r="F12">
            <v>2572</v>
          </cell>
        </row>
        <row r="13">
          <cell r="E13" t="str">
            <v>Yes</v>
          </cell>
          <cell r="F13">
            <v>1000</v>
          </cell>
        </row>
      </sheetData>
      <sheetData sheetId="26">
        <row r="7">
          <cell r="E7" t="str">
            <v>Yes</v>
          </cell>
          <cell r="F7">
            <v>132.18</v>
          </cell>
        </row>
        <row r="8">
          <cell r="E8" t="str">
            <v>Yes</v>
          </cell>
          <cell r="F8">
            <v>1279.5</v>
          </cell>
        </row>
        <row r="9">
          <cell r="E9" t="str">
            <v>Yes</v>
          </cell>
          <cell r="F9">
            <v>49.13</v>
          </cell>
        </row>
        <row r="10">
          <cell r="E10" t="str">
            <v>Yes</v>
          </cell>
          <cell r="F10">
            <v>35.6</v>
          </cell>
        </row>
        <row r="11">
          <cell r="E11" t="str">
            <v>Yes</v>
          </cell>
          <cell r="F11">
            <v>139.53</v>
          </cell>
        </row>
        <row r="12">
          <cell r="E12" t="str">
            <v>Yes</v>
          </cell>
          <cell r="F12">
            <v>1000</v>
          </cell>
        </row>
      </sheetData>
      <sheetData sheetId="27">
        <row r="7">
          <cell r="E7" t="str">
            <v>Yes</v>
          </cell>
          <cell r="F7">
            <v>10000</v>
          </cell>
        </row>
        <row r="8">
          <cell r="E8" t="str">
            <v>Yes</v>
          </cell>
          <cell r="F8">
            <v>1771.06</v>
          </cell>
        </row>
        <row r="9">
          <cell r="E9" t="str">
            <v>Yes</v>
          </cell>
          <cell r="F9">
            <v>1767.81</v>
          </cell>
        </row>
        <row r="10">
          <cell r="E10" t="str">
            <v>Yes</v>
          </cell>
          <cell r="F10">
            <v>51.24</v>
          </cell>
        </row>
        <row r="11">
          <cell r="E11" t="str">
            <v>Yes</v>
          </cell>
          <cell r="F11">
            <v>70</v>
          </cell>
        </row>
        <row r="12">
          <cell r="E12" t="str">
            <v>Yes</v>
          </cell>
          <cell r="F12">
            <v>10000</v>
          </cell>
        </row>
        <row r="13">
          <cell r="E13" t="str">
            <v>Yes</v>
          </cell>
          <cell r="F13">
            <v>413.62</v>
          </cell>
        </row>
        <row r="14">
          <cell r="E14" t="str">
            <v>Yes</v>
          </cell>
          <cell r="F14">
            <v>35.479999999999997</v>
          </cell>
        </row>
        <row r="15">
          <cell r="E15" t="str">
            <v>Yes</v>
          </cell>
          <cell r="F15">
            <v>37.6</v>
          </cell>
        </row>
        <row r="16">
          <cell r="E16" t="str">
            <v>Yes</v>
          </cell>
          <cell r="F16">
            <v>139.53</v>
          </cell>
        </row>
        <row r="17">
          <cell r="E17" t="str">
            <v>Yes</v>
          </cell>
          <cell r="F17">
            <v>1000</v>
          </cell>
        </row>
        <row r="18">
          <cell r="E18" t="str">
            <v>No</v>
          </cell>
          <cell r="F18">
            <v>303.20999999999998</v>
          </cell>
        </row>
        <row r="19">
          <cell r="E19" t="str">
            <v>No</v>
          </cell>
          <cell r="F19">
            <v>3943.25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troduction"/>
      <sheetName val="Instructions"/>
      <sheetName val="Company information"/>
      <sheetName val="BR1"/>
      <sheetName val="BR2"/>
      <sheetName val="BR3"/>
      <sheetName val="BR4"/>
      <sheetName val="BR5"/>
      <sheetName val="BR6"/>
      <sheetName val="BR7"/>
      <sheetName val="BR8"/>
      <sheetName val="BR9"/>
      <sheetName val="BR10"/>
      <sheetName val="BR11"/>
      <sheetName val="BR12"/>
      <sheetName val="BP1"/>
      <sheetName val="BP2"/>
      <sheetName val="BP3"/>
      <sheetName val="BP4"/>
      <sheetName val="BP5"/>
      <sheetName val="BP6"/>
      <sheetName val="BP7"/>
      <sheetName val="BP8"/>
      <sheetName val="BP9"/>
      <sheetName val="BP10"/>
      <sheetName val="BP11"/>
      <sheetName val="BP12"/>
      <sheetName val="PC1"/>
      <sheetName val="PC2"/>
      <sheetName val="PC3"/>
      <sheetName val="PC4"/>
      <sheetName val="PC5"/>
      <sheetName val="PC6"/>
      <sheetName val="PC7"/>
      <sheetName val="PC8"/>
      <sheetName val="PC9"/>
      <sheetName val="PC10"/>
      <sheetName val="PC11"/>
      <sheetName val="PC12"/>
      <sheetName val="Summary"/>
      <sheetName val="Bank summary"/>
      <sheetName val="VAT return"/>
      <sheetName val="IR35 Calc Instructions"/>
      <sheetName val="IR35 Calculator 2003 - 04"/>
    </sheetNames>
    <sheetDataSet>
      <sheetData sheetId="0" refreshError="1"/>
      <sheetData sheetId="1" refreshError="1"/>
      <sheetData sheetId="2" refreshError="1"/>
      <sheetData sheetId="3"/>
      <sheetData sheetId="4">
        <row r="8">
          <cell r="E8" t="str">
            <v>Yes</v>
          </cell>
          <cell r="F8">
            <v>1299.55</v>
          </cell>
        </row>
        <row r="9">
          <cell r="E9" t="str">
            <v>Yes</v>
          </cell>
          <cell r="F9">
            <v>31.84</v>
          </cell>
        </row>
      </sheetData>
      <sheetData sheetId="5">
        <row r="7">
          <cell r="E7" t="str">
            <v>Yes</v>
          </cell>
          <cell r="F7">
            <v>25.34</v>
          </cell>
        </row>
      </sheetData>
      <sheetData sheetId="6">
        <row r="7">
          <cell r="E7" t="str">
            <v>Yes</v>
          </cell>
          <cell r="F7">
            <v>12.76</v>
          </cell>
        </row>
      </sheetData>
      <sheetData sheetId="7">
        <row r="7">
          <cell r="E7" t="str">
            <v>Yes</v>
          </cell>
          <cell r="F7">
            <v>9.34</v>
          </cell>
        </row>
      </sheetData>
      <sheetData sheetId="8"/>
      <sheetData sheetId="9">
        <row r="7">
          <cell r="E7" t="str">
            <v>Yes</v>
          </cell>
          <cell r="F7">
            <v>2941.85</v>
          </cell>
        </row>
        <row r="8">
          <cell r="E8" t="str">
            <v>Yes</v>
          </cell>
          <cell r="F8">
            <v>530.04999999999995</v>
          </cell>
        </row>
      </sheetData>
      <sheetData sheetId="10">
        <row r="7">
          <cell r="E7" t="str">
            <v>Yes</v>
          </cell>
          <cell r="F7">
            <v>3059.94</v>
          </cell>
        </row>
        <row r="8">
          <cell r="E8" t="str">
            <v>Yes</v>
          </cell>
          <cell r="F8">
            <v>3663.3</v>
          </cell>
        </row>
        <row r="9">
          <cell r="E9" t="str">
            <v>Yes</v>
          </cell>
          <cell r="F9">
            <v>4.21</v>
          </cell>
        </row>
      </sheetData>
      <sheetData sheetId="11">
        <row r="7">
          <cell r="E7" t="str">
            <v>Yes</v>
          </cell>
          <cell r="F7">
            <v>4800.46</v>
          </cell>
        </row>
        <row r="8">
          <cell r="E8" t="str">
            <v>Yes</v>
          </cell>
          <cell r="F8">
            <v>3036.79</v>
          </cell>
        </row>
        <row r="9">
          <cell r="E9" t="str">
            <v>Yes</v>
          </cell>
          <cell r="F9">
            <v>146.88</v>
          </cell>
        </row>
        <row r="10">
          <cell r="E10" t="str">
            <v>Yes</v>
          </cell>
          <cell r="F10">
            <v>17.95</v>
          </cell>
        </row>
      </sheetData>
      <sheetData sheetId="12">
        <row r="7">
          <cell r="E7" t="str">
            <v>Yes</v>
          </cell>
          <cell r="F7">
            <v>2958.65</v>
          </cell>
        </row>
        <row r="8">
          <cell r="E8" t="str">
            <v>Yes</v>
          </cell>
          <cell r="F8">
            <v>3057.31</v>
          </cell>
        </row>
        <row r="9">
          <cell r="E9" t="str">
            <v>Yes</v>
          </cell>
          <cell r="F9">
            <v>37.130000000000003</v>
          </cell>
        </row>
      </sheetData>
      <sheetData sheetId="13">
        <row r="7">
          <cell r="E7" t="str">
            <v>Yes</v>
          </cell>
          <cell r="F7">
            <v>1597.3</v>
          </cell>
        </row>
        <row r="8">
          <cell r="E8" t="str">
            <v>Yes</v>
          </cell>
          <cell r="F8">
            <v>8225</v>
          </cell>
        </row>
        <row r="9">
          <cell r="E9" t="str">
            <v>Yes</v>
          </cell>
          <cell r="F9">
            <v>3489.63</v>
          </cell>
        </row>
        <row r="10">
          <cell r="E10" t="str">
            <v>Yes</v>
          </cell>
          <cell r="F10">
            <v>64.069999999999993</v>
          </cell>
        </row>
      </sheetData>
      <sheetData sheetId="14">
        <row r="7">
          <cell r="E7" t="str">
            <v>Yes</v>
          </cell>
          <cell r="F7">
            <v>3.38</v>
          </cell>
        </row>
        <row r="8">
          <cell r="E8" t="str">
            <v>Yes</v>
          </cell>
          <cell r="F8">
            <v>881.25</v>
          </cell>
        </row>
        <row r="9">
          <cell r="E9" t="str">
            <v>Yes</v>
          </cell>
          <cell r="F9">
            <v>5291.26</v>
          </cell>
        </row>
        <row r="10">
          <cell r="E10" t="str">
            <v>Yes</v>
          </cell>
          <cell r="F10">
            <v>3435</v>
          </cell>
        </row>
        <row r="11">
          <cell r="E11" t="str">
            <v>Yes</v>
          </cell>
          <cell r="F11">
            <v>67.599999999999994</v>
          </cell>
        </row>
      </sheetData>
      <sheetData sheetId="15">
        <row r="7">
          <cell r="E7" t="str">
            <v>Yes</v>
          </cell>
          <cell r="F7">
            <v>3092.6</v>
          </cell>
        </row>
        <row r="8">
          <cell r="E8" t="str">
            <v>Yes</v>
          </cell>
          <cell r="F8">
            <v>4168.78</v>
          </cell>
        </row>
        <row r="9">
          <cell r="E9" t="str">
            <v>Yes</v>
          </cell>
          <cell r="F9">
            <v>1365.84</v>
          </cell>
        </row>
        <row r="10">
          <cell r="E10" t="str">
            <v>Yes</v>
          </cell>
          <cell r="F10">
            <v>41.71</v>
          </cell>
        </row>
      </sheetData>
      <sheetData sheetId="16">
        <row r="7">
          <cell r="F7">
            <v>40.200000000000003</v>
          </cell>
        </row>
        <row r="8">
          <cell r="F8">
            <v>38.49</v>
          </cell>
        </row>
        <row r="9">
          <cell r="F9">
            <v>145.4</v>
          </cell>
        </row>
        <row r="10">
          <cell r="F10">
            <v>1000</v>
          </cell>
        </row>
      </sheetData>
      <sheetData sheetId="17">
        <row r="7">
          <cell r="E7" t="str">
            <v>yes</v>
          </cell>
          <cell r="F7">
            <v>1315.5</v>
          </cell>
        </row>
        <row r="8">
          <cell r="E8" t="str">
            <v>Yes</v>
          </cell>
          <cell r="F8">
            <v>6.4</v>
          </cell>
        </row>
        <row r="9">
          <cell r="E9" t="str">
            <v>Yes</v>
          </cell>
          <cell r="F9">
            <v>925.95</v>
          </cell>
        </row>
        <row r="10">
          <cell r="E10" t="str">
            <v>Yes</v>
          </cell>
          <cell r="F10">
            <v>36.840000000000003</v>
          </cell>
        </row>
        <row r="11">
          <cell r="E11" t="str">
            <v>Yes</v>
          </cell>
          <cell r="F11">
            <v>822.29</v>
          </cell>
        </row>
        <row r="12">
          <cell r="E12" t="str">
            <v>Yes</v>
          </cell>
          <cell r="F12">
            <v>38.49</v>
          </cell>
        </row>
        <row r="13">
          <cell r="E13" t="str">
            <v>Yes</v>
          </cell>
          <cell r="F13">
            <v>139.53</v>
          </cell>
        </row>
        <row r="14">
          <cell r="E14" t="str">
            <v>Yes</v>
          </cell>
          <cell r="F14">
            <v>1000</v>
          </cell>
        </row>
      </sheetData>
      <sheetData sheetId="18">
        <row r="7">
          <cell r="E7" t="str">
            <v>Yes</v>
          </cell>
          <cell r="F7">
            <v>27.08</v>
          </cell>
        </row>
        <row r="8">
          <cell r="E8" t="str">
            <v>Yes</v>
          </cell>
          <cell r="F8">
            <v>633.05999999999995</v>
          </cell>
        </row>
        <row r="9">
          <cell r="E9" t="str">
            <v>Yes</v>
          </cell>
          <cell r="F9">
            <v>731.32</v>
          </cell>
        </row>
        <row r="10">
          <cell r="E10" t="str">
            <v>Yes</v>
          </cell>
          <cell r="F10">
            <v>35.479999999999997</v>
          </cell>
        </row>
        <row r="11">
          <cell r="E11" t="str">
            <v>Yes</v>
          </cell>
          <cell r="F11">
            <v>139.53</v>
          </cell>
        </row>
        <row r="12">
          <cell r="E12" t="str">
            <v>Yes</v>
          </cell>
          <cell r="F12">
            <v>481.75</v>
          </cell>
        </row>
        <row r="13">
          <cell r="E13" t="str">
            <v>Yes</v>
          </cell>
          <cell r="F13">
            <v>1000</v>
          </cell>
        </row>
        <row r="14">
          <cell r="E14" t="str">
            <v>Yes</v>
          </cell>
          <cell r="F14">
            <v>116.33</v>
          </cell>
        </row>
      </sheetData>
      <sheetData sheetId="19">
        <row r="7">
          <cell r="E7" t="str">
            <v>Yes</v>
          </cell>
          <cell r="F7">
            <v>40.659999999999997</v>
          </cell>
        </row>
        <row r="8">
          <cell r="E8" t="str">
            <v>Yes</v>
          </cell>
          <cell r="F8">
            <v>388.44</v>
          </cell>
        </row>
        <row r="9">
          <cell r="E9" t="str">
            <v>Yes</v>
          </cell>
          <cell r="F9">
            <v>35.479999999999997</v>
          </cell>
        </row>
        <row r="10">
          <cell r="E10" t="str">
            <v>Yes</v>
          </cell>
          <cell r="F10">
            <v>139.53</v>
          </cell>
        </row>
        <row r="11">
          <cell r="E11" t="str">
            <v>Yes</v>
          </cell>
          <cell r="F11">
            <v>708.62</v>
          </cell>
        </row>
        <row r="12">
          <cell r="E12" t="str">
            <v>Yes</v>
          </cell>
          <cell r="F12">
            <v>1000</v>
          </cell>
        </row>
      </sheetData>
      <sheetData sheetId="20">
        <row r="7">
          <cell r="E7" t="str">
            <v>Yes</v>
          </cell>
          <cell r="F7">
            <v>39.729999999999997</v>
          </cell>
        </row>
        <row r="8">
          <cell r="E8" t="str">
            <v>Yes</v>
          </cell>
          <cell r="F8">
            <v>569.29</v>
          </cell>
        </row>
        <row r="9">
          <cell r="E9" t="str">
            <v>Yes</v>
          </cell>
          <cell r="F9">
            <v>35.6</v>
          </cell>
        </row>
        <row r="10">
          <cell r="E10" t="str">
            <v>Yes</v>
          </cell>
          <cell r="F10">
            <v>139.53</v>
          </cell>
        </row>
        <row r="11">
          <cell r="E11" t="str">
            <v>Yes</v>
          </cell>
          <cell r="F11">
            <v>1000</v>
          </cell>
        </row>
      </sheetData>
      <sheetData sheetId="21">
        <row r="7">
          <cell r="E7" t="str">
            <v>Yes</v>
          </cell>
          <cell r="F7">
            <v>30.53</v>
          </cell>
        </row>
        <row r="8">
          <cell r="E8" t="str">
            <v>Yes</v>
          </cell>
          <cell r="F8">
            <v>1422.68</v>
          </cell>
        </row>
        <row r="9">
          <cell r="E9" t="str">
            <v>Yes</v>
          </cell>
          <cell r="F9">
            <v>533</v>
          </cell>
        </row>
        <row r="10">
          <cell r="E10" t="str">
            <v>Yes</v>
          </cell>
          <cell r="F10">
            <v>35.479999999999997</v>
          </cell>
        </row>
        <row r="11">
          <cell r="E11" t="str">
            <v>Yes</v>
          </cell>
          <cell r="F11">
            <v>139.53</v>
          </cell>
        </row>
        <row r="12">
          <cell r="E12" t="str">
            <v>Yes</v>
          </cell>
          <cell r="F12">
            <v>1000</v>
          </cell>
        </row>
      </sheetData>
      <sheetData sheetId="22">
        <row r="7">
          <cell r="E7" t="str">
            <v>Yes</v>
          </cell>
          <cell r="F7">
            <v>39.78</v>
          </cell>
        </row>
        <row r="8">
          <cell r="E8" t="str">
            <v>Yes</v>
          </cell>
          <cell r="F8">
            <v>441.67</v>
          </cell>
        </row>
        <row r="9">
          <cell r="E9" t="str">
            <v>Yes</v>
          </cell>
          <cell r="F9">
            <v>35.479999999999997</v>
          </cell>
        </row>
        <row r="10">
          <cell r="E10" t="str">
            <v>Yes</v>
          </cell>
          <cell r="F10">
            <v>433.99</v>
          </cell>
        </row>
        <row r="11">
          <cell r="E11" t="str">
            <v>Yes</v>
          </cell>
          <cell r="F11">
            <v>1000</v>
          </cell>
        </row>
        <row r="12">
          <cell r="E12" t="str">
            <v>yes</v>
          </cell>
          <cell r="F12">
            <v>139.53</v>
          </cell>
        </row>
      </sheetData>
      <sheetData sheetId="23">
        <row r="7">
          <cell r="E7" t="str">
            <v>Yes</v>
          </cell>
          <cell r="F7">
            <v>3.2</v>
          </cell>
        </row>
        <row r="8">
          <cell r="E8" t="str">
            <v>Yes</v>
          </cell>
          <cell r="F8">
            <v>333</v>
          </cell>
        </row>
        <row r="9">
          <cell r="E9" t="str">
            <v>Yes</v>
          </cell>
          <cell r="F9">
            <v>35.479999999999997</v>
          </cell>
        </row>
        <row r="10">
          <cell r="E10" t="str">
            <v>Yes</v>
          </cell>
          <cell r="F10">
            <v>139.53</v>
          </cell>
        </row>
        <row r="11">
          <cell r="E11" t="str">
            <v>Yes</v>
          </cell>
          <cell r="F11">
            <v>1000</v>
          </cell>
        </row>
      </sheetData>
      <sheetData sheetId="24">
        <row r="7">
          <cell r="E7" t="str">
            <v>Yes</v>
          </cell>
          <cell r="F7">
            <v>152</v>
          </cell>
        </row>
        <row r="8">
          <cell r="E8" t="str">
            <v>Yes</v>
          </cell>
          <cell r="F8">
            <v>36.17</v>
          </cell>
        </row>
        <row r="9">
          <cell r="E9" t="str">
            <v>Yes</v>
          </cell>
          <cell r="F9">
            <v>1771.06</v>
          </cell>
        </row>
        <row r="10">
          <cell r="E10" t="str">
            <v>Yes</v>
          </cell>
          <cell r="F10">
            <v>750.69</v>
          </cell>
        </row>
        <row r="11">
          <cell r="E11" t="str">
            <v>Yes</v>
          </cell>
          <cell r="F11">
            <v>32.549999999999997</v>
          </cell>
        </row>
        <row r="12">
          <cell r="E12" t="str">
            <v>Yes</v>
          </cell>
          <cell r="F12">
            <v>1612.37</v>
          </cell>
        </row>
        <row r="13">
          <cell r="E13" t="str">
            <v>Yes</v>
          </cell>
          <cell r="F13">
            <v>35.479999999999997</v>
          </cell>
        </row>
        <row r="14">
          <cell r="E14" t="str">
            <v>Yes</v>
          </cell>
          <cell r="F14">
            <v>139.53</v>
          </cell>
        </row>
        <row r="15">
          <cell r="E15" t="str">
            <v>Yes</v>
          </cell>
          <cell r="F15">
            <v>1000</v>
          </cell>
        </row>
      </sheetData>
      <sheetData sheetId="25">
        <row r="7">
          <cell r="E7" t="str">
            <v>Yes</v>
          </cell>
          <cell r="F7">
            <v>46.93</v>
          </cell>
        </row>
        <row r="8">
          <cell r="E8" t="str">
            <v>Yes</v>
          </cell>
          <cell r="F8">
            <v>716.05</v>
          </cell>
        </row>
        <row r="9">
          <cell r="E9" t="str">
            <v>Yes</v>
          </cell>
          <cell r="F9">
            <v>95</v>
          </cell>
        </row>
        <row r="10">
          <cell r="E10" t="str">
            <v>Yes</v>
          </cell>
          <cell r="F10">
            <v>35.479999999999997</v>
          </cell>
        </row>
        <row r="11">
          <cell r="E11" t="str">
            <v>Yes</v>
          </cell>
          <cell r="F11">
            <v>139.53</v>
          </cell>
        </row>
        <row r="12">
          <cell r="E12" t="str">
            <v>Yes</v>
          </cell>
          <cell r="F12">
            <v>2572</v>
          </cell>
        </row>
        <row r="13">
          <cell r="E13" t="str">
            <v>Yes</v>
          </cell>
          <cell r="F13">
            <v>1000</v>
          </cell>
        </row>
      </sheetData>
      <sheetData sheetId="26">
        <row r="7">
          <cell r="E7" t="str">
            <v>Yes</v>
          </cell>
          <cell r="F7">
            <v>132.18</v>
          </cell>
        </row>
        <row r="8">
          <cell r="E8" t="str">
            <v>Yes</v>
          </cell>
          <cell r="F8">
            <v>1279.5</v>
          </cell>
        </row>
        <row r="9">
          <cell r="E9" t="str">
            <v>Yes</v>
          </cell>
          <cell r="F9">
            <v>49.13</v>
          </cell>
        </row>
        <row r="10">
          <cell r="E10" t="str">
            <v>Yes</v>
          </cell>
          <cell r="F10">
            <v>35.6</v>
          </cell>
        </row>
        <row r="11">
          <cell r="E11" t="str">
            <v>Yes</v>
          </cell>
          <cell r="F11">
            <v>139.53</v>
          </cell>
        </row>
        <row r="12">
          <cell r="E12" t="str">
            <v>Yes</v>
          </cell>
          <cell r="F12">
            <v>1000</v>
          </cell>
        </row>
      </sheetData>
      <sheetData sheetId="27">
        <row r="7">
          <cell r="E7" t="str">
            <v>Yes</v>
          </cell>
          <cell r="F7">
            <v>10000</v>
          </cell>
        </row>
        <row r="8">
          <cell r="E8" t="str">
            <v>Yes</v>
          </cell>
          <cell r="F8">
            <v>1771.06</v>
          </cell>
        </row>
        <row r="9">
          <cell r="E9" t="str">
            <v>Yes</v>
          </cell>
          <cell r="F9">
            <v>1767.81</v>
          </cell>
        </row>
        <row r="10">
          <cell r="E10" t="str">
            <v>Yes</v>
          </cell>
          <cell r="F10">
            <v>51.24</v>
          </cell>
        </row>
        <row r="11">
          <cell r="E11" t="str">
            <v>Yes</v>
          </cell>
          <cell r="F11">
            <v>70</v>
          </cell>
        </row>
        <row r="12">
          <cell r="E12" t="str">
            <v>Yes</v>
          </cell>
          <cell r="F12">
            <v>10000</v>
          </cell>
        </row>
        <row r="13">
          <cell r="E13" t="str">
            <v>Yes</v>
          </cell>
          <cell r="F13">
            <v>413.62</v>
          </cell>
        </row>
        <row r="14">
          <cell r="E14" t="str">
            <v>Yes</v>
          </cell>
          <cell r="F14">
            <v>35.479999999999997</v>
          </cell>
        </row>
        <row r="15">
          <cell r="E15" t="str">
            <v>Yes</v>
          </cell>
          <cell r="F15">
            <v>37.6</v>
          </cell>
        </row>
        <row r="16">
          <cell r="E16" t="str">
            <v>Yes</v>
          </cell>
          <cell r="F16">
            <v>139.53</v>
          </cell>
        </row>
        <row r="17">
          <cell r="E17" t="str">
            <v>Yes</v>
          </cell>
          <cell r="F17">
            <v>1000</v>
          </cell>
        </row>
        <row r="18">
          <cell r="E18" t="str">
            <v>No</v>
          </cell>
          <cell r="F18">
            <v>303.20999999999998</v>
          </cell>
        </row>
        <row r="19">
          <cell r="E19" t="str">
            <v>No</v>
          </cell>
          <cell r="F19">
            <v>3943.25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Report Setup Sheet"/>
      <sheetName val="Business Summary Financial"/>
      <sheetName val="Unit Breakup"/>
      <sheetName val="Segment"/>
      <sheetName val="Ughai"/>
      <sheetName val="KPM"/>
      <sheetName val="Project Progress"/>
      <sheetName val="Initiative Progress"/>
      <sheetName val="Business Position Paper"/>
      <sheetName val="Consolidated Business"/>
      <sheetName val="Unit1"/>
      <sheetName val="Unit2"/>
      <sheetName val="Unit3"/>
      <sheetName val="Unit4"/>
      <sheetName val="Unit5"/>
      <sheetName val="Unit6"/>
      <sheetName val="Unit7"/>
      <sheetName val="Unit8"/>
      <sheetName val="Unit9"/>
      <sheetName val="Unit10"/>
      <sheetName val="Unit11"/>
      <sheetName val="Unit12"/>
      <sheetName val="Unit13"/>
      <sheetName val="Unit14"/>
      <sheetName val="Unit15"/>
      <sheetName val="Report_Setup_Sheet1"/>
      <sheetName val="Business_Summary_Financial1"/>
      <sheetName val="Unit_Breakup1"/>
      <sheetName val="Project_Progress1"/>
      <sheetName val="Initiative_Progress1"/>
      <sheetName val="Business_Position_Paper1"/>
      <sheetName val="Consolidated_Business1"/>
      <sheetName val="Report_Setup_Sheet"/>
      <sheetName val="Business_Summary_Financial"/>
      <sheetName val="Unit_Breakup"/>
      <sheetName val="Project_Progress"/>
      <sheetName val="Initiative_Progress"/>
      <sheetName val="Business_Position_Paper"/>
      <sheetName val="Consolidated_Business"/>
      <sheetName val="Masters"/>
      <sheetName val="bloomberg Data"/>
      <sheetName val="Working"/>
      <sheetName val="FG"/>
      <sheetName val="Input"/>
      <sheetName val="Valuation"/>
      <sheetName val="IRR"/>
      <sheetName val="Assumptions"/>
      <sheetName val="Detail Grouping"/>
      <sheetName val="LEDGER"/>
      <sheetName val="COA-IPCL"/>
      <sheetName val="Report_Setup_Sheet2"/>
      <sheetName val="Business_Summary_Financial2"/>
      <sheetName val="Unit_Breakup2"/>
      <sheetName val="Project_Progress2"/>
      <sheetName val="Initiative_Progress2"/>
      <sheetName val="Business_Position_Paper2"/>
      <sheetName val="Consolidated_Business2"/>
      <sheetName val="bloomberg_Data"/>
      <sheetName val="Detail_Grouping"/>
    </sheetNames>
    <sheetDataSet>
      <sheetData sheetId="0" refreshError="1"/>
      <sheetData sheetId="1" refreshError="1">
        <row r="50">
          <cell r="B50" t="str">
            <v>Carbon Black</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0">
          <cell r="B50" t="str">
            <v>Carbon Black</v>
          </cell>
        </row>
      </sheetData>
      <sheetData sheetId="27"/>
      <sheetData sheetId="28"/>
      <sheetData sheetId="29"/>
      <sheetData sheetId="30"/>
      <sheetData sheetId="31"/>
      <sheetData sheetId="32"/>
      <sheetData sheetId="33">
        <row r="50">
          <cell r="B50" t="str">
            <v>Carbon Black</v>
          </cell>
        </row>
      </sheetData>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50">
          <cell r="B50" t="str">
            <v>Carbon Black</v>
          </cell>
        </row>
      </sheetData>
      <sheetData sheetId="52"/>
      <sheetData sheetId="53"/>
      <sheetData sheetId="54"/>
      <sheetData sheetId="55"/>
      <sheetData sheetId="56"/>
      <sheetData sheetId="57"/>
      <sheetData sheetId="58"/>
      <sheetData sheetId="5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P&amp;L"/>
      <sheetName val="BS"/>
      <sheetName val="Cash Flow"/>
      <sheetName val="Stks"/>
      <sheetName val="Stk Stm"/>
      <sheetName val="CPC"/>
      <sheetName val="PwPf-Company"/>
      <sheetName val="Manu Exp-Co"/>
      <sheetName val="S&amp;D-Co"/>
      <sheetName val="Admin Exp-Co"/>
      <sheetName val="Salary"/>
      <sheetName val="PwPf-Depot"/>
      <sheetName val="S&amp;D-Oh"/>
      <sheetName val="S&amp;D-Sales"/>
      <sheetName val="Field Staff"/>
      <sheetName val="R&amp;D-Exp"/>
      <sheetName val="Factory"/>
      <sheetName val="Costing"/>
      <sheetName val="Factory-OH"/>
      <sheetName val="Wages"/>
      <sheetName val="Out-Std"/>
      <sheetName val="Cost Os"/>
      <sheetName val="capax summ"/>
      <sheetName val="projec_detail"/>
      <sheetName val="control cwip"/>
      <sheetName val="Csa Inv"/>
      <sheetName val="R&amp;D"/>
      <sheetName val="Advt"/>
      <sheetName val="NPC-CPC"/>
      <sheetName val="State Summ"/>
      <sheetName val="Unit Summ"/>
      <sheetName val="State Vol"/>
      <sheetName val="Volumes"/>
      <sheetName val="Cash_Flow1"/>
      <sheetName val="Stk_Stm1"/>
      <sheetName val="Manu_Exp-Co1"/>
      <sheetName val="Admin_Exp-Co1"/>
      <sheetName val="Field_Staff1"/>
      <sheetName val="Cost_Os1"/>
      <sheetName val="capax_summ1"/>
      <sheetName val="control_cwip1"/>
      <sheetName val="Csa_Inv1"/>
      <sheetName val="State_Summ1"/>
      <sheetName val="Unit_Summ1"/>
      <sheetName val="State_Vol1"/>
      <sheetName val="Cash_Flow"/>
      <sheetName val="Stk_Stm"/>
      <sheetName val="Manu_Exp-Co"/>
      <sheetName val="Admin_Exp-Co"/>
      <sheetName val="Field_Staff"/>
      <sheetName val="Cost_Os"/>
      <sheetName val="capax_summ"/>
      <sheetName val="control_cwip"/>
      <sheetName val="Csa_Inv"/>
      <sheetName val="State_Summ"/>
      <sheetName val="Unit_Summ"/>
      <sheetName val="State_Vol"/>
      <sheetName val="Cash_Flow2"/>
      <sheetName val="Stk_Stm2"/>
      <sheetName val="Manu_Exp-Co2"/>
      <sheetName val="Admin_Exp-Co2"/>
      <sheetName val="Field_Staff2"/>
      <sheetName val="Cost_Os2"/>
      <sheetName val="capax_summ2"/>
      <sheetName val="control_cwip2"/>
      <sheetName val="Csa_Inv2"/>
      <sheetName val="State_Summ2"/>
      <sheetName val="Unit_Summ2"/>
      <sheetName val="State_Vo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s>
    <sheetDataSet>
      <sheetData sheetId="0" refreshError="1"/>
      <sheetData sheetId="1" refreshError="1"/>
      <sheetData sheetId="2">
        <row r="7">
          <cell r="A7">
            <v>1</v>
          </cell>
          <cell r="B7" t="str">
            <v>94C</v>
          </cell>
          <cell r="C7">
            <v>13711</v>
          </cell>
          <cell r="D7">
            <v>0</v>
          </cell>
          <cell r="E7">
            <v>0</v>
          </cell>
          <cell r="F7">
            <v>0</v>
          </cell>
          <cell r="G7">
            <v>0</v>
          </cell>
          <cell r="I7">
            <v>13711</v>
          </cell>
          <cell r="J7" t="str">
            <v>0</v>
          </cell>
          <cell r="L7">
            <v>533</v>
          </cell>
          <cell r="N7">
            <v>39094</v>
          </cell>
          <cell r="P7">
            <v>58</v>
          </cell>
          <cell r="Q7" t="str">
            <v>No</v>
          </cell>
          <cell r="R7">
            <v>0</v>
          </cell>
          <cell r="S7">
            <v>0</v>
          </cell>
        </row>
        <row r="8">
          <cell r="A8">
            <v>2</v>
          </cell>
          <cell r="B8" t="str">
            <v>94J</v>
          </cell>
          <cell r="C8">
            <v>5610</v>
          </cell>
          <cell r="D8">
            <v>0</v>
          </cell>
          <cell r="E8">
            <v>0</v>
          </cell>
          <cell r="F8">
            <v>0</v>
          </cell>
          <cell r="G8">
            <v>0</v>
          </cell>
          <cell r="I8">
            <v>5610</v>
          </cell>
          <cell r="J8" t="str">
            <v>0</v>
          </cell>
          <cell r="L8">
            <v>533</v>
          </cell>
          <cell r="N8">
            <v>39094</v>
          </cell>
          <cell r="P8">
            <v>56</v>
          </cell>
          <cell r="Q8" t="str">
            <v>No</v>
          </cell>
          <cell r="R8">
            <v>0</v>
          </cell>
          <cell r="S8">
            <v>0</v>
          </cell>
        </row>
        <row r="9">
          <cell r="I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0</v>
          </cell>
        </row>
        <row r="57">
          <cell r="I57">
            <v>0</v>
          </cell>
        </row>
        <row r="58">
          <cell r="A58" t="str">
            <v>Total</v>
          </cell>
          <cell r="C58">
            <v>19321</v>
          </cell>
          <cell r="D58">
            <v>0</v>
          </cell>
          <cell r="E58">
            <v>0</v>
          </cell>
          <cell r="F58">
            <v>0</v>
          </cell>
          <cell r="G58">
            <v>0</v>
          </cell>
          <cell r="H58">
            <v>0</v>
          </cell>
          <cell r="I58">
            <v>19321</v>
          </cell>
          <cell r="R58">
            <v>0</v>
          </cell>
          <cell r="S58">
            <v>0</v>
          </cell>
        </row>
      </sheetData>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s>
    <sheetDataSet>
      <sheetData sheetId="0"/>
      <sheetData sheetId="1"/>
      <sheetData sheetId="2">
        <row r="7">
          <cell r="A7">
            <v>1</v>
          </cell>
          <cell r="B7" t="str">
            <v>94C</v>
          </cell>
          <cell r="G7">
            <v>0</v>
          </cell>
        </row>
        <row r="8">
          <cell r="A8">
            <v>2</v>
          </cell>
          <cell r="B8" t="str">
            <v>94C</v>
          </cell>
        </row>
        <row r="9">
          <cell r="A9">
            <v>3</v>
          </cell>
          <cell r="B9" t="str">
            <v>94C</v>
          </cell>
        </row>
        <row r="10">
          <cell r="A10">
            <v>4</v>
          </cell>
          <cell r="B10" t="str">
            <v>94J</v>
          </cell>
        </row>
        <row r="11">
          <cell r="A11">
            <v>5</v>
          </cell>
          <cell r="B11" t="str">
            <v>94H</v>
          </cell>
        </row>
        <row r="12">
          <cell r="A12">
            <v>6</v>
          </cell>
          <cell r="B12" t="str">
            <v>94A</v>
          </cell>
        </row>
        <row r="13">
          <cell r="A13">
            <v>7</v>
          </cell>
          <cell r="B13" t="str">
            <v>94A</v>
          </cell>
        </row>
        <row r="14">
          <cell r="I14">
            <v>0</v>
          </cell>
        </row>
        <row r="15">
          <cell r="A15" t="str">
            <v>Total</v>
          </cell>
          <cell r="C15">
            <v>0</v>
          </cell>
          <cell r="D15">
            <v>0</v>
          </cell>
          <cell r="E15">
            <v>0</v>
          </cell>
          <cell r="F15">
            <v>0</v>
          </cell>
          <cell r="G15">
            <v>0</v>
          </cell>
          <cell r="H15">
            <v>0</v>
          </cell>
          <cell r="I15">
            <v>0</v>
          </cell>
          <cell r="R15">
            <v>0</v>
          </cell>
          <cell r="S15">
            <v>0</v>
          </cell>
        </row>
      </sheetData>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tart"/>
      <sheetName val="Sum"/>
      <sheetName val="Upgrade"/>
      <sheetName val="M_S"/>
      <sheetName val="M_M"/>
      <sheetName val="M_C"/>
      <sheetName val="M_O"/>
      <sheetName val="M_A"/>
      <sheetName val="M_F"/>
      <sheetName val="M_B"/>
      <sheetName val="M_T"/>
      <sheetName val="M_Charts"/>
      <sheetName val="M_IS"/>
      <sheetName val="M_CF"/>
      <sheetName val="M_BS"/>
      <sheetName val="M_PR"/>
      <sheetName val="M_SY"/>
      <sheetName val="Q_A1"/>
      <sheetName val="Q_A2"/>
      <sheetName val="Q_Charts"/>
      <sheetName val="67_A"/>
      <sheetName val="A_Charts"/>
      <sheetName val="Q_IS"/>
      <sheetName val="Q_CF"/>
      <sheetName val="Q_BS"/>
      <sheetName val="Q_PR"/>
      <sheetName val="Text"/>
      <sheetName val="Quik"/>
      <sheetName val="Sens"/>
      <sheetName val="What-If"/>
      <sheetName val="Profit"/>
      <sheetName val="Cash"/>
      <sheetName val="Track"/>
      <sheetName val="Trends"/>
      <sheetName val="Check"/>
      <sheetName val="Calc"/>
      <sheetName val="MAIN"/>
      <sheetName val="COMMERCIAL"/>
      <sheetName val="SHARE"/>
      <sheetName val="ASS"/>
      <sheetName val="PROT"/>
      <sheetName val="PRINT-ASS"/>
      <sheetName val="OUT"/>
      <sheetName val="PRINT-OUT"/>
      <sheetName val="CHARTS"/>
      <sheetName val="PRINT-CHARTS"/>
      <sheetName val="TOOLS-SETUP"/>
      <sheetName val="HELP"/>
      <sheetName val="ADDITIONS"/>
      <sheetName val="DESCRIPTION"/>
      <sheetName val="BASICINFO"/>
      <sheetName val="PRINT"/>
      <sheetName val="ABOUT"/>
      <sheetName val="VIEW"/>
      <sheetName val="CHART"/>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ow r="6">
          <cell r="H6" t="str">
            <v>Sales tax</v>
          </cell>
        </row>
      </sheetData>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ow r="173">
          <cell r="H173" t="str">
            <v>000</v>
          </cell>
        </row>
        <row r="174">
          <cell r="H174" t="str">
            <v xml:space="preserve"> - Product A</v>
          </cell>
        </row>
        <row r="175">
          <cell r="H175" t="str">
            <v xml:space="preserve"> - Product B</v>
          </cell>
        </row>
        <row r="176">
          <cell r="H176" t="str">
            <v xml:space="preserve"> - Product C</v>
          </cell>
        </row>
        <row r="177">
          <cell r="H177" t="str">
            <v xml:space="preserve"> - Product D</v>
          </cell>
        </row>
        <row r="178">
          <cell r="H178" t="str">
            <v xml:space="preserve"> - Service A</v>
          </cell>
        </row>
        <row r="179">
          <cell r="H179" t="str">
            <v xml:space="preserve"> - Service B</v>
          </cell>
        </row>
        <row r="180">
          <cell r="H180" t="str">
            <v xml:space="preserve"> - Service C</v>
          </cell>
        </row>
        <row r="181">
          <cell r="H181" t="str">
            <v xml:space="preserve"> - Service D</v>
          </cell>
        </row>
        <row r="182">
          <cell r="H182" t="str">
            <v xml:space="preserve"> - Exports</v>
          </cell>
        </row>
        <row r="183">
          <cell r="H183" t="str">
            <v xml:space="preserve"> - Spares</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an Jvmar06"/>
      <sheetName val="BS"/>
      <sheetName val="cashflow"/>
      <sheetName val="PL"/>
      <sheetName val="Schedules"/>
      <sheetName val="FA schedule"/>
      <sheetName val="Sch22"/>
      <sheetName val="Inv"/>
      <sheetName val="BS sub sh"/>
      <sheetName val="Invest. thousand"/>
      <sheetName val="Investments"/>
      <sheetName val="pubres"/>
      <sheetName val="Sheet1"/>
      <sheetName val="Income"/>
      <sheetName val="Exp"/>
      <sheetName val="Leave encashement"/>
      <sheetName val="TB APJ"/>
      <sheetName val="Variance"/>
      <sheetName val="vari-1"/>
      <sheetName val="TB WORLI"/>
      <sheetName val="deftax"/>
      <sheetName val="Quar ABNL"/>
      <sheetName val="it depr."/>
      <sheetName val="FASCHEDULE"/>
      <sheetName val="G SecST&amp;LT "/>
      <sheetName val="itcomp"/>
      <sheetName val="ratio analysis"/>
      <sheetName val="Hyperian_Jvmar061"/>
      <sheetName val="FA_schedule1"/>
      <sheetName val="BS_sub_sh1"/>
      <sheetName val="Invest__thousand1"/>
      <sheetName val="Leave_encashement1"/>
      <sheetName val="TB_APJ1"/>
      <sheetName val="TB_WORLI1"/>
      <sheetName val="Quar_ABNL1"/>
      <sheetName val="it_depr_1"/>
      <sheetName val="G_SecST&amp;LT_1"/>
      <sheetName val="ratio_analysis1"/>
      <sheetName val="Hyperian_Jvmar06"/>
      <sheetName val="FA_schedule"/>
      <sheetName val="BS_sub_sh"/>
      <sheetName val="Invest__thousand"/>
      <sheetName val="Leave_encashement"/>
      <sheetName val="TB_APJ"/>
      <sheetName val="TB_WORLI"/>
      <sheetName val="Quar_ABNL"/>
      <sheetName val="it_depr_"/>
      <sheetName val="G_SecST&amp;LT_"/>
      <sheetName val="ratio_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7">
          <cell r="B67">
            <v>125873</v>
          </cell>
        </row>
        <row r="85">
          <cell r="B85">
            <v>53508</v>
          </cell>
        </row>
        <row r="97">
          <cell r="B97">
            <v>4803530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67">
          <cell r="B67">
            <v>125873</v>
          </cell>
        </row>
      </sheetData>
      <sheetData sheetId="33"/>
      <sheetData sheetId="34"/>
      <sheetData sheetId="35"/>
      <sheetData sheetId="36"/>
      <sheetData sheetId="37"/>
      <sheetData sheetId="38"/>
      <sheetData sheetId="39"/>
      <sheetData sheetId="40"/>
      <sheetData sheetId="41"/>
      <sheetData sheetId="42"/>
      <sheetData sheetId="43">
        <row r="67">
          <cell r="B67">
            <v>125873</v>
          </cell>
        </row>
      </sheetData>
      <sheetData sheetId="44"/>
      <sheetData sheetId="45"/>
      <sheetData sheetId="46"/>
      <sheetData sheetId="47"/>
      <sheetData sheetId="4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s"/>
      <sheetName val="tds"/>
      <sheetName val="43b"/>
      <sheetName val="depjc1&amp;2"/>
      <sheetName val="dep 99"/>
      <sheetName val="dep1&amp;2&amp;pla"/>
      <sheetName val="80IA"/>
      <sheetName val="80HHC"/>
      <sheetName val="80IA 2"/>
      <sheetName val="capgain"/>
      <sheetName val="ind"/>
      <sheetName val="dep_991"/>
      <sheetName val="80IA_21"/>
      <sheetName val="dep_99"/>
      <sheetName val="80IA_2"/>
      <sheetName val="dep_992"/>
      <sheetName val="80IA_22"/>
    </sheetNames>
    <sheetDataSet>
      <sheetData sheetId="0">
        <row r="28">
          <cell r="H28">
            <v>540967</v>
          </cell>
        </row>
      </sheetData>
      <sheetData sheetId="1">
        <row r="28">
          <cell r="H28">
            <v>540967</v>
          </cell>
        </row>
      </sheetData>
      <sheetData sheetId="2">
        <row r="28">
          <cell r="H28">
            <v>540967</v>
          </cell>
        </row>
      </sheetData>
      <sheetData sheetId="3" refreshError="1">
        <row r="28">
          <cell r="H28">
            <v>540967</v>
          </cell>
        </row>
        <row r="33">
          <cell r="H33">
            <v>2453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D FORM C "/>
      <sheetName val="FORM C ASD "/>
      <sheetName val="FORM C ASD"/>
      <sheetName val="MIS REPORT April 16 ~DEC 16"/>
    </sheetNames>
    <definedNames>
      <definedName name="End_Bal" refersTo="#REF!"/>
      <definedName name="Interest_Rate" refersTo="#REF!"/>
      <definedName name="Loan_Amount" refersTo="#REF!"/>
      <definedName name="Loan_Start" refersTo="#REF!"/>
      <definedName name="Loan_Years" refersTo="#REF!"/>
    </definedNames>
    <sheetDataSet>
      <sheetData sheetId="0"/>
      <sheetData sheetId="1"/>
      <sheetData sheetId="2"/>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D FORM C "/>
      <sheetName val="FORM C ASD "/>
      <sheetName val="FORM C ASD"/>
      <sheetName val="MIS REPORT April 16 ~DEC 16"/>
    </sheetNames>
    <definedNames>
      <definedName name="End_Bal" refersTo="#REF!"/>
      <definedName name="Interest_Rate" refersTo="#REF!"/>
      <definedName name="Loan_Amount" refersTo="#REF!"/>
      <definedName name="Loan_Start" refersTo="#REF!"/>
      <definedName name="Loan_Years" refersTo="#REF!"/>
    </definedNames>
    <sheetDataSet>
      <sheetData sheetId="0"/>
      <sheetData sheetId="1"/>
      <sheetData sheetId="2"/>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rialbal"/>
      <sheetName val="expcfd"/>
      <sheetName val="defentry"/>
      <sheetName val="taxfree"/>
      <sheetName val="roi"/>
      <sheetName val="depre"/>
    </sheetNames>
    <sheetDataSet>
      <sheetData sheetId="0">
        <row r="145">
          <cell r="B145">
            <v>1204916880.8</v>
          </cell>
        </row>
      </sheetData>
      <sheetData sheetId="1">
        <row r="145">
          <cell r="B145">
            <v>1204916880.8</v>
          </cell>
        </row>
      </sheetData>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 analysis"/>
      <sheetName val="pubres"/>
      <sheetName val="BS"/>
      <sheetName val="PL"/>
      <sheetName val="Schedules"/>
      <sheetName val="Liab"/>
      <sheetName val="Assets"/>
      <sheetName val="Income"/>
      <sheetName val="Exp"/>
      <sheetName val="TB"/>
      <sheetName val="deftax"/>
      <sheetName val="wndeftax"/>
      <sheetName val="G SecST&amp;LT "/>
      <sheetName val="FA"/>
      <sheetName val="itcomp"/>
      <sheetName val="Recon"/>
      <sheetName val="BREAKUP"/>
      <sheetName val="ratio_analysis1"/>
      <sheetName val="G_SecST&amp;LT_1"/>
      <sheetName val="ratio_analysis"/>
      <sheetName val="G_SecST&amp;LT_"/>
    </sheetNames>
    <sheetDataSet>
      <sheetData sheetId="0"/>
      <sheetData sheetId="1"/>
      <sheetData sheetId="2"/>
      <sheetData sheetId="3"/>
      <sheetData sheetId="4"/>
      <sheetData sheetId="5"/>
      <sheetData sheetId="6"/>
      <sheetData sheetId="7"/>
      <sheetData sheetId="8"/>
      <sheetData sheetId="9">
        <row r="185">
          <cell r="B185">
            <v>2529</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 val="Loan_Amortization_Schedule"/>
    </sheetNames>
    <sheetDataSet>
      <sheetData sheetId="0">
        <row r="5">
          <cell r="D5">
            <v>430000</v>
          </cell>
        </row>
        <row r="6">
          <cell r="D6">
            <v>0.13865</v>
          </cell>
        </row>
        <row r="7">
          <cell r="D7">
            <v>3</v>
          </cell>
        </row>
        <row r="9">
          <cell r="D9">
            <v>39203</v>
          </cell>
        </row>
        <row r="18">
          <cell r="I18">
            <v>420300.08945914567</v>
          </cell>
        </row>
        <row r="19">
          <cell r="I19">
            <v>410488.10453525058</v>
          </cell>
        </row>
        <row r="20">
          <cell r="I20">
            <v>400562.75030221394</v>
          </cell>
        </row>
        <row r="21">
          <cell r="I21">
            <v>390522.71687214309</v>
          </cell>
        </row>
        <row r="22">
          <cell r="I22">
            <v>380366.67922248231</v>
          </cell>
        </row>
        <row r="23">
          <cell r="I23">
            <v>370093.29702114442</v>
          </cell>
        </row>
        <row r="24">
          <cell r="I24">
            <v>359701.21444962191</v>
          </cell>
        </row>
        <row r="25">
          <cell r="I25">
            <v>349189.06002405426</v>
          </cell>
        </row>
        <row r="26">
          <cell r="I26">
            <v>338555.44641422789</v>
          </cell>
        </row>
        <row r="27">
          <cell r="I27">
            <v>327798.97026048461</v>
          </cell>
        </row>
        <row r="28">
          <cell r="I28">
            <v>316918.21198851499</v>
          </cell>
        </row>
        <row r="29">
          <cell r="I29">
            <v>305911.7356220113</v>
          </cell>
        </row>
        <row r="30">
          <cell r="I30">
            <v>294778.08859315631</v>
          </cell>
        </row>
        <row r="31">
          <cell r="I31">
            <v>283515.8015509221</v>
          </cell>
        </row>
        <row r="32">
          <cell r="I32">
            <v>272123.38816715404</v>
          </cell>
        </row>
        <row r="33">
          <cell r="I33">
            <v>260599.34494041439</v>
          </cell>
        </row>
        <row r="34">
          <cell r="I34">
            <v>248942.1509975591</v>
          </cell>
        </row>
        <row r="35">
          <cell r="I35">
            <v>237150.26789302242</v>
          </cell>
        </row>
        <row r="36">
          <cell r="I36">
            <v>225222.13940578207</v>
          </cell>
        </row>
        <row r="37">
          <cell r="I37">
            <v>213156.19133397873</v>
          </cell>
        </row>
        <row r="38">
          <cell r="I38">
            <v>200950.83128716244</v>
          </cell>
        </row>
        <row r="39">
          <cell r="I39">
            <v>188604.44847613855</v>
          </cell>
        </row>
        <row r="40">
          <cell r="I40">
            <v>176115.41350038562</v>
          </cell>
        </row>
        <row r="41">
          <cell r="I41">
            <v>163482.078133017</v>
          </cell>
        </row>
        <row r="42">
          <cell r="I42">
            <v>150702.77510325791</v>
          </cell>
        </row>
        <row r="43">
          <cell r="I43">
            <v>137775.81787640916</v>
          </cell>
        </row>
        <row r="44">
          <cell r="I44">
            <v>124699.50043126852</v>
          </cell>
        </row>
        <row r="45">
          <cell r="I45">
            <v>111472.09703498048</v>
          </cell>
        </row>
        <row r="46">
          <cell r="I46">
            <v>98091.862015284511</v>
          </cell>
        </row>
        <row r="47">
          <cell r="I47">
            <v>84557.029530131796</v>
          </cell>
        </row>
        <row r="48">
          <cell r="I48">
            <v>70865.813334640203</v>
          </cell>
        </row>
        <row r="49">
          <cell r="I49">
            <v>57016.406545356542</v>
          </cell>
        </row>
        <row r="50">
          <cell r="I50">
            <v>43006.981401795027</v>
          </cell>
        </row>
        <row r="51">
          <cell r="I51">
            <v>28835.689025220614</v>
          </cell>
        </row>
        <row r="52">
          <cell r="I52">
            <v>14500.6591746452</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sheetData>
      <sheetData sheetId="1">
        <row r="5">
          <cell r="D5">
            <v>430000</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430000</v>
          </cell>
        </row>
        <row r="6">
          <cell r="D6">
            <v>0.13865</v>
          </cell>
        </row>
        <row r="7">
          <cell r="D7">
            <v>3</v>
          </cell>
        </row>
        <row r="9">
          <cell r="D9">
            <v>39203</v>
          </cell>
        </row>
        <row r="18">
          <cell r="I18">
            <v>420300.08945914567</v>
          </cell>
        </row>
        <row r="19">
          <cell r="I19">
            <v>410488.10453525058</v>
          </cell>
        </row>
        <row r="20">
          <cell r="I20">
            <v>400562.75030221394</v>
          </cell>
        </row>
        <row r="21">
          <cell r="I21">
            <v>390522.71687214309</v>
          </cell>
        </row>
        <row r="22">
          <cell r="I22">
            <v>380366.67922248231</v>
          </cell>
        </row>
        <row r="23">
          <cell r="I23">
            <v>370093.29702114442</v>
          </cell>
        </row>
        <row r="24">
          <cell r="I24">
            <v>359701.21444962191</v>
          </cell>
        </row>
        <row r="25">
          <cell r="I25">
            <v>349189.06002405426</v>
          </cell>
        </row>
        <row r="26">
          <cell r="I26">
            <v>338555.44641422789</v>
          </cell>
        </row>
        <row r="27">
          <cell r="I27">
            <v>327798.97026048461</v>
          </cell>
        </row>
        <row r="28">
          <cell r="I28">
            <v>316918.21198851499</v>
          </cell>
        </row>
        <row r="29">
          <cell r="I29">
            <v>305911.7356220113</v>
          </cell>
        </row>
        <row r="30">
          <cell r="I30">
            <v>294778.08859315631</v>
          </cell>
        </row>
        <row r="31">
          <cell r="I31">
            <v>283515.8015509221</v>
          </cell>
        </row>
        <row r="32">
          <cell r="I32">
            <v>272123.38816715404</v>
          </cell>
        </row>
        <row r="33">
          <cell r="I33">
            <v>260599.34494041439</v>
          </cell>
        </row>
        <row r="34">
          <cell r="I34">
            <v>248942.1509975591</v>
          </cell>
        </row>
        <row r="35">
          <cell r="I35">
            <v>237150.26789302242</v>
          </cell>
        </row>
        <row r="36">
          <cell r="I36">
            <v>225222.13940578207</v>
          </cell>
        </row>
        <row r="37">
          <cell r="I37">
            <v>213156.19133397873</v>
          </cell>
        </row>
        <row r="38">
          <cell r="I38">
            <v>200950.83128716244</v>
          </cell>
        </row>
        <row r="39">
          <cell r="I39">
            <v>188604.44847613855</v>
          </cell>
        </row>
        <row r="40">
          <cell r="I40">
            <v>176115.41350038562</v>
          </cell>
        </row>
        <row r="41">
          <cell r="I41">
            <v>163482.078133017</v>
          </cell>
        </row>
        <row r="42">
          <cell r="I42">
            <v>150702.77510325791</v>
          </cell>
        </row>
        <row r="43">
          <cell r="I43">
            <v>137775.81787640916</v>
          </cell>
        </row>
        <row r="44">
          <cell r="I44">
            <v>124699.50043126852</v>
          </cell>
        </row>
        <row r="45">
          <cell r="I45">
            <v>111472.09703498048</v>
          </cell>
        </row>
        <row r="46">
          <cell r="I46">
            <v>98091.862015284511</v>
          </cell>
        </row>
        <row r="47">
          <cell r="I47">
            <v>84557.029530131796</v>
          </cell>
        </row>
        <row r="48">
          <cell r="I48">
            <v>70865.813334640203</v>
          </cell>
        </row>
        <row r="49">
          <cell r="I49">
            <v>57016.406545356542</v>
          </cell>
        </row>
        <row r="50">
          <cell r="I50">
            <v>43006.981401795027</v>
          </cell>
        </row>
        <row r="51">
          <cell r="I51">
            <v>28835.689025220614</v>
          </cell>
        </row>
        <row r="52">
          <cell r="I52">
            <v>14500.6591746452</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fluctuation"/>
      <sheetName val="Debtors Bal.con"/>
      <sheetName val="Sheet2"/>
      <sheetName val="Sheet3"/>
      <sheetName val="depreciation"/>
      <sheetName val="final  Bsheet &amp; P&amp; L "/>
      <sheetName val="Calc"/>
      <sheetName val="M_T"/>
      <sheetName val="exchange_fluctuation1"/>
      <sheetName val="Debtors_Bal_con1"/>
      <sheetName val="final__Bsheet_&amp;_P&amp;_L_1"/>
      <sheetName val="exchange_fluctuation"/>
      <sheetName val="Debtors_Bal_con"/>
      <sheetName val="final__Bsheet_&amp;_P&amp;_L_"/>
      <sheetName val="exchange_fluctuation2"/>
      <sheetName val="Debtors_Bal_con2"/>
      <sheetName val="final__Bsheet_&amp;_P&amp;_L_2"/>
    </sheetNames>
    <sheetDataSet>
      <sheetData sheetId="0">
        <row r="178">
          <cell r="U178" t="str">
            <v>AMOL PHARMACEUTICALS PRIVATE LIMITED</v>
          </cell>
        </row>
        <row r="180">
          <cell r="U180" t="str">
            <v>CALCULATION OF EXCHANGE FLUCTUATION AS ON 31.3.2001</v>
          </cell>
        </row>
        <row r="182">
          <cell r="U182" t="str">
            <v>Invoice</v>
          </cell>
          <cell r="V182" t="str">
            <v xml:space="preserve">Date of </v>
          </cell>
          <cell r="W182" t="str">
            <v xml:space="preserve">Amount in </v>
          </cell>
          <cell r="X182" t="str">
            <v>Rate</v>
          </cell>
          <cell r="Y182" t="str">
            <v xml:space="preserve">Amount </v>
          </cell>
          <cell r="Z182" t="str">
            <v xml:space="preserve">Amount </v>
          </cell>
          <cell r="AA182" t="str">
            <v xml:space="preserve">Exchange </v>
          </cell>
        </row>
        <row r="183">
          <cell r="V183" t="str">
            <v>Receipt</v>
          </cell>
          <cell r="W183" t="str">
            <v>$</v>
          </cell>
          <cell r="Y183" t="str">
            <v>Receivable</v>
          </cell>
          <cell r="Z183" t="str">
            <v>Accounted</v>
          </cell>
          <cell r="AA183" t="str">
            <v>Difference</v>
          </cell>
        </row>
        <row r="184">
          <cell r="U184" t="str">
            <v>AP/2001/USA/089</v>
          </cell>
          <cell r="V184" t="str">
            <v>12.04.2001</v>
          </cell>
          <cell r="W184">
            <v>35000</v>
          </cell>
          <cell r="X184">
            <v>46.77</v>
          </cell>
          <cell r="Y184">
            <v>1636950</v>
          </cell>
          <cell r="Z184">
            <v>1629250</v>
          </cell>
          <cell r="AA184">
            <v>7700</v>
          </cell>
        </row>
        <row r="185">
          <cell r="U185" t="str">
            <v>AP/2001/USA/90</v>
          </cell>
          <cell r="V185" t="str">
            <v>28.05.2001</v>
          </cell>
          <cell r="W185">
            <v>19223.75</v>
          </cell>
          <cell r="X185">
            <v>46.77</v>
          </cell>
          <cell r="Y185">
            <v>899094.78750000009</v>
          </cell>
          <cell r="Z185">
            <v>894865.5625</v>
          </cell>
          <cell r="AA185">
            <v>4229.2250000000931</v>
          </cell>
        </row>
        <row r="186">
          <cell r="U186" t="str">
            <v>AP/2001/HBL/07</v>
          </cell>
          <cell r="V186" t="str">
            <v>18.05.2001</v>
          </cell>
          <cell r="W186">
            <v>45000</v>
          </cell>
          <cell r="X186">
            <v>46.77</v>
          </cell>
          <cell r="Y186">
            <v>2104650</v>
          </cell>
          <cell r="Z186">
            <v>2094750</v>
          </cell>
          <cell r="AA186">
            <v>9900</v>
          </cell>
        </row>
        <row r="187">
          <cell r="U187" t="str">
            <v>AP/2000/TRA/09</v>
          </cell>
          <cell r="V187" t="str">
            <v>28.05.2001</v>
          </cell>
          <cell r="W187">
            <v>7600</v>
          </cell>
          <cell r="X187">
            <v>46.77</v>
          </cell>
          <cell r="Y187">
            <v>355452</v>
          </cell>
          <cell r="Z187">
            <v>353780</v>
          </cell>
          <cell r="AA187">
            <v>1672</v>
          </cell>
        </row>
        <row r="188">
          <cell r="U188" t="str">
            <v>AP/2001/USA/91</v>
          </cell>
          <cell r="V188" t="str">
            <v>09.05.2001</v>
          </cell>
          <cell r="W188">
            <v>1.3</v>
          </cell>
          <cell r="X188">
            <v>46.77</v>
          </cell>
          <cell r="Y188">
            <v>60.801000000000009</v>
          </cell>
          <cell r="Z188">
            <v>60.515000000000001</v>
          </cell>
          <cell r="AA188">
            <v>0.28600000000000847</v>
          </cell>
        </row>
        <row r="189">
          <cell r="U189" t="str">
            <v>AP/2001/USA/91</v>
          </cell>
          <cell r="V189" t="str">
            <v>18.05.2001</v>
          </cell>
          <cell r="W189">
            <v>398.7</v>
          </cell>
          <cell r="X189">
            <v>46.77</v>
          </cell>
          <cell r="Y189">
            <v>18647.199000000001</v>
          </cell>
          <cell r="Z189">
            <v>18559.484999999997</v>
          </cell>
          <cell r="AA189">
            <v>87.71400000000358</v>
          </cell>
        </row>
        <row r="190">
          <cell r="U190" t="str">
            <v>AP/2001/HBL/08</v>
          </cell>
          <cell r="V190" t="str">
            <v>19.04.2001</v>
          </cell>
          <cell r="W190">
            <v>19325</v>
          </cell>
          <cell r="X190">
            <v>46.77</v>
          </cell>
          <cell r="Y190">
            <v>903830.25000000012</v>
          </cell>
          <cell r="Z190">
            <v>899578.75</v>
          </cell>
          <cell r="AA190">
            <v>4251.5000000001164</v>
          </cell>
        </row>
        <row r="191">
          <cell r="U191" t="str">
            <v>AP/2000/TRA/10</v>
          </cell>
          <cell r="V191" t="str">
            <v>19.04.2001</v>
          </cell>
          <cell r="W191">
            <v>14700</v>
          </cell>
          <cell r="X191">
            <v>46.77</v>
          </cell>
          <cell r="Y191">
            <v>687519</v>
          </cell>
          <cell r="Z191">
            <v>684285</v>
          </cell>
          <cell r="AA191">
            <v>3234</v>
          </cell>
        </row>
        <row r="192">
          <cell r="U192" t="str">
            <v>AP/2001/USA/92</v>
          </cell>
          <cell r="V192" t="str">
            <v>09.05.2001</v>
          </cell>
          <cell r="W192">
            <v>45398.7</v>
          </cell>
          <cell r="X192">
            <v>46.77</v>
          </cell>
          <cell r="Y192">
            <v>2123297.199</v>
          </cell>
          <cell r="Z192">
            <v>2097419.94</v>
          </cell>
          <cell r="AA192">
            <v>25877.259000000078</v>
          </cell>
        </row>
        <row r="193">
          <cell r="U193" t="str">
            <v>AP/2001/USA/93</v>
          </cell>
          <cell r="V193" t="str">
            <v>06.06.2001</v>
          </cell>
          <cell r="W193">
            <v>30000</v>
          </cell>
          <cell r="X193">
            <v>46.77</v>
          </cell>
          <cell r="Y193">
            <v>1403100</v>
          </cell>
          <cell r="Z193">
            <v>1386000</v>
          </cell>
          <cell r="AA193">
            <v>17100</v>
          </cell>
        </row>
        <row r="194">
          <cell r="U194" t="str">
            <v>AP/2001/USA/93</v>
          </cell>
          <cell r="V194" t="str">
            <v>08.06.2001</v>
          </cell>
          <cell r="W194">
            <v>6303.3</v>
          </cell>
          <cell r="X194">
            <v>46.77</v>
          </cell>
          <cell r="Y194">
            <v>294805.34100000001</v>
          </cell>
          <cell r="Z194">
            <v>291212.46000000002</v>
          </cell>
          <cell r="AA194">
            <v>3592.8809999999939</v>
          </cell>
        </row>
        <row r="195">
          <cell r="U195" t="str">
            <v>AP/2001/USA/94</v>
          </cell>
          <cell r="V195" t="str">
            <v>08.06.2001</v>
          </cell>
          <cell r="W195">
            <v>12856.5</v>
          </cell>
          <cell r="X195">
            <v>46.77</v>
          </cell>
          <cell r="Y195">
            <v>601298.505</v>
          </cell>
          <cell r="Z195">
            <v>593970.30000000005</v>
          </cell>
          <cell r="AA195">
            <v>7328.2049999999581</v>
          </cell>
        </row>
        <row r="196">
          <cell r="U196" t="str">
            <v>AP/2001/HBL/09</v>
          </cell>
          <cell r="V196" t="str">
            <v>08.06.2001</v>
          </cell>
          <cell r="W196">
            <v>6948.75</v>
          </cell>
          <cell r="X196">
            <v>46.77</v>
          </cell>
          <cell r="Y196">
            <v>324993.03750000003</v>
          </cell>
          <cell r="Z196">
            <v>321032.25</v>
          </cell>
          <cell r="AA196">
            <v>3960.7875000000349</v>
          </cell>
        </row>
        <row r="197">
          <cell r="U197" t="str">
            <v>AP/2001/HBL/10</v>
          </cell>
          <cell r="V197" t="str">
            <v>08.06.2001</v>
          </cell>
          <cell r="W197">
            <v>10337</v>
          </cell>
          <cell r="X197">
            <v>46.77</v>
          </cell>
          <cell r="Y197">
            <v>483461.49000000005</v>
          </cell>
          <cell r="Z197">
            <v>480670.5</v>
          </cell>
          <cell r="AA197">
            <v>2790.9900000000489</v>
          </cell>
        </row>
        <row r="198">
          <cell r="U198" t="str">
            <v>AP/2000/TRA/11</v>
          </cell>
          <cell r="V198" t="str">
            <v>08.06.2001</v>
          </cell>
          <cell r="W198">
            <v>7600</v>
          </cell>
          <cell r="X198">
            <v>46.77</v>
          </cell>
          <cell r="Y198">
            <v>355452</v>
          </cell>
          <cell r="Z198">
            <v>353400</v>
          </cell>
          <cell r="AA198">
            <v>2052</v>
          </cell>
        </row>
        <row r="199">
          <cell r="U199" t="str">
            <v>AP/2001/USA/95</v>
          </cell>
          <cell r="V199" t="str">
            <v>21.06.2001</v>
          </cell>
          <cell r="W199">
            <v>12099.9</v>
          </cell>
          <cell r="X199">
            <v>46.77</v>
          </cell>
          <cell r="Y199">
            <v>565912.32299999997</v>
          </cell>
          <cell r="Z199">
            <v>562645.35</v>
          </cell>
          <cell r="AA199">
            <v>3266.9729999999981</v>
          </cell>
        </row>
        <row r="200">
          <cell r="U200" t="str">
            <v>AP/2001/USA/96</v>
          </cell>
          <cell r="V200" t="str">
            <v>21.06.2001</v>
          </cell>
          <cell r="W200">
            <v>7987.6</v>
          </cell>
          <cell r="X200">
            <v>46.77</v>
          </cell>
          <cell r="Y200">
            <v>373580.05200000003</v>
          </cell>
          <cell r="Z200">
            <v>371423.4</v>
          </cell>
          <cell r="AA200">
            <v>2156.6520000000019</v>
          </cell>
        </row>
        <row r="201">
          <cell r="U201" t="str">
            <v>AP/2001/HBL/11</v>
          </cell>
          <cell r="V201" t="str">
            <v>4.7.2001</v>
          </cell>
          <cell r="W201">
            <v>25000</v>
          </cell>
          <cell r="X201">
            <v>46.77</v>
          </cell>
          <cell r="Y201">
            <v>1169250</v>
          </cell>
          <cell r="Z201">
            <v>1162500</v>
          </cell>
          <cell r="AA201">
            <v>6750</v>
          </cell>
        </row>
        <row r="202">
          <cell r="U202" t="str">
            <v>AP/2001/HBL/11</v>
          </cell>
          <cell r="V202" t="str">
            <v>Prov</v>
          </cell>
          <cell r="W202">
            <v>19960</v>
          </cell>
          <cell r="X202">
            <v>46.77</v>
          </cell>
          <cell r="Y202">
            <v>933529.20000000007</v>
          </cell>
          <cell r="Z202">
            <v>928140</v>
          </cell>
          <cell r="AA202">
            <v>5389.2000000000698</v>
          </cell>
        </row>
        <row r="203">
          <cell r="U203" t="str">
            <v>AP/2000/TRA/12</v>
          </cell>
          <cell r="V203" t="str">
            <v>21.06.2001</v>
          </cell>
          <cell r="W203">
            <v>2623.25</v>
          </cell>
          <cell r="X203">
            <v>46.77</v>
          </cell>
          <cell r="Y203">
            <v>122689.40250000001</v>
          </cell>
          <cell r="Z203">
            <v>121981.125</v>
          </cell>
          <cell r="AA203">
            <v>708.27750000001106</v>
          </cell>
        </row>
        <row r="204">
          <cell r="U204" t="str">
            <v>AP/2001/USA/97</v>
          </cell>
          <cell r="V204" t="str">
            <v>Prov</v>
          </cell>
          <cell r="W204">
            <v>6822</v>
          </cell>
          <cell r="X204">
            <v>46.77</v>
          </cell>
          <cell r="Y204">
            <v>319064.94</v>
          </cell>
          <cell r="Z204">
            <v>317223</v>
          </cell>
          <cell r="AA204">
            <v>1841.9400000000023</v>
          </cell>
        </row>
        <row r="205">
          <cell r="U205" t="str">
            <v>AP/2000/TRA/13</v>
          </cell>
          <cell r="V205" t="str">
            <v>Prov</v>
          </cell>
          <cell r="W205">
            <v>15000</v>
          </cell>
          <cell r="X205">
            <v>46.77</v>
          </cell>
          <cell r="Y205">
            <v>701550</v>
          </cell>
          <cell r="Z205">
            <v>697500</v>
          </cell>
          <cell r="AA205">
            <v>4050</v>
          </cell>
        </row>
        <row r="206">
          <cell r="U206" t="str">
            <v>AP/2001/USA/98</v>
          </cell>
          <cell r="V206" t="str">
            <v>Prov</v>
          </cell>
          <cell r="W206">
            <v>37235</v>
          </cell>
          <cell r="X206">
            <v>46.77</v>
          </cell>
          <cell r="Y206">
            <v>1741480.9500000002</v>
          </cell>
          <cell r="Z206">
            <v>1731432.15</v>
          </cell>
          <cell r="AA206">
            <v>10048.800000000279</v>
          </cell>
        </row>
        <row r="207">
          <cell r="U207" t="str">
            <v>AP/2001/HBL/12</v>
          </cell>
          <cell r="V207" t="str">
            <v>Prov</v>
          </cell>
          <cell r="W207">
            <v>23100</v>
          </cell>
          <cell r="X207">
            <v>46.77</v>
          </cell>
          <cell r="Y207">
            <v>1080387</v>
          </cell>
          <cell r="Z207">
            <v>1074150</v>
          </cell>
          <cell r="AA207">
            <v>6237</v>
          </cell>
        </row>
        <row r="208">
          <cell r="U208" t="str">
            <v>AP/2000/TRA/11(M)</v>
          </cell>
          <cell r="V208" t="str">
            <v>Prov</v>
          </cell>
          <cell r="W208">
            <v>17453.900000000001</v>
          </cell>
          <cell r="X208">
            <v>46.77</v>
          </cell>
          <cell r="Y208">
            <v>816318.90300000017</v>
          </cell>
          <cell r="Z208">
            <v>811606.35</v>
          </cell>
          <cell r="AA208">
            <v>4712.5530000001891</v>
          </cell>
        </row>
        <row r="209">
          <cell r="U209" t="str">
            <v>AP/2000/TRA/12(M)</v>
          </cell>
          <cell r="V209" t="str">
            <v>Prov</v>
          </cell>
          <cell r="W209">
            <v>15000</v>
          </cell>
          <cell r="X209">
            <v>46.77</v>
          </cell>
          <cell r="Y209">
            <v>701550</v>
          </cell>
          <cell r="Z209">
            <v>697500</v>
          </cell>
          <cell r="AA209">
            <v>4050</v>
          </cell>
        </row>
        <row r="210">
          <cell r="V210">
            <v>0</v>
          </cell>
          <cell r="W210">
            <v>442974.65</v>
          </cell>
          <cell r="X210">
            <v>1216.0199999999998</v>
          </cell>
          <cell r="Y210">
            <v>20717924.3805</v>
          </cell>
          <cell r="Z210">
            <v>20574936.137500003</v>
          </cell>
          <cell r="AA210">
            <v>142988.24300000089</v>
          </cell>
        </row>
      </sheetData>
      <sheetData sheetId="1"/>
      <sheetData sheetId="2"/>
      <sheetData sheetId="3"/>
      <sheetData sheetId="4" refreshError="1"/>
      <sheetData sheetId="5" refreshError="1"/>
      <sheetData sheetId="6" refreshError="1"/>
      <sheetData sheetId="7" refreshError="1"/>
      <sheetData sheetId="8">
        <row r="178">
          <cell r="U178" t="str">
            <v>AMOL PHARMACEUTICALS PRIVATE LIMITED</v>
          </cell>
        </row>
      </sheetData>
      <sheetData sheetId="9"/>
      <sheetData sheetId="10"/>
      <sheetData sheetId="11">
        <row r="178">
          <cell r="U178" t="str">
            <v>AMOL PHARMACEUTICALS PRIVATE LIMITED</v>
          </cell>
        </row>
      </sheetData>
      <sheetData sheetId="12"/>
      <sheetData sheetId="13"/>
      <sheetData sheetId="14">
        <row r="178">
          <cell r="U178" t="str">
            <v>AMOL PHARMACEUTICALS PRIVATE LIMITED</v>
          </cell>
        </row>
      </sheetData>
      <sheetData sheetId="15"/>
      <sheetData sheetId="1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MATERIAL"/>
      <sheetName val="JOB WORK"/>
      <sheetName val="rough"/>
      <sheetName val="exchange fluctuation"/>
      <sheetName val="RAW_MATERIAL1"/>
      <sheetName val="JOB_WORK1"/>
      <sheetName val="exchange_fluctuation1"/>
      <sheetName val="RAW_MATERIAL"/>
      <sheetName val="JOB_WORK"/>
      <sheetName val="exchange_fluctuation"/>
      <sheetName val="RAW_MATERIAL2"/>
      <sheetName val="JOB_WORK2"/>
      <sheetName val="exchange_fluctuation2"/>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u-gau"/>
      <sheetName val="INT WORKING"/>
      <sheetName val="80 HHC-gau"/>
      <sheetName val="80IB+80 HHC"/>
      <sheetName val="ins, freight,excise"/>
      <sheetName val="BS &amp; Pr &amp; Loss"/>
      <sheetName val="ratios"/>
      <sheetName val="depreication"/>
      <sheetName val="Stock Reco."/>
      <sheetName val="RETROSPECTIVE DEPN"/>
      <sheetName val="gau"/>
      <sheetName val="JOB WORK"/>
      <sheetName val="rough"/>
      <sheetName val="INT_WORKING1"/>
      <sheetName val="80_HHC-gau1"/>
      <sheetName val="80IB+80_HHC1"/>
      <sheetName val="ins,_freight,excise1"/>
      <sheetName val="BS_&amp;_Pr_&amp;_Loss1"/>
      <sheetName val="Stock_Reco_1"/>
      <sheetName val="RETROSPECTIVE_DEPN1"/>
      <sheetName val="JOB_WORK1"/>
      <sheetName val="INT_WORKING"/>
      <sheetName val="80_HHC-gau"/>
      <sheetName val="80IB+80_HHC"/>
      <sheetName val="ins,_freight,excise"/>
      <sheetName val="BS_&amp;_Pr_&amp;_Loss"/>
      <sheetName val="Stock_Reco_"/>
      <sheetName val="RETROSPECTIVE_DEPN"/>
      <sheetName val="JOB_WORK"/>
      <sheetName val="INT_WORKING2"/>
      <sheetName val="80_HHC-gau2"/>
      <sheetName val="80IB+80_HHC2"/>
      <sheetName val="ins,_freight,excise2"/>
      <sheetName val="BS_&amp;_Pr_&amp;_Loss2"/>
      <sheetName val="Stock_Reco_2"/>
      <sheetName val="RETROSPECTIVE_DEPN2"/>
      <sheetName val="JOB_WORK2"/>
    </sheetNames>
    <sheetDataSet>
      <sheetData sheetId="0"/>
      <sheetData sheetId="1"/>
      <sheetData sheetId="2"/>
      <sheetData sheetId="3"/>
      <sheetData sheetId="4">
        <row r="434">
          <cell r="B434" t="str">
            <v>AMOL PHARMACEUTICALS P. LTD.</v>
          </cell>
        </row>
      </sheetData>
      <sheetData sheetId="5">
        <row r="434">
          <cell r="B434" t="str">
            <v>AMOL PHARMACEUTICALS P. LTD.</v>
          </cell>
        </row>
        <row r="436">
          <cell r="B436" t="str">
            <v>GROUPING TO THE BALANCE SHEET AND PROFIT &amp; LOSS ACCOUNT</v>
          </cell>
        </row>
        <row r="437">
          <cell r="B437" t="str">
            <v>FOR THE YEAR ENDED 2001</v>
          </cell>
        </row>
        <row r="439">
          <cell r="B439" t="str">
            <v>PARTICULARS</v>
          </cell>
          <cell r="C439">
            <v>0</v>
          </cell>
          <cell r="D439" t="str">
            <v>31.03.01</v>
          </cell>
        </row>
        <row r="441">
          <cell r="B441" t="str">
            <v>INTEREST ACCRUED</v>
          </cell>
        </row>
        <row r="442">
          <cell r="B442" t="str">
            <v>On National Saving Certificates</v>
          </cell>
          <cell r="D442">
            <v>2724</v>
          </cell>
        </row>
        <row r="443">
          <cell r="B443" t="str">
            <v>On Fixed Deposit with Bank</v>
          </cell>
          <cell r="D443">
            <v>25368</v>
          </cell>
        </row>
        <row r="444">
          <cell r="B444" t="str">
            <v>On F.D. with Llyod Finance</v>
          </cell>
          <cell r="D444" t="str">
            <v>-</v>
          </cell>
        </row>
        <row r="445">
          <cell r="D445">
            <v>28092</v>
          </cell>
        </row>
        <row r="448">
          <cell r="B448" t="str">
            <v>PREPAID EXPENSES</v>
          </cell>
        </row>
        <row r="449">
          <cell r="B449" t="str">
            <v>Insurance</v>
          </cell>
          <cell r="D449">
            <v>21866</v>
          </cell>
        </row>
        <row r="450">
          <cell r="B450" t="str">
            <v>Annual Maintainence Contract</v>
          </cell>
          <cell r="D450">
            <v>575</v>
          </cell>
        </row>
        <row r="452">
          <cell r="D452">
            <v>22441</v>
          </cell>
        </row>
        <row r="454">
          <cell r="B454" t="str">
            <v>CREDITORS FOR GOODS</v>
          </cell>
        </row>
        <row r="455">
          <cell r="B455" t="str">
            <v>Aahan Engineerrs P. Ltd.</v>
          </cell>
          <cell r="D455">
            <v>375000</v>
          </cell>
        </row>
        <row r="456">
          <cell r="B456" t="str">
            <v>Bansal  Metalic Oxides</v>
          </cell>
        </row>
        <row r="457">
          <cell r="B457" t="str">
            <v>Bectochem Engineers</v>
          </cell>
          <cell r="D457">
            <v>462392</v>
          </cell>
        </row>
        <row r="458">
          <cell r="B458" t="str">
            <v>Delite Medical Agencies</v>
          </cell>
        </row>
        <row r="459">
          <cell r="B459" t="str">
            <v>Harshad Agencies.</v>
          </cell>
        </row>
        <row r="460">
          <cell r="B460" t="str">
            <v>Kanara Industrial Corp.</v>
          </cell>
          <cell r="D460">
            <v>86527</v>
          </cell>
        </row>
        <row r="461">
          <cell r="B461" t="str">
            <v>Mool Chand &amp; Sons</v>
          </cell>
          <cell r="D461">
            <v>10439</v>
          </cell>
        </row>
        <row r="462">
          <cell r="B462" t="str">
            <v>Nupur Herbal P. Ltd.</v>
          </cell>
          <cell r="D462">
            <v>171080</v>
          </cell>
        </row>
        <row r="463">
          <cell r="B463" t="str">
            <v>Nandu Chemicals P.Ltd.</v>
          </cell>
        </row>
        <row r="464">
          <cell r="B464" t="str">
            <v>Northern Herbals P. Ltd.</v>
          </cell>
        </row>
        <row r="465">
          <cell r="B465" t="str">
            <v>Pankaj Industries</v>
          </cell>
          <cell r="D465">
            <v>251014.39999999999</v>
          </cell>
        </row>
        <row r="466">
          <cell r="B466" t="str">
            <v>Radhika Containers P.Ltd.</v>
          </cell>
          <cell r="D466">
            <v>92334</v>
          </cell>
        </row>
        <row r="467">
          <cell r="B467" t="str">
            <v>Raj Scientific Agencies</v>
          </cell>
        </row>
        <row r="468">
          <cell r="B468" t="str">
            <v>S.J. Chemicals Industries</v>
          </cell>
          <cell r="D468">
            <v>142256</v>
          </cell>
        </row>
        <row r="469">
          <cell r="B469" t="str">
            <v>Savita Scientific &amp; Plastic Product</v>
          </cell>
          <cell r="D469">
            <v>16842</v>
          </cell>
        </row>
        <row r="470">
          <cell r="B470" t="str">
            <v>Science House</v>
          </cell>
        </row>
        <row r="471">
          <cell r="B471" t="str">
            <v>Scientific Sales Syndicate</v>
          </cell>
        </row>
        <row r="472">
          <cell r="B472" t="str">
            <v>Shashi Phytochemical Industries</v>
          </cell>
          <cell r="D472">
            <v>550000</v>
          </cell>
        </row>
        <row r="473">
          <cell r="B473" t="str">
            <v>Spark Chem</v>
          </cell>
        </row>
        <row r="474">
          <cell r="B474" t="str">
            <v>The Gwalior Forest Product</v>
          </cell>
          <cell r="D474">
            <v>802723</v>
          </cell>
        </row>
        <row r="475">
          <cell r="B475" t="str">
            <v>The Scientific &amp; General Agencies</v>
          </cell>
        </row>
        <row r="476">
          <cell r="B476" t="str">
            <v>Themis Laboratories</v>
          </cell>
        </row>
        <row r="477">
          <cell r="B477" t="str">
            <v>Welworth Sales &amp; Services P.Ltd.</v>
          </cell>
          <cell r="D477">
            <v>608000</v>
          </cell>
        </row>
        <row r="479">
          <cell r="D479">
            <v>3568607.4</v>
          </cell>
        </row>
        <row r="481">
          <cell r="B481" t="str">
            <v>CREDITORS FOR EXPENSES</v>
          </cell>
        </row>
        <row r="482">
          <cell r="B482" t="str">
            <v>Abhinandan Associates</v>
          </cell>
        </row>
        <row r="483">
          <cell r="B483" t="str">
            <v>Adron Interior</v>
          </cell>
        </row>
        <row r="484">
          <cell r="B484" t="str">
            <v>Ajmera &amp; Associates</v>
          </cell>
        </row>
        <row r="485">
          <cell r="B485" t="str">
            <v>Abhinandan Associates</v>
          </cell>
        </row>
        <row r="486">
          <cell r="B486" t="str">
            <v>Ajmera &amp; Associates</v>
          </cell>
        </row>
        <row r="487">
          <cell r="B487" t="str">
            <v>Avantika Cooling Services</v>
          </cell>
          <cell r="D487">
            <v>16500</v>
          </cell>
        </row>
        <row r="488">
          <cell r="B488" t="str">
            <v>General Scientific Co.</v>
          </cell>
          <cell r="D488">
            <v>14915</v>
          </cell>
        </row>
        <row r="489">
          <cell r="B489" t="str">
            <v>Oasis Test House</v>
          </cell>
          <cell r="D489">
            <v>600</v>
          </cell>
        </row>
        <row r="490">
          <cell r="B490" t="str">
            <v>Prime Pharmaceuticals</v>
          </cell>
          <cell r="D490">
            <v>14270.85</v>
          </cell>
        </row>
        <row r="491">
          <cell r="B491" t="str">
            <v>American Express Card</v>
          </cell>
          <cell r="D491">
            <v>17458.54</v>
          </cell>
        </row>
        <row r="492">
          <cell r="B492" t="str">
            <v>Amirchand Arjundas</v>
          </cell>
        </row>
        <row r="493">
          <cell r="B493" t="str">
            <v>Audit fees Payable</v>
          </cell>
        </row>
        <row r="494">
          <cell r="B494" t="str">
            <v>Chitter Painter</v>
          </cell>
        </row>
        <row r="495">
          <cell r="B495" t="str">
            <v>Computer Growth</v>
          </cell>
          <cell r="D495">
            <v>1912</v>
          </cell>
        </row>
        <row r="496">
          <cell r="B496" t="str">
            <v>ECGC Payable</v>
          </cell>
        </row>
        <row r="497">
          <cell r="B497" t="str">
            <v>Expeditiors Internatioonal India P. Ltd.</v>
          </cell>
          <cell r="D497">
            <v>320629</v>
          </cell>
        </row>
        <row r="498">
          <cell r="B498" t="str">
            <v>Electric Charges Payable</v>
          </cell>
        </row>
        <row r="499">
          <cell r="B499" t="str">
            <v>Frieght Payable</v>
          </cell>
        </row>
        <row r="500">
          <cell r="B500" t="str">
            <v>Geeta Enterprises</v>
          </cell>
        </row>
        <row r="501">
          <cell r="B501" t="str">
            <v>Jaipur Golden Transport Co.</v>
          </cell>
        </row>
        <row r="502">
          <cell r="B502" t="str">
            <v>Jaipur Publicity Center</v>
          </cell>
        </row>
        <row r="503">
          <cell r="B503" t="str">
            <v>M.Sharma &amp; Associates</v>
          </cell>
        </row>
        <row r="504">
          <cell r="B504" t="str">
            <v>Misc. Expenses Payable</v>
          </cell>
        </row>
        <row r="505">
          <cell r="B505" t="str">
            <v>Nupur Harbals</v>
          </cell>
        </row>
        <row r="506">
          <cell r="B506" t="str">
            <v>Oasis Cellular</v>
          </cell>
        </row>
        <row r="507">
          <cell r="B507" t="str">
            <v>Oasis Test house</v>
          </cell>
        </row>
        <row r="508">
          <cell r="B508" t="str">
            <v>Pest Control Co.</v>
          </cell>
        </row>
        <row r="509">
          <cell r="B509" t="str">
            <v>Pinkcity Marbles</v>
          </cell>
        </row>
        <row r="510">
          <cell r="B510" t="str">
            <v>Postage &amp; Telegraph payable</v>
          </cell>
        </row>
        <row r="511">
          <cell r="B511" t="str">
            <v>Salary &amp; Wages Payable</v>
          </cell>
        </row>
        <row r="512">
          <cell r="B512" t="str">
            <v>Sea Star Services</v>
          </cell>
        </row>
        <row r="513">
          <cell r="B513" t="str">
            <v xml:space="preserve">Sita World Travels </v>
          </cell>
        </row>
        <row r="514">
          <cell r="B514" t="str">
            <v>Superwave Computer</v>
          </cell>
        </row>
        <row r="515">
          <cell r="B515" t="str">
            <v>Telephone Charges Payable</v>
          </cell>
        </row>
        <row r="516">
          <cell r="B516" t="str">
            <v>Utkarsh System Ltd.</v>
          </cell>
        </row>
        <row r="517">
          <cell r="B517" t="str">
            <v>Vinod General Store</v>
          </cell>
        </row>
        <row r="518">
          <cell r="B518" t="str">
            <v>Outstanding Expenses</v>
          </cell>
          <cell r="D518">
            <v>735535.79</v>
          </cell>
        </row>
        <row r="520">
          <cell r="D520">
            <v>1121821.1800000002</v>
          </cell>
        </row>
        <row r="522">
          <cell r="B522" t="str">
            <v>OUTSTANDING EXPENSES</v>
          </cell>
        </row>
        <row r="523">
          <cell r="B523" t="str">
            <v>Electricity</v>
          </cell>
          <cell r="D523">
            <v>97785</v>
          </cell>
        </row>
        <row r="524">
          <cell r="B524" t="str">
            <v>Salary</v>
          </cell>
          <cell r="D524">
            <v>182087</v>
          </cell>
        </row>
        <row r="525">
          <cell r="B525" t="str">
            <v>Wages</v>
          </cell>
          <cell r="D525">
            <v>59375</v>
          </cell>
        </row>
        <row r="526">
          <cell r="B526" t="str">
            <v>Garden Maintainence</v>
          </cell>
          <cell r="D526">
            <v>800</v>
          </cell>
        </row>
        <row r="527">
          <cell r="B527" t="str">
            <v>Professional; &amp; Consulatancy</v>
          </cell>
          <cell r="D527">
            <v>500</v>
          </cell>
        </row>
        <row r="528">
          <cell r="B528" t="str">
            <v>SalaryDeduction</v>
          </cell>
          <cell r="D528">
            <v>25868</v>
          </cell>
        </row>
        <row r="529">
          <cell r="B529" t="str">
            <v>Salary Deduction</v>
          </cell>
          <cell r="D529">
            <v>19637</v>
          </cell>
        </row>
        <row r="530">
          <cell r="B530" t="str">
            <v>Travelling</v>
          </cell>
          <cell r="D530">
            <v>1960</v>
          </cell>
        </row>
        <row r="531">
          <cell r="B531" t="str">
            <v>Power</v>
          </cell>
          <cell r="D531">
            <v>414</v>
          </cell>
        </row>
        <row r="532">
          <cell r="B532" t="str">
            <v>Telephone</v>
          </cell>
          <cell r="D532">
            <v>10000</v>
          </cell>
        </row>
        <row r="533">
          <cell r="B533" t="str">
            <v>Audit Fees</v>
          </cell>
          <cell r="D533">
            <v>52500</v>
          </cell>
        </row>
        <row r="534">
          <cell r="B534" t="str">
            <v>Ecgc Charges</v>
          </cell>
          <cell r="D534">
            <v>2906</v>
          </cell>
        </row>
        <row r="535">
          <cell r="B535" t="str">
            <v>Commission on Purchase</v>
          </cell>
          <cell r="D535">
            <v>159564</v>
          </cell>
        </row>
        <row r="536">
          <cell r="B536" t="str">
            <v>Service Charges</v>
          </cell>
          <cell r="D536">
            <v>12706</v>
          </cell>
        </row>
        <row r="537">
          <cell r="B537" t="str">
            <v>Staff Bonus</v>
          </cell>
          <cell r="D537">
            <v>109433.79</v>
          </cell>
        </row>
        <row r="539">
          <cell r="D539">
            <v>735535.79</v>
          </cell>
        </row>
        <row r="541">
          <cell r="B541" t="str">
            <v>T.D.S. PAYABLE</v>
          </cell>
        </row>
        <row r="542">
          <cell r="B542" t="str">
            <v>On Salary</v>
          </cell>
          <cell r="D542">
            <v>26264</v>
          </cell>
        </row>
        <row r="543">
          <cell r="B543" t="str">
            <v>On Professionals</v>
          </cell>
          <cell r="D543">
            <v>1250</v>
          </cell>
        </row>
        <row r="545">
          <cell r="D545">
            <v>27514</v>
          </cell>
        </row>
        <row r="547">
          <cell r="B547" t="str">
            <v>Steam Pure Chemicals</v>
          </cell>
          <cell r="D547">
            <v>0</v>
          </cell>
        </row>
        <row r="548">
          <cell r="B548" t="str">
            <v>Forbes Pharmaceuticals</v>
          </cell>
        </row>
        <row r="549">
          <cell r="B549" t="str">
            <v>Lason Engineering Co. Ltd.</v>
          </cell>
        </row>
        <row r="550">
          <cell r="B550" t="str">
            <v>Unimex</v>
          </cell>
          <cell r="D550">
            <v>0</v>
          </cell>
        </row>
        <row r="551">
          <cell r="B551" t="str">
            <v>Alta Laboratories</v>
          </cell>
          <cell r="D551">
            <v>0</v>
          </cell>
        </row>
        <row r="552">
          <cell r="B552" t="str">
            <v>S.d.Fine Chem Ltd.</v>
          </cell>
        </row>
        <row r="553">
          <cell r="D553">
            <v>0</v>
          </cell>
        </row>
      </sheetData>
      <sheetData sheetId="6"/>
      <sheetData sheetId="7"/>
      <sheetData sheetId="8"/>
      <sheetData sheetId="9"/>
      <sheetData sheetId="10"/>
      <sheetData sheetId="11" refreshError="1"/>
      <sheetData sheetId="12" refreshError="1"/>
      <sheetData sheetId="13"/>
      <sheetData sheetId="14"/>
      <sheetData sheetId="15"/>
      <sheetData sheetId="16">
        <row r="434">
          <cell r="B434" t="str">
            <v>AMOL PHARMACEUTICALS P. LTD.</v>
          </cell>
        </row>
      </sheetData>
      <sheetData sheetId="17">
        <row r="434">
          <cell r="B434" t="str">
            <v>AMOL PHARMACEUTICALS P. LTD.</v>
          </cell>
        </row>
      </sheetData>
      <sheetData sheetId="18"/>
      <sheetData sheetId="19"/>
      <sheetData sheetId="20"/>
      <sheetData sheetId="21"/>
      <sheetData sheetId="22"/>
      <sheetData sheetId="23"/>
      <sheetData sheetId="24">
        <row r="434">
          <cell r="B434" t="str">
            <v>AMOL PHARMACEUTICALS P. LTD.</v>
          </cell>
        </row>
      </sheetData>
      <sheetData sheetId="25">
        <row r="434">
          <cell r="B434" t="str">
            <v>AMOL PHARMACEUTICALS P. LTD.</v>
          </cell>
        </row>
      </sheetData>
      <sheetData sheetId="26"/>
      <sheetData sheetId="27"/>
      <sheetData sheetId="28"/>
      <sheetData sheetId="29"/>
      <sheetData sheetId="30"/>
      <sheetData sheetId="31"/>
      <sheetData sheetId="32">
        <row r="434">
          <cell r="B434" t="str">
            <v>AMOL PHARMACEUTICALS P. LTD.</v>
          </cell>
        </row>
      </sheetData>
      <sheetData sheetId="33">
        <row r="434">
          <cell r="B434" t="str">
            <v>AMOL PHARMACEUTICALS P. LTD.</v>
          </cell>
        </row>
      </sheetData>
      <sheetData sheetId="34"/>
      <sheetData sheetId="35"/>
      <sheetData sheetId="3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0HHC"/>
      <sheetName val="80"/>
      <sheetName val="80HHC- final"/>
      <sheetName val="FAAMOL"/>
      <sheetName val="rough"/>
      <sheetName val="BS &amp; Pr &amp; Loss"/>
      <sheetName val="80HHC-_final1"/>
      <sheetName val="BS_&amp;_Pr_&amp;_Loss1"/>
      <sheetName val="80HHC-_final"/>
      <sheetName val="BS_&amp;_Pr_&amp;_Loss"/>
      <sheetName val="80HHC-_final2"/>
      <sheetName val="BS_&amp;_Pr_&amp;_Loss2"/>
    </sheetNames>
    <sheetDataSet>
      <sheetData sheetId="0"/>
      <sheetData sheetId="1"/>
      <sheetData sheetId="2">
        <row r="3">
          <cell r="B3" t="str">
            <v>JASICA IMPEX</v>
          </cell>
        </row>
        <row r="5">
          <cell r="B5" t="str">
            <v>ASSESSMENT YEAR 2001-2002</v>
          </cell>
        </row>
        <row r="7">
          <cell r="B7" t="str">
            <v>ANNEXURE TO CALCULATION OF DEDUCTION UNDER SECTION 80HHC</v>
          </cell>
        </row>
        <row r="9">
          <cell r="B9" t="str">
            <v>EXPORT TUNOVER</v>
          </cell>
          <cell r="G9" t="str">
            <v>TRADED</v>
          </cell>
          <cell r="H9" t="str">
            <v>MANU.</v>
          </cell>
          <cell r="I9" t="str">
            <v>TOTAL</v>
          </cell>
        </row>
        <row r="10">
          <cell r="G10" t="str">
            <v>GOODS</v>
          </cell>
          <cell r="H10" t="str">
            <v>GOODS</v>
          </cell>
          <cell r="I10" t="str">
            <v>TURNOVER</v>
          </cell>
        </row>
        <row r="12">
          <cell r="B12" t="str">
            <v xml:space="preserve">Turnover As Per Balance Sheet </v>
          </cell>
          <cell r="G12">
            <v>37484055</v>
          </cell>
          <cell r="H12">
            <v>116802</v>
          </cell>
          <cell r="I12">
            <v>37600857</v>
          </cell>
        </row>
        <row r="13">
          <cell r="B13" t="str">
            <v>Add: Exchange Fluctuation</v>
          </cell>
          <cell r="G13">
            <v>241671</v>
          </cell>
          <cell r="H13">
            <v>0</v>
          </cell>
          <cell r="I13">
            <v>241671</v>
          </cell>
        </row>
        <row r="14">
          <cell r="C14" t="str">
            <v>(A)</v>
          </cell>
          <cell r="G14">
            <v>37725726</v>
          </cell>
          <cell r="H14">
            <v>116802</v>
          </cell>
          <cell r="I14">
            <v>37842528</v>
          </cell>
        </row>
        <row r="15">
          <cell r="B15" t="str">
            <v xml:space="preserve">Less : Expenses </v>
          </cell>
        </row>
        <row r="16">
          <cell r="B16" t="str">
            <v xml:space="preserve">   Freight &amp; Insurance Attributed to Transport Of</v>
          </cell>
        </row>
        <row r="17">
          <cell r="B17" t="str">
            <v xml:space="preserve">      Goods Beyond the Custom Limit</v>
          </cell>
          <cell r="F17">
            <v>0</v>
          </cell>
        </row>
        <row r="18">
          <cell r="D18" t="str">
            <v>Freight</v>
          </cell>
          <cell r="G18">
            <v>2374777</v>
          </cell>
          <cell r="H18">
            <v>6991</v>
          </cell>
          <cell r="I18">
            <v>2381768</v>
          </cell>
        </row>
        <row r="19">
          <cell r="D19" t="str">
            <v>Insurance</v>
          </cell>
          <cell r="G19">
            <v>35448</v>
          </cell>
          <cell r="H19">
            <v>0</v>
          </cell>
          <cell r="I19">
            <v>35448</v>
          </cell>
        </row>
        <row r="20">
          <cell r="D20" t="str">
            <v>(B)</v>
          </cell>
          <cell r="G20">
            <v>2410225</v>
          </cell>
          <cell r="H20">
            <v>6991</v>
          </cell>
          <cell r="I20">
            <v>2417216</v>
          </cell>
        </row>
        <row r="21">
          <cell r="C21" t="str">
            <v>Total Turnover (A-B)</v>
          </cell>
          <cell r="G21">
            <v>35315501</v>
          </cell>
          <cell r="H21">
            <v>109811</v>
          </cell>
          <cell r="I21">
            <v>35425312</v>
          </cell>
        </row>
        <row r="22">
          <cell r="C22" t="str">
            <v xml:space="preserve">Export Turnover </v>
          </cell>
          <cell r="G22">
            <v>35315501</v>
          </cell>
          <cell r="H22">
            <v>109811</v>
          </cell>
          <cell r="I22">
            <v>35425312</v>
          </cell>
        </row>
        <row r="25">
          <cell r="B25" t="str">
            <v>DIRECT COST</v>
          </cell>
          <cell r="G25">
            <v>36097615.441343293</v>
          </cell>
          <cell r="H25">
            <v>184146.58235386317</v>
          </cell>
          <cell r="I25">
            <v>36281762.023697153</v>
          </cell>
        </row>
        <row r="28">
          <cell r="B28" t="str">
            <v>INDIRECT COST</v>
          </cell>
        </row>
        <row r="30">
          <cell r="B30" t="str">
            <v>Administrative Expenses</v>
          </cell>
          <cell r="I30">
            <v>574394.53</v>
          </cell>
        </row>
        <row r="31">
          <cell r="B31" t="str">
            <v>Selling Expenses</v>
          </cell>
          <cell r="I31">
            <v>542614.5</v>
          </cell>
        </row>
        <row r="32">
          <cell r="B32" t="str">
            <v>Financial Expenses</v>
          </cell>
          <cell r="I32">
            <v>548391.67999999993</v>
          </cell>
        </row>
        <row r="34">
          <cell r="E34" t="str">
            <v>Indirect Cost</v>
          </cell>
          <cell r="I34">
            <v>1665400.71</v>
          </cell>
        </row>
        <row r="36">
          <cell r="B36" t="str">
            <v>PROFIT OF TRADING GOODS</v>
          </cell>
        </row>
        <row r="38">
          <cell r="B38" t="str">
            <v>Export Sale (Trading Goods)</v>
          </cell>
          <cell r="I38">
            <v>35315501</v>
          </cell>
        </row>
        <row r="39">
          <cell r="B39" t="str">
            <v>Less : Direct Cost</v>
          </cell>
          <cell r="I39">
            <v>36097615.441343293</v>
          </cell>
        </row>
        <row r="40">
          <cell r="B40" t="str">
            <v>Less  :  Indirect Cost</v>
          </cell>
          <cell r="I40">
            <v>1660238.3188440432</v>
          </cell>
        </row>
        <row r="42">
          <cell r="B42" t="str">
            <v>PROFIT OF TRADING GOODS</v>
          </cell>
          <cell r="I42">
            <v>-2442352.7601873358</v>
          </cell>
        </row>
        <row r="44">
          <cell r="B44" t="str">
            <v>PROFIT OF THE BUSINESS</v>
          </cell>
        </row>
        <row r="46">
          <cell r="B46" t="str">
            <v>Net Profit As Per P&amp;L Account</v>
          </cell>
          <cell r="I46">
            <v>3566371.6300000027</v>
          </cell>
        </row>
        <row r="47">
          <cell r="B47" t="str">
            <v>Add  :  Depreciation As Per Companies Act</v>
          </cell>
          <cell r="I47">
            <v>0</v>
          </cell>
        </row>
        <row r="48">
          <cell r="I48">
            <v>3566371.6300000027</v>
          </cell>
        </row>
        <row r="49">
          <cell r="B49" t="str">
            <v>Less  :  Depriciation As per Income Tax Act</v>
          </cell>
          <cell r="H49">
            <v>0</v>
          </cell>
        </row>
        <row r="50">
          <cell r="B50" t="str">
            <v xml:space="preserve">               90% of Export Incentives</v>
          </cell>
          <cell r="H50">
            <v>5629104</v>
          </cell>
        </row>
        <row r="51">
          <cell r="I51">
            <v>5629104</v>
          </cell>
        </row>
        <row r="52">
          <cell r="D52" t="str">
            <v>Profit of the business</v>
          </cell>
          <cell r="I52">
            <v>-2062732.3699999973</v>
          </cell>
        </row>
        <row r="54">
          <cell r="B54" t="str">
            <v>ADJUSTED PROFIT OF THE BUSINESS</v>
          </cell>
        </row>
        <row r="56">
          <cell r="B56" t="str">
            <v>Profit of the business</v>
          </cell>
          <cell r="I56">
            <v>-2062732.3699999973</v>
          </cell>
        </row>
        <row r="57">
          <cell r="B57" t="str">
            <v>Less  :  Profit of trading goods</v>
          </cell>
          <cell r="I57">
            <v>-2442352.7601873358</v>
          </cell>
        </row>
        <row r="59">
          <cell r="C59" t="str">
            <v>ADJUSTED PROFIT OF THE BUSINESS</v>
          </cell>
          <cell r="I59">
            <v>379620.39018733846</v>
          </cell>
        </row>
        <row r="61">
          <cell r="B61" t="str">
            <v>DEDUCTION AVAILABLE UNDER SECTION 80HHC</v>
          </cell>
        </row>
        <row r="63">
          <cell r="B63" t="str">
            <v>Profit Of Trading Goods</v>
          </cell>
          <cell r="I63">
            <v>0</v>
          </cell>
        </row>
        <row r="64">
          <cell r="B64" t="str">
            <v>Adjusted Profit Of The Business</v>
          </cell>
          <cell r="I64">
            <v>379620.39018733846</v>
          </cell>
        </row>
        <row r="65">
          <cell r="B65" t="str">
            <v>90% of Export Incentives</v>
          </cell>
          <cell r="I65">
            <v>5629104</v>
          </cell>
        </row>
        <row r="67">
          <cell r="B67" t="str">
            <v>DEDUCTION UNDER SECTION 80HHC</v>
          </cell>
          <cell r="I67">
            <v>6008724.390187338</v>
          </cell>
        </row>
        <row r="69">
          <cell r="B69" t="str">
            <v>80% of DEDUCTION AVAILABLE UNDER SECTION 80HHC</v>
          </cell>
          <cell r="I69">
            <v>4806979.5121498704</v>
          </cell>
        </row>
      </sheetData>
      <sheetData sheetId="3"/>
      <sheetData sheetId="4" refreshError="1"/>
      <sheetData sheetId="5" refreshError="1"/>
      <sheetData sheetId="6">
        <row r="3">
          <cell r="B3" t="str">
            <v>JASICA IMPEX</v>
          </cell>
        </row>
      </sheetData>
      <sheetData sheetId="7"/>
      <sheetData sheetId="8">
        <row r="3">
          <cell r="B3" t="str">
            <v>JASICA IMPEX</v>
          </cell>
        </row>
      </sheetData>
      <sheetData sheetId="9"/>
      <sheetData sheetId="10">
        <row r="3">
          <cell r="B3" t="str">
            <v>JASICA IMPEX</v>
          </cell>
        </row>
      </sheetData>
      <sheetData sheetId="1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stic molded furniture"/>
      <sheetName val=" jobwork-val."/>
      <sheetName val="jobwork detail"/>
      <sheetName val="Rework"/>
      <sheetName val="bank stock 31.3.03"/>
      <sheetName val="rm &amp; pm Reco.&amp; val"/>
      <sheetName val="stock reco - excise"/>
      <sheetName val="FG valuation"/>
      <sheetName val="WORKING OF TDS"/>
      <sheetName val="TDS"/>
      <sheetName val="AS 31.3.2003"/>
      <sheetName val="AS 22 1.4.2002"/>
      <sheetName val="COMPENSATION"/>
      <sheetName val="bal sheet  31.3.03."/>
      <sheetName val="RATIOS"/>
      <sheetName val="COMPUTATION"/>
      <sheetName val="CO-DEP"/>
      <sheetName val="DEPN TAX"/>
      <sheetName val="Excise Reco.- duty"/>
      <sheetName val="I.T.Workings"/>
      <sheetName val="ELECTRICITY"/>
      <sheetName val="Stock"/>
      <sheetName val="workin"/>
      <sheetName val="Sheet2"/>
      <sheetName val="rough"/>
      <sheetName val="(EVL) compens."/>
      <sheetName val="work"/>
      <sheetName val="sch E ( a)"/>
      <sheetName val="working"/>
      <sheetName val="80HHC- final"/>
      <sheetName val="plastic_molded_furniture1"/>
      <sheetName val="_jobwork-val_1"/>
      <sheetName val="jobwork_detail1"/>
      <sheetName val="bank_stock_31_3_031"/>
      <sheetName val="rm_&amp;_pm_Reco_&amp;_val1"/>
      <sheetName val="stock_reco_-_excise1"/>
      <sheetName val="FG_valuation1"/>
      <sheetName val="WORKING_OF_TDS1"/>
      <sheetName val="AS_31_3_20031"/>
      <sheetName val="AS_22_1_4_20021"/>
      <sheetName val="bal_sheet__31_3_03_1"/>
      <sheetName val="DEPN_TAX1"/>
      <sheetName val="Excise_Reco_-_duty1"/>
      <sheetName val="I_T_Workings1"/>
      <sheetName val="(EVL)_compens_1"/>
      <sheetName val="sch_E_(_a)1"/>
      <sheetName val="80HHC-_final1"/>
      <sheetName val="plastic_molded_furniture"/>
      <sheetName val="_jobwork-val_"/>
      <sheetName val="jobwork_detail"/>
      <sheetName val="bank_stock_31_3_03"/>
      <sheetName val="rm_&amp;_pm_Reco_&amp;_val"/>
      <sheetName val="stock_reco_-_excise"/>
      <sheetName val="FG_valuation"/>
      <sheetName val="WORKING_OF_TDS"/>
      <sheetName val="AS_31_3_2003"/>
      <sheetName val="AS_22_1_4_2002"/>
      <sheetName val="bal_sheet__31_3_03_"/>
      <sheetName val="DEPN_TAX"/>
      <sheetName val="Excise_Reco_-_duty"/>
      <sheetName val="I_T_Workings"/>
      <sheetName val="(EVL)_compens_"/>
      <sheetName val="sch_E_(_a)"/>
      <sheetName val="80HHC-_final"/>
      <sheetName val="plastic_molded_furniture2"/>
      <sheetName val="_jobwork-val_2"/>
      <sheetName val="jobwork_detail2"/>
      <sheetName val="bank_stock_31_3_032"/>
      <sheetName val="rm_&amp;_pm_Reco_&amp;_val2"/>
      <sheetName val="stock_reco_-_excise2"/>
      <sheetName val="FG_valuation2"/>
      <sheetName val="WORKING_OF_TDS2"/>
      <sheetName val="AS_31_3_20032"/>
      <sheetName val="AS_22_1_4_20022"/>
      <sheetName val="bal_sheet__31_3_03_2"/>
      <sheetName val="DEPN_TAX2"/>
      <sheetName val="Excise_Reco_-_duty2"/>
      <sheetName val="I_T_Workings2"/>
      <sheetName val="(EVL)_compens_2"/>
      <sheetName val="sch_E_(_a)2"/>
      <sheetName val="80HHC-_fin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 val="10"/>
      <sheetName val="11"/>
      <sheetName val="Useful_Life"/>
      <sheetName val="Settings"/>
      <sheetName val="Ab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8">
          <cell r="C28" t="str">
            <v>Motor Cycles (Two-Wheelers)</v>
          </cell>
        </row>
        <row r="29">
          <cell r="C29" t="str">
            <v>Motor Cars</v>
          </cell>
        </row>
        <row r="30">
          <cell r="C30" t="str">
            <v>Motor Lorries</v>
          </cell>
        </row>
        <row r="31">
          <cell r="C31" t="str">
            <v>Motor Buses</v>
          </cell>
        </row>
        <row r="32">
          <cell r="C32" t="str">
            <v>Motor Cars used in a business of hire</v>
          </cell>
        </row>
        <row r="33">
          <cell r="C33" t="str">
            <v>Motor tractors, harvesting combines and heavy vehicles</v>
          </cell>
        </row>
        <row r="34">
          <cell r="C34" t="str">
            <v>Electrically operated vehicles</v>
          </cell>
        </row>
      </sheetData>
      <sheetData sheetId="13" refreshError="1"/>
      <sheetData sheetId="1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9SS (final)"/>
      <sheetName val="269T(final)"/>
      <sheetName val="269T_final_"/>
      <sheetName val="Data for Multiple &amp; ratios"/>
      <sheetName val="269SS_(final)1"/>
      <sheetName val="Data_for_Multiple_&amp;_ratios1"/>
      <sheetName val="269SS_(final)"/>
      <sheetName val="Data_for_Multiple_&amp;_ratios"/>
      <sheetName val="269SS_(final)2"/>
      <sheetName val="Data_for_Multiple_&amp;_ratios2"/>
    </sheetNames>
    <sheetDataSet>
      <sheetData sheetId="0"/>
      <sheetData sheetId="1"/>
      <sheetData sheetId="2"/>
      <sheetData sheetId="3" refreshError="1"/>
      <sheetData sheetId="4"/>
      <sheetData sheetId="5"/>
      <sheetData sheetId="6"/>
      <sheetData sheetId="7"/>
      <sheetData sheetId="8"/>
      <sheetData sheetId="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
      <sheetName val="tb"/>
      <sheetName val="RAJNI01"/>
      <sheetName val="CRITERIA1"/>
      <sheetName val="269T(final)"/>
      <sheetName val="master"/>
      <sheetName val="BS SCH A-D"/>
      <sheetName val="ASSUMPTIONS"/>
      <sheetName val="FPS"/>
      <sheetName val="PBCLIST"/>
      <sheetName val="Sheet3 (2)"/>
      <sheetName val="DAMAGE"/>
      <sheetName val="Total ACA"/>
      <sheetName val="BIPR"/>
      <sheetName val="BPCA"/>
      <sheetName val="BBRS"/>
      <sheetName val="3-5"/>
      <sheetName val="tb31-03-03"/>
      <sheetName val="LE-FTE-Nos"/>
      <sheetName val="VCS - Dec - G&amp;T"/>
      <sheetName val="gen ledger data"/>
      <sheetName val="A"/>
      <sheetName val="INPUTMISC"/>
      <sheetName val="FAR Dec 15"/>
      <sheetName val="Insight 23-5-00"/>
      <sheetName val="Parameter_sheet"/>
      <sheetName val="A-D"/>
      <sheetName val="Plant Master"/>
      <sheetName val="Must Fill"/>
      <sheetName val="Sheet2"/>
      <sheetName val="RMPGR"/>
      <sheetName val="1"/>
      <sheetName val="2"/>
      <sheetName val="3"/>
      <sheetName val="4"/>
      <sheetName val="5"/>
      <sheetName val="6"/>
      <sheetName val="7"/>
      <sheetName val="8"/>
      <sheetName val="9"/>
      <sheetName val="10"/>
      <sheetName val="11"/>
      <sheetName val="12"/>
      <sheetName val="YTD"/>
      <sheetName val="Comp"/>
      <sheetName val="UPLA"/>
      <sheetName val="Cost Model"/>
      <sheetName val="Ledger"/>
      <sheetName val="HONOTES"/>
      <sheetName val="BS_SCH_A-D1"/>
      <sheetName val="Sheet3_(2)1"/>
      <sheetName val="Total_ACA1"/>
      <sheetName val="VCS_-_Dec_-_G&amp;T1"/>
      <sheetName val="gen_ledger_data1"/>
      <sheetName val="FAR_Dec_151"/>
      <sheetName val="Insight_23-5-001"/>
      <sheetName val="Plant_Master1"/>
      <sheetName val="Must_Fill1"/>
      <sheetName val="Cost_Model1"/>
      <sheetName val="BS_SCH_A-D"/>
      <sheetName val="Sheet3_(2)"/>
      <sheetName val="Total_ACA"/>
      <sheetName val="VCS_-_Dec_-_G&amp;T"/>
      <sheetName val="gen_ledger_data"/>
      <sheetName val="FAR_Dec_15"/>
      <sheetName val="Insight_23-5-00"/>
      <sheetName val="Plant_Master"/>
      <sheetName val="Must_Fill"/>
      <sheetName val="Cost_Model"/>
      <sheetName val="BS_SCH_A-D2"/>
      <sheetName val="Sheet3_(2)2"/>
      <sheetName val="Total_ACA2"/>
      <sheetName val="VCS_-_Dec_-_G&amp;T2"/>
      <sheetName val="gen_ledger_data2"/>
      <sheetName val="FAR_Dec_152"/>
      <sheetName val="Insight_23-5-002"/>
      <sheetName val="Plant_Master2"/>
      <sheetName val="Must_Fill2"/>
      <sheetName val="Cost_Model2"/>
      <sheetName val="Rates"/>
      <sheetName val="BS Rec Control Sheet"/>
      <sheetName val="Ann.II"/>
      <sheetName val="ras"/>
      <sheetName val="Credit Ratings"/>
      <sheetName val="Keys"/>
      <sheetName val="Sheet1"/>
      <sheetName val="Prodn Report"/>
      <sheetName val="inventories"/>
      <sheetName val="Lists"/>
      <sheetName val="PL"/>
      <sheetName val="F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stic"/>
      <sheetName val="jobwork reco"/>
      <sheetName val=" jobwork-val."/>
      <sheetName val="RM"/>
      <sheetName val="FG valuation(nos.)"/>
      <sheetName val="Stock"/>
      <sheetName val="workin"/>
      <sheetName val="Sheet2"/>
      <sheetName val="rough"/>
      <sheetName val="(EVL) compens."/>
      <sheetName val="work"/>
      <sheetName val="sch E ( a)"/>
      <sheetName val="working"/>
      <sheetName val="BS &amp; Pr &amp; Loss"/>
      <sheetName val="BS 590"/>
      <sheetName val="jobwork_reco1"/>
      <sheetName val="_jobwork-val_1"/>
      <sheetName val="FG_valuation(nos_)1"/>
      <sheetName val="(EVL)_compens_1"/>
      <sheetName val="sch_E_(_a)1"/>
      <sheetName val="BS_&amp;_Pr_&amp;_Loss1"/>
      <sheetName val="BS_5901"/>
      <sheetName val="jobwork_reco"/>
      <sheetName val="_jobwork-val_"/>
      <sheetName val="FG_valuation(nos_)"/>
      <sheetName val="(EVL)_compens_"/>
      <sheetName val="sch_E_(_a)"/>
      <sheetName val="BS_&amp;_Pr_&amp;_Loss"/>
      <sheetName val="BS_590"/>
      <sheetName val="jobwork_reco2"/>
      <sheetName val="_jobwork-val_2"/>
      <sheetName val="FG_valuation(nos_)2"/>
      <sheetName val="(EVL)_compens_2"/>
      <sheetName val="sch_E_(_a)2"/>
      <sheetName val="BS_&amp;_Pr_&amp;_Loss2"/>
      <sheetName val="BS_5902"/>
    </sheetNames>
    <sheetDataSet>
      <sheetData sheetId="0"/>
      <sheetData sheetId="1"/>
      <sheetData sheetId="2"/>
      <sheetData sheetId="3"/>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stic molded furniture"/>
      <sheetName val=" jobwork-val."/>
      <sheetName val="jobwork detail"/>
      <sheetName val="Rework"/>
      <sheetName val="bank stock 31.3.03"/>
      <sheetName val="rm &amp; pm Reco.&amp; val"/>
      <sheetName val="stock reco - excise"/>
      <sheetName val="FG valuation"/>
      <sheetName val="WORKING OF TDS"/>
      <sheetName val="TDS"/>
      <sheetName val="AS 31.3.2003"/>
      <sheetName val="AS 22 1.4.2002"/>
      <sheetName val="COMPENSATION"/>
      <sheetName val="bal sheet  31.3.03."/>
      <sheetName val="RATIOS"/>
      <sheetName val="COMPUTATION"/>
      <sheetName val="CO-DEP"/>
      <sheetName val="DEPN TAX"/>
      <sheetName val="Excise Reco.- duty"/>
      <sheetName val="I.T.Workings"/>
      <sheetName val="ELECTRICITY"/>
      <sheetName val="Stock"/>
      <sheetName val="workin"/>
      <sheetName val="Sheet2"/>
      <sheetName val="rough"/>
      <sheetName val="(EVL) compens."/>
      <sheetName val="work"/>
      <sheetName val="sch E ( a)"/>
      <sheetName val="working"/>
      <sheetName val="80HHC- final"/>
      <sheetName val="plastic_molded_furniture1"/>
      <sheetName val="_jobwork-val_1"/>
      <sheetName val="jobwork_detail1"/>
      <sheetName val="bank_stock_31_3_031"/>
      <sheetName val="rm_&amp;_pm_Reco_&amp;_val1"/>
      <sheetName val="stock_reco_-_excise1"/>
      <sheetName val="FG_valuation1"/>
      <sheetName val="WORKING_OF_TDS1"/>
      <sheetName val="AS_31_3_20031"/>
      <sheetName val="AS_22_1_4_20021"/>
      <sheetName val="bal_sheet__31_3_03_1"/>
      <sheetName val="DEPN_TAX1"/>
      <sheetName val="Excise_Reco_-_duty1"/>
      <sheetName val="I_T_Workings1"/>
      <sheetName val="(EVL)_compens_1"/>
      <sheetName val="sch_E_(_a)1"/>
      <sheetName val="80HHC-_final1"/>
      <sheetName val="plastic_molded_furniture"/>
      <sheetName val="_jobwork-val_"/>
      <sheetName val="jobwork_detail"/>
      <sheetName val="bank_stock_31_3_03"/>
      <sheetName val="rm_&amp;_pm_Reco_&amp;_val"/>
      <sheetName val="stock_reco_-_excise"/>
      <sheetName val="FG_valuation"/>
      <sheetName val="WORKING_OF_TDS"/>
      <sheetName val="AS_31_3_2003"/>
      <sheetName val="AS_22_1_4_2002"/>
      <sheetName val="bal_sheet__31_3_03_"/>
      <sheetName val="DEPN_TAX"/>
      <sheetName val="Excise_Reco_-_duty"/>
      <sheetName val="I_T_Workings"/>
      <sheetName val="(EVL)_compens_"/>
      <sheetName val="sch_E_(_a)"/>
      <sheetName val="80HHC-_final"/>
      <sheetName val="plastic_molded_furniture2"/>
      <sheetName val="_jobwork-val_2"/>
      <sheetName val="jobwork_detail2"/>
      <sheetName val="bank_stock_31_3_032"/>
      <sheetName val="rm_&amp;_pm_Reco_&amp;_val2"/>
      <sheetName val="stock_reco_-_excise2"/>
      <sheetName val="FG_valuation2"/>
      <sheetName val="WORKING_OF_TDS2"/>
      <sheetName val="AS_31_3_20032"/>
      <sheetName val="AS_22_1_4_20022"/>
      <sheetName val="bal_sheet__31_3_03_2"/>
      <sheetName val="DEPN_TAX2"/>
      <sheetName val="Excise_Reco_-_duty2"/>
      <sheetName val="I_T_Workings2"/>
      <sheetName val="(EVL)_compens_2"/>
      <sheetName val="sch_E_(_a)2"/>
      <sheetName val="80HHC-_fin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 val="BS"/>
      <sheetName val="Control"/>
      <sheetName val="Agency BS"/>
    </sheetNames>
    <sheetDataSet>
      <sheetData sheetId="0" refreshError="1">
        <row r="540">
          <cell r="A540">
            <v>200000</v>
          </cell>
          <cell r="B540" t="str">
            <v>Loss On Sales Of Fixed Assets</v>
          </cell>
          <cell r="C540">
            <v>15657.47</v>
          </cell>
        </row>
        <row r="541">
          <cell r="A541">
            <v>201000</v>
          </cell>
          <cell r="B541" t="str">
            <v>Other non operating expenses</v>
          </cell>
          <cell r="C541">
            <v>13950</v>
          </cell>
        </row>
        <row r="542">
          <cell r="A542">
            <v>203000</v>
          </cell>
          <cell r="B542" t="str">
            <v>Bad Debts written off</v>
          </cell>
          <cell r="C542">
            <v>2482968.1800000002</v>
          </cell>
        </row>
        <row r="543">
          <cell r="A543">
            <v>203100</v>
          </cell>
          <cell r="B543" t="str">
            <v>Balances Written Off</v>
          </cell>
          <cell r="C543">
            <v>55200.2</v>
          </cell>
        </row>
        <row r="544">
          <cell r="A544">
            <v>203101</v>
          </cell>
          <cell r="B544" t="str">
            <v>Balances Written Back</v>
          </cell>
          <cell r="C544">
            <v>-1333882.21</v>
          </cell>
        </row>
        <row r="545">
          <cell r="A545">
            <v>211130</v>
          </cell>
          <cell r="B545" t="str">
            <v>Depreciation-plant and machinery</v>
          </cell>
          <cell r="C545">
            <v>1259185.01</v>
          </cell>
        </row>
        <row r="546">
          <cell r="A546">
            <v>211150</v>
          </cell>
          <cell r="B546" t="str">
            <v>Depreciation-Vehicles</v>
          </cell>
          <cell r="C546">
            <v>512313.66</v>
          </cell>
        </row>
        <row r="547">
          <cell r="A547">
            <v>211160</v>
          </cell>
          <cell r="B547" t="str">
            <v>Depreciation-office equipment</v>
          </cell>
          <cell r="C547">
            <v>594911.77</v>
          </cell>
        </row>
        <row r="548">
          <cell r="A548">
            <v>211180</v>
          </cell>
          <cell r="B548" t="str">
            <v>Depreciation -Computers</v>
          </cell>
          <cell r="C548">
            <v>4349481.34</v>
          </cell>
        </row>
        <row r="549">
          <cell r="A549">
            <v>211190</v>
          </cell>
          <cell r="B549" t="str">
            <v>Depreciation on furniture</v>
          </cell>
          <cell r="C549">
            <v>831805.58</v>
          </cell>
        </row>
        <row r="550">
          <cell r="A550">
            <v>211300</v>
          </cell>
          <cell r="B550" t="str">
            <v>Goodwill Written Off</v>
          </cell>
          <cell r="C550">
            <v>7692300</v>
          </cell>
        </row>
        <row r="551">
          <cell r="A551">
            <v>211310</v>
          </cell>
          <cell r="B551" t="str">
            <v>Business value W/Off</v>
          </cell>
          <cell r="C551">
            <v>13643100</v>
          </cell>
        </row>
        <row r="552">
          <cell r="A552">
            <v>211320</v>
          </cell>
          <cell r="B552" t="str">
            <v>Non-Compete fees W/off</v>
          </cell>
          <cell r="C552">
            <v>34463269.299999997</v>
          </cell>
        </row>
        <row r="553">
          <cell r="A553">
            <v>211330</v>
          </cell>
          <cell r="B553" t="str">
            <v>Software Written Off</v>
          </cell>
          <cell r="C553">
            <v>1216045.05</v>
          </cell>
        </row>
        <row r="554">
          <cell r="A554">
            <v>211340</v>
          </cell>
          <cell r="B554" t="str">
            <v>Comm.righ Written Off</v>
          </cell>
          <cell r="C554">
            <v>5563880.2300000004</v>
          </cell>
        </row>
        <row r="555">
          <cell r="A555">
            <v>220100</v>
          </cell>
          <cell r="B555" t="str">
            <v>Interest Foreign Currency Loans. (Group</v>
          </cell>
          <cell r="C555">
            <v>7408030.9900000002</v>
          </cell>
        </row>
        <row r="556">
          <cell r="A556">
            <v>220210</v>
          </cell>
          <cell r="B556" t="str">
            <v>Interest Term Loan</v>
          </cell>
          <cell r="C556">
            <v>14430890.359999999</v>
          </cell>
        </row>
        <row r="557">
          <cell r="A557">
            <v>220220</v>
          </cell>
          <cell r="B557" t="str">
            <v>Interest Packing Credit</v>
          </cell>
          <cell r="C557">
            <v>848394.46</v>
          </cell>
        </row>
        <row r="558">
          <cell r="A558">
            <v>220230</v>
          </cell>
          <cell r="B558" t="str">
            <v>Interest Cash Credit</v>
          </cell>
          <cell r="C558">
            <v>107741.02</v>
          </cell>
        </row>
        <row r="559">
          <cell r="A559">
            <v>220300</v>
          </cell>
          <cell r="B559" t="str">
            <v>Interest - Others</v>
          </cell>
          <cell r="C559">
            <v>-2475375.92</v>
          </cell>
        </row>
        <row r="560">
          <cell r="A560">
            <v>220301</v>
          </cell>
          <cell r="B560" t="str">
            <v>interest subsidy for staff welfare</v>
          </cell>
          <cell r="C560">
            <v>2651</v>
          </cell>
        </row>
        <row r="561">
          <cell r="A561">
            <v>220310</v>
          </cell>
          <cell r="B561" t="str">
            <v>Int.on Security Dep.</v>
          </cell>
          <cell r="C561">
            <v>2334353</v>
          </cell>
        </row>
        <row r="562">
          <cell r="A562">
            <v>221010</v>
          </cell>
          <cell r="B562" t="str">
            <v>Interest on Bills Discounted/Purchased</v>
          </cell>
          <cell r="C562">
            <v>703416.84</v>
          </cell>
        </row>
        <row r="563">
          <cell r="A563">
            <v>221020</v>
          </cell>
          <cell r="B563" t="str">
            <v>Bank collection charges</v>
          </cell>
          <cell r="C563">
            <v>155504.14000000001</v>
          </cell>
        </row>
        <row r="564">
          <cell r="A564">
            <v>221030</v>
          </cell>
          <cell r="B564" t="str">
            <v>Bank Charges D/D.</v>
          </cell>
          <cell r="C564">
            <v>167325.81</v>
          </cell>
        </row>
        <row r="565">
          <cell r="A565">
            <v>221040</v>
          </cell>
          <cell r="B565" t="str">
            <v>Bank Charges Remittances.</v>
          </cell>
          <cell r="C565">
            <v>383883.28</v>
          </cell>
        </row>
        <row r="566">
          <cell r="A566">
            <v>221050</v>
          </cell>
          <cell r="B566" t="str">
            <v>Bank Charges Others.</v>
          </cell>
          <cell r="C566">
            <v>1210983.94</v>
          </cell>
        </row>
        <row r="567">
          <cell r="A567">
            <v>230000</v>
          </cell>
          <cell r="B567" t="str">
            <v>Exchange loss  operating activities - r</v>
          </cell>
          <cell r="C567">
            <v>2908771.96</v>
          </cell>
        </row>
        <row r="568">
          <cell r="A568">
            <v>230010</v>
          </cell>
          <cell r="B568" t="str">
            <v>Valuation Loss-Operating activities</v>
          </cell>
          <cell r="C568">
            <v>355598.29</v>
          </cell>
        </row>
        <row r="569">
          <cell r="A569">
            <v>230011</v>
          </cell>
          <cell r="B569" t="str">
            <v>Exchange Loss Non Operating Unrealised</v>
          </cell>
          <cell r="C569">
            <v>6780000.8100000005</v>
          </cell>
        </row>
        <row r="570">
          <cell r="A570">
            <v>231000</v>
          </cell>
          <cell r="B570" t="str">
            <v>Price Diffrences - Raw Materials</v>
          </cell>
          <cell r="C570">
            <v>-141985.79</v>
          </cell>
        </row>
        <row r="571">
          <cell r="A571">
            <v>231030</v>
          </cell>
          <cell r="B571" t="str">
            <v>Price Difference-TRADING</v>
          </cell>
          <cell r="C571">
            <v>-3132304.12</v>
          </cell>
        </row>
        <row r="572">
          <cell r="A572">
            <v>231500</v>
          </cell>
          <cell r="B572" t="str">
            <v>Loss-internal product price differences</v>
          </cell>
          <cell r="C572">
            <v>754290.06</v>
          </cell>
        </row>
        <row r="573">
          <cell r="A573">
            <v>231600</v>
          </cell>
          <cell r="B573" t="str">
            <v>Repacking Charges-CCL</v>
          </cell>
          <cell r="C573">
            <v>149000</v>
          </cell>
        </row>
        <row r="574">
          <cell r="A574">
            <v>231800</v>
          </cell>
          <cell r="B574" t="str">
            <v>DEPB Utilised account - Trading</v>
          </cell>
          <cell r="C574">
            <v>4210947.71</v>
          </cell>
        </row>
        <row r="575">
          <cell r="A575">
            <v>231900</v>
          </cell>
          <cell r="B575" t="str">
            <v>Material Small Differences Rm PM Traded</v>
          </cell>
          <cell r="C575">
            <v>-15.75</v>
          </cell>
        </row>
        <row r="576">
          <cell r="A576">
            <v>232000</v>
          </cell>
          <cell r="B576" t="str">
            <v>NRV-W/off RM &amp; Trading</v>
          </cell>
          <cell r="C576">
            <v>-1136860</v>
          </cell>
        </row>
        <row r="577">
          <cell r="A577">
            <v>232500</v>
          </cell>
          <cell r="B577" t="str">
            <v>NRV-W/off-FG &amp;SFG</v>
          </cell>
          <cell r="C577">
            <v>2630654.25</v>
          </cell>
        </row>
        <row r="578">
          <cell r="A578">
            <v>233000</v>
          </cell>
          <cell r="B578" t="str">
            <v>Physical Stock Difference Raw Materials</v>
          </cell>
          <cell r="C578">
            <v>-2191838.7999999998</v>
          </cell>
        </row>
        <row r="579">
          <cell r="A579">
            <v>233792</v>
          </cell>
          <cell r="B579" t="str">
            <v>Physical Stock Difference Finished Good</v>
          </cell>
          <cell r="C579">
            <v>13439.18</v>
          </cell>
        </row>
        <row r="580">
          <cell r="A580">
            <v>241000</v>
          </cell>
          <cell r="B580" t="str">
            <v>Corporate income tax expense</v>
          </cell>
          <cell r="C580">
            <v>27845000</v>
          </cell>
        </row>
        <row r="581">
          <cell r="A581">
            <v>241002</v>
          </cell>
          <cell r="B581" t="str">
            <v>Deferred Tax Expense 2000</v>
          </cell>
          <cell r="C581">
            <v>-605000</v>
          </cell>
        </row>
        <row r="582">
          <cell r="A582">
            <v>250000</v>
          </cell>
          <cell r="B582" t="str">
            <v>Gain-fixed asset retirement</v>
          </cell>
          <cell r="C582">
            <v>-63443.08</v>
          </cell>
        </row>
        <row r="583">
          <cell r="A583">
            <v>251000</v>
          </cell>
          <cell r="B583" t="str">
            <v>Other Non Operating Income</v>
          </cell>
          <cell r="C583">
            <v>37178.19</v>
          </cell>
        </row>
        <row r="584">
          <cell r="A584">
            <v>274000</v>
          </cell>
          <cell r="B584" t="str">
            <v>Int.Received Banks</v>
          </cell>
          <cell r="C584">
            <v>-13427.27</v>
          </cell>
        </row>
        <row r="585">
          <cell r="A585">
            <v>274100</v>
          </cell>
          <cell r="B585" t="str">
            <v>Int Received-Deposit</v>
          </cell>
          <cell r="C585">
            <v>-105569</v>
          </cell>
        </row>
        <row r="586">
          <cell r="A586">
            <v>275120</v>
          </cell>
          <cell r="B586" t="str">
            <v>Interest on overdue bills -customers</v>
          </cell>
          <cell r="C586">
            <v>-3495664.94</v>
          </cell>
        </row>
        <row r="587">
          <cell r="A587">
            <v>276000</v>
          </cell>
          <cell r="B587" t="str">
            <v>Cash discount received</v>
          </cell>
          <cell r="C587">
            <v>-1258422.8799999999</v>
          </cell>
        </row>
        <row r="588">
          <cell r="A588">
            <v>276001</v>
          </cell>
          <cell r="B588" t="str">
            <v>Trade Discount Recd.-frm Germany(Purcha</v>
          </cell>
          <cell r="C588">
            <v>-4722160.8600000003</v>
          </cell>
        </row>
        <row r="589">
          <cell r="A589">
            <v>276002</v>
          </cell>
          <cell r="B589" t="str">
            <v>Trade Discount Recd.-on stock taken ove</v>
          </cell>
          <cell r="C589">
            <v>-898995.92</v>
          </cell>
        </row>
        <row r="590">
          <cell r="A590">
            <v>280000</v>
          </cell>
          <cell r="B590" t="str">
            <v>Gain-exchange rate differences</v>
          </cell>
          <cell r="C590">
            <v>-2239701.2799999998</v>
          </cell>
        </row>
        <row r="591">
          <cell r="A591">
            <v>280001</v>
          </cell>
          <cell r="B591" t="str">
            <v>Exchange Gains from non operating activ</v>
          </cell>
          <cell r="C591">
            <v>-336206.76</v>
          </cell>
        </row>
        <row r="592">
          <cell r="A592">
            <v>280010</v>
          </cell>
          <cell r="B592" t="str">
            <v>Exchange Rate Gains from operating acti</v>
          </cell>
          <cell r="C592">
            <v>155514.35999999999</v>
          </cell>
        </row>
        <row r="593">
          <cell r="A593">
            <v>280011</v>
          </cell>
          <cell r="B593" t="str">
            <v>Exc.gains Non-Op.Unrealized</v>
          </cell>
          <cell r="C593">
            <v>0</v>
          </cell>
        </row>
        <row r="594">
          <cell r="A594">
            <v>299010</v>
          </cell>
          <cell r="B594" t="str">
            <v>Insurance claim Received</v>
          </cell>
          <cell r="C594">
            <v>-242214</v>
          </cell>
        </row>
        <row r="595">
          <cell r="A595">
            <v>400000</v>
          </cell>
          <cell r="B595" t="str">
            <v>Consumption-Raw Material</v>
          </cell>
          <cell r="C595">
            <v>195748707.42000002</v>
          </cell>
        </row>
        <row r="596">
          <cell r="A596">
            <v>400010</v>
          </cell>
          <cell r="B596" t="str">
            <v>Consumption-Raw Material Imported</v>
          </cell>
          <cell r="C596">
            <v>3345976.35</v>
          </cell>
        </row>
        <row r="597">
          <cell r="A597">
            <v>400020</v>
          </cell>
          <cell r="B597" t="str">
            <v>Mater. consumed-R.M AND P.M W/O COST EL</v>
          </cell>
          <cell r="C597">
            <v>6667166.0200000005</v>
          </cell>
        </row>
        <row r="598">
          <cell r="A598">
            <v>400040</v>
          </cell>
          <cell r="B598" t="str">
            <v>Cost of purchase-BASF</v>
          </cell>
          <cell r="C598">
            <v>-784332</v>
          </cell>
        </row>
        <row r="599">
          <cell r="A599">
            <v>405000</v>
          </cell>
          <cell r="B599" t="str">
            <v>Consumption - Packing Material</v>
          </cell>
          <cell r="C599">
            <v>13575950.300000001</v>
          </cell>
        </row>
        <row r="600">
          <cell r="A600">
            <v>417000</v>
          </cell>
          <cell r="B600" t="str">
            <v>Conversion Cost - Variable</v>
          </cell>
          <cell r="C600">
            <v>33772000</v>
          </cell>
        </row>
        <row r="601">
          <cell r="A601">
            <v>417001</v>
          </cell>
          <cell r="B601" t="str">
            <v>Conversion Cost - Fixed</v>
          </cell>
          <cell r="C601">
            <v>78731000</v>
          </cell>
        </row>
        <row r="602">
          <cell r="A602">
            <v>430000</v>
          </cell>
          <cell r="B602" t="str">
            <v>Salaries</v>
          </cell>
          <cell r="C602">
            <v>6427686</v>
          </cell>
        </row>
        <row r="603">
          <cell r="A603">
            <v>430010</v>
          </cell>
          <cell r="B603" t="str">
            <v>Stipends</v>
          </cell>
          <cell r="C603">
            <v>11000</v>
          </cell>
        </row>
        <row r="604">
          <cell r="A604">
            <v>430020</v>
          </cell>
          <cell r="B604" t="str">
            <v>M.D's Salary</v>
          </cell>
          <cell r="C604">
            <v>974280</v>
          </cell>
        </row>
        <row r="605">
          <cell r="A605">
            <v>430040</v>
          </cell>
          <cell r="B605" t="str">
            <v>M.D's Leave Travelling</v>
          </cell>
          <cell r="C605">
            <v>190755</v>
          </cell>
        </row>
        <row r="606">
          <cell r="A606">
            <v>430050</v>
          </cell>
          <cell r="B606" t="str">
            <v>M.D's Electricity</v>
          </cell>
          <cell r="C606">
            <v>165478.1</v>
          </cell>
        </row>
        <row r="607">
          <cell r="A607">
            <v>430060</v>
          </cell>
          <cell r="B607" t="str">
            <v>Managing Directors Remuneration -Others</v>
          </cell>
          <cell r="C607">
            <v>197933</v>
          </cell>
        </row>
        <row r="608">
          <cell r="A608">
            <v>430070</v>
          </cell>
          <cell r="B608" t="str">
            <v>M.D's HRA</v>
          </cell>
          <cell r="C608">
            <v>486410</v>
          </cell>
        </row>
        <row r="609">
          <cell r="A609">
            <v>430090</v>
          </cell>
          <cell r="B609" t="str">
            <v>gifts</v>
          </cell>
          <cell r="C609">
            <v>100000</v>
          </cell>
        </row>
        <row r="610">
          <cell r="A610">
            <v>430100</v>
          </cell>
          <cell r="B610" t="str">
            <v>Conveyance-Salaries</v>
          </cell>
          <cell r="C610">
            <v>414773</v>
          </cell>
        </row>
        <row r="611">
          <cell r="A611">
            <v>430110</v>
          </cell>
          <cell r="B611" t="str">
            <v>HRA</v>
          </cell>
          <cell r="C611">
            <v>1269677</v>
          </cell>
        </row>
        <row r="612">
          <cell r="A612">
            <v>430120</v>
          </cell>
          <cell r="B612" t="str">
            <v>Lunch</v>
          </cell>
          <cell r="C612">
            <v>240455</v>
          </cell>
        </row>
        <row r="613">
          <cell r="A613">
            <v>430130</v>
          </cell>
          <cell r="B613" t="str">
            <v>Reimbursement of Interest cost to Emplo</v>
          </cell>
          <cell r="C613">
            <v>34844</v>
          </cell>
        </row>
        <row r="614">
          <cell r="A614">
            <v>432000</v>
          </cell>
          <cell r="B614" t="str">
            <v>Leave Encashment</v>
          </cell>
          <cell r="C614">
            <v>-588955</v>
          </cell>
        </row>
        <row r="615">
          <cell r="A615">
            <v>433000</v>
          </cell>
          <cell r="B615" t="str">
            <v>Reimbursement of Medical Staff.</v>
          </cell>
          <cell r="C615">
            <v>535452.97</v>
          </cell>
        </row>
        <row r="616">
          <cell r="A616">
            <v>433020</v>
          </cell>
          <cell r="B616" t="str">
            <v>Medical Aid Medicines.</v>
          </cell>
          <cell r="C616">
            <v>5800</v>
          </cell>
        </row>
        <row r="617">
          <cell r="A617">
            <v>433030</v>
          </cell>
          <cell r="B617" t="str">
            <v>Welfare Expenses Parties.</v>
          </cell>
          <cell r="C617">
            <v>329874.44</v>
          </cell>
        </row>
        <row r="618">
          <cell r="A618">
            <v>433040</v>
          </cell>
          <cell r="B618" t="str">
            <v>Welfare Exp.canteen</v>
          </cell>
          <cell r="C618">
            <v>141306.5</v>
          </cell>
        </row>
        <row r="619">
          <cell r="A619">
            <v>433050</v>
          </cell>
          <cell r="B619" t="str">
            <v>Welfare ExpTransport</v>
          </cell>
          <cell r="C619">
            <v>818825.5</v>
          </cell>
        </row>
        <row r="620">
          <cell r="A620">
            <v>433060</v>
          </cell>
          <cell r="B620" t="str">
            <v>Welfare Exp.Other</v>
          </cell>
          <cell r="C620">
            <v>348195.32</v>
          </cell>
        </row>
        <row r="621">
          <cell r="A621">
            <v>434000</v>
          </cell>
          <cell r="B621" t="str">
            <v>LTA-Staff</v>
          </cell>
          <cell r="C621">
            <v>604937</v>
          </cell>
        </row>
        <row r="622">
          <cell r="A622">
            <v>435000</v>
          </cell>
          <cell r="B622" t="str">
            <v>Ex-Gratia</v>
          </cell>
          <cell r="C622">
            <v>2842904</v>
          </cell>
        </row>
        <row r="623">
          <cell r="A623">
            <v>445000</v>
          </cell>
          <cell r="B623" t="str">
            <v>Company Cont. to Family Pension Fund</v>
          </cell>
          <cell r="C623">
            <v>108193</v>
          </cell>
        </row>
        <row r="624">
          <cell r="A624">
            <v>445010</v>
          </cell>
          <cell r="B624" t="str">
            <v>Contribution to P.F</v>
          </cell>
          <cell r="C624">
            <v>236768</v>
          </cell>
        </row>
        <row r="625">
          <cell r="A625">
            <v>445020</v>
          </cell>
          <cell r="B625" t="str">
            <v>Cont. to Gratuity</v>
          </cell>
          <cell r="C625">
            <v>228149</v>
          </cell>
        </row>
        <row r="626">
          <cell r="A626">
            <v>445030</v>
          </cell>
          <cell r="B626" t="str">
            <v>Admn.chg. P.F</v>
          </cell>
          <cell r="C626">
            <v>31752</v>
          </cell>
        </row>
        <row r="627">
          <cell r="A627">
            <v>445040</v>
          </cell>
          <cell r="B627" t="str">
            <v>EDLI ContributionPF</v>
          </cell>
          <cell r="C627">
            <v>7264</v>
          </cell>
        </row>
        <row r="628">
          <cell r="A628">
            <v>445050</v>
          </cell>
          <cell r="B628" t="str">
            <v>Cont.superannuation</v>
          </cell>
          <cell r="C628">
            <v>1148880</v>
          </cell>
        </row>
        <row r="629">
          <cell r="A629">
            <v>445060</v>
          </cell>
          <cell r="B629" t="str">
            <v>E.S.I.C Contribution</v>
          </cell>
          <cell r="C629">
            <v>6582</v>
          </cell>
        </row>
        <row r="630">
          <cell r="A630">
            <v>447000</v>
          </cell>
          <cell r="B630" t="str">
            <v>Reimbursement Mediclaim</v>
          </cell>
          <cell r="C630">
            <v>135596</v>
          </cell>
        </row>
        <row r="631">
          <cell r="A631">
            <v>447010</v>
          </cell>
          <cell r="B631" t="str">
            <v>Welfare expInsurance</v>
          </cell>
          <cell r="C631">
            <v>84638</v>
          </cell>
        </row>
        <row r="632">
          <cell r="A632">
            <v>451000</v>
          </cell>
          <cell r="B632" t="str">
            <v>Repairs Building(Office)</v>
          </cell>
          <cell r="C632">
            <v>168764</v>
          </cell>
        </row>
        <row r="633">
          <cell r="A633">
            <v>451100</v>
          </cell>
          <cell r="B633" t="str">
            <v>Repairs-Building-Res</v>
          </cell>
          <cell r="C633">
            <v>1225</v>
          </cell>
        </row>
        <row r="634">
          <cell r="A634">
            <v>452010</v>
          </cell>
          <cell r="B634" t="str">
            <v>Repairs &amp; Maintenance - Vehicles</v>
          </cell>
          <cell r="C634">
            <v>202479</v>
          </cell>
        </row>
        <row r="635">
          <cell r="A635">
            <v>452020</v>
          </cell>
          <cell r="B635" t="str">
            <v>R&amp;M Office Equipmen</v>
          </cell>
          <cell r="C635">
            <v>168418.8</v>
          </cell>
        </row>
        <row r="636">
          <cell r="A636">
            <v>452030</v>
          </cell>
          <cell r="B636" t="str">
            <v>R&amp;M Computers</v>
          </cell>
          <cell r="C636">
            <v>177880</v>
          </cell>
        </row>
        <row r="637">
          <cell r="A637">
            <v>452040</v>
          </cell>
          <cell r="B637" t="str">
            <v>R&amp;M Others</v>
          </cell>
          <cell r="C637">
            <v>100736</v>
          </cell>
        </row>
        <row r="638">
          <cell r="A638">
            <v>452050</v>
          </cell>
          <cell r="B638" t="str">
            <v>Software modification chg -for connecti</v>
          </cell>
          <cell r="C638">
            <v>1053740</v>
          </cell>
        </row>
        <row r="639">
          <cell r="A639">
            <v>460200</v>
          </cell>
          <cell r="B639" t="str">
            <v>Sales Tax Expense</v>
          </cell>
          <cell r="C639">
            <v>-271335</v>
          </cell>
        </row>
        <row r="640">
          <cell r="A640">
            <v>464000</v>
          </cell>
          <cell r="B640" t="str">
            <v>Motor Vehicle Expenses Taxes.</v>
          </cell>
          <cell r="C640">
            <v>9927</v>
          </cell>
        </row>
        <row r="641">
          <cell r="A641">
            <v>465000</v>
          </cell>
          <cell r="B641" t="str">
            <v>Excise duty paid</v>
          </cell>
          <cell r="C641">
            <v>48131814.890000001</v>
          </cell>
        </row>
        <row r="642">
          <cell r="A642">
            <v>465050</v>
          </cell>
          <cell r="B642" t="str">
            <v>Rates &amp; Taxes Others</v>
          </cell>
          <cell r="C642">
            <v>153522</v>
          </cell>
        </row>
        <row r="643">
          <cell r="A643">
            <v>466010</v>
          </cell>
          <cell r="B643" t="str">
            <v>Insurance Fixed Assets- Fire policy 'A'</v>
          </cell>
          <cell r="C643">
            <v>89406</v>
          </cell>
        </row>
        <row r="644">
          <cell r="A644">
            <v>466020</v>
          </cell>
          <cell r="B644" t="str">
            <v>Fire insurance - Finished Goods - fire</v>
          </cell>
          <cell r="C644">
            <v>897161</v>
          </cell>
        </row>
        <row r="645">
          <cell r="A645">
            <v>466030</v>
          </cell>
          <cell r="B645" t="str">
            <v>Transit Insurance - Exports- Marine &amp; A</v>
          </cell>
          <cell r="C645">
            <v>25015</v>
          </cell>
        </row>
        <row r="646">
          <cell r="A646">
            <v>466040</v>
          </cell>
          <cell r="B646" t="str">
            <v>Transit Insurance - Local-special decla</v>
          </cell>
          <cell r="C646">
            <v>308438</v>
          </cell>
        </row>
        <row r="647">
          <cell r="A647">
            <v>470050</v>
          </cell>
          <cell r="B647" t="str">
            <v>Operating Cost-CCL</v>
          </cell>
          <cell r="C647">
            <v>240000</v>
          </cell>
        </row>
        <row r="648">
          <cell r="A648">
            <v>471010</v>
          </cell>
          <cell r="B648" t="str">
            <v>Rent-Office Building</v>
          </cell>
          <cell r="C648">
            <v>4142130</v>
          </cell>
        </row>
        <row r="649">
          <cell r="A649">
            <v>471030</v>
          </cell>
          <cell r="B649" t="str">
            <v>Lease Rent Vehicles.</v>
          </cell>
          <cell r="C649">
            <v>2114273</v>
          </cell>
        </row>
        <row r="650">
          <cell r="A650">
            <v>471040</v>
          </cell>
          <cell r="B650" t="str">
            <v>Lease Rent Computers</v>
          </cell>
          <cell r="C650">
            <v>85176</v>
          </cell>
        </row>
        <row r="651">
          <cell r="A651">
            <v>471050</v>
          </cell>
          <cell r="B651" t="str">
            <v>Vehicle Hire Charges.</v>
          </cell>
          <cell r="C651">
            <v>63262</v>
          </cell>
        </row>
        <row r="652">
          <cell r="A652">
            <v>472000</v>
          </cell>
          <cell r="B652" t="str">
            <v>Freight Charge-FG</v>
          </cell>
          <cell r="C652">
            <v>3097718.78</v>
          </cell>
        </row>
        <row r="653">
          <cell r="A653">
            <v>472010</v>
          </cell>
          <cell r="B653" t="str">
            <v>Octroi on FG</v>
          </cell>
          <cell r="C653">
            <v>2170895.27</v>
          </cell>
        </row>
        <row r="654">
          <cell r="A654">
            <v>472020</v>
          </cell>
          <cell r="B654" t="str">
            <v>Freight Chg-others</v>
          </cell>
          <cell r="C654">
            <v>190690.24</v>
          </cell>
        </row>
        <row r="655">
          <cell r="A655">
            <v>472030</v>
          </cell>
          <cell r="B655" t="str">
            <v>Freight Chg.Exports</v>
          </cell>
          <cell r="C655">
            <v>1688777</v>
          </cell>
        </row>
        <row r="656">
          <cell r="A656">
            <v>472040</v>
          </cell>
          <cell r="B656" t="str">
            <v>C&amp;Fagents Commission</v>
          </cell>
          <cell r="C656">
            <v>6841582</v>
          </cell>
        </row>
        <row r="657">
          <cell r="A657">
            <v>472050</v>
          </cell>
          <cell r="B657" t="str">
            <v>C&amp;F Agents Charges</v>
          </cell>
          <cell r="C657">
            <v>93235.85</v>
          </cell>
        </row>
        <row r="658">
          <cell r="A658">
            <v>472060</v>
          </cell>
          <cell r="B658" t="str">
            <v>Export expenses</v>
          </cell>
          <cell r="C658">
            <v>1618410.22</v>
          </cell>
        </row>
        <row r="659">
          <cell r="A659">
            <v>472080</v>
          </cell>
          <cell r="B659" t="str">
            <v>C&amp;F agent Chg.Exports</v>
          </cell>
          <cell r="C659">
            <v>377339</v>
          </cell>
        </row>
        <row r="660">
          <cell r="A660">
            <v>473000</v>
          </cell>
          <cell r="B660" t="str">
            <v>Postage Courier.</v>
          </cell>
          <cell r="C660">
            <v>643144.54</v>
          </cell>
        </row>
        <row r="661">
          <cell r="A661">
            <v>473120</v>
          </cell>
          <cell r="B661" t="str">
            <v>Telecommunication Telephone</v>
          </cell>
          <cell r="C661">
            <v>2190153.09</v>
          </cell>
        </row>
        <row r="662">
          <cell r="A662">
            <v>473130</v>
          </cell>
          <cell r="B662" t="str">
            <v>E-mail/Internet  Charges</v>
          </cell>
          <cell r="C662">
            <v>24926</v>
          </cell>
        </row>
        <row r="663">
          <cell r="A663">
            <v>474210</v>
          </cell>
          <cell r="B663" t="str">
            <v>Travelling Boarding &amp; Lodging.</v>
          </cell>
          <cell r="C663">
            <v>1042819.13</v>
          </cell>
        </row>
        <row r="664">
          <cell r="A664">
            <v>474220</v>
          </cell>
          <cell r="B664" t="str">
            <v>Travelling Outstation Allowance</v>
          </cell>
          <cell r="C664">
            <v>3365</v>
          </cell>
        </row>
        <row r="665">
          <cell r="A665">
            <v>474230</v>
          </cell>
          <cell r="B665" t="str">
            <v>Travelling Foreign Fare.</v>
          </cell>
          <cell r="C665">
            <v>1329090.75</v>
          </cell>
        </row>
        <row r="666">
          <cell r="A666">
            <v>474235</v>
          </cell>
          <cell r="B666" t="str">
            <v>Travelling Local Fare.</v>
          </cell>
          <cell r="C666">
            <v>2196982.23</v>
          </cell>
        </row>
        <row r="667">
          <cell r="A667">
            <v>474240</v>
          </cell>
          <cell r="B667" t="str">
            <v>Travelling Expenses Others</v>
          </cell>
          <cell r="C667">
            <v>158299.76</v>
          </cell>
        </row>
        <row r="668">
          <cell r="A668">
            <v>474260</v>
          </cell>
          <cell r="B668" t="str">
            <v>Travelling Foreign Exchange.</v>
          </cell>
          <cell r="C668">
            <v>555275.72</v>
          </cell>
        </row>
        <row r="669">
          <cell r="A669">
            <v>474270</v>
          </cell>
          <cell r="B669" t="str">
            <v>Conveyance Local</v>
          </cell>
          <cell r="C669">
            <v>925281</v>
          </cell>
        </row>
        <row r="670">
          <cell r="A670">
            <v>474275</v>
          </cell>
          <cell r="B670" t="str">
            <v>Conveyance Outstation.</v>
          </cell>
          <cell r="C670">
            <v>120523</v>
          </cell>
        </row>
        <row r="671">
          <cell r="A671">
            <v>474500</v>
          </cell>
          <cell r="B671" t="str">
            <v>Lunch on Office Duty.</v>
          </cell>
          <cell r="C671">
            <v>26967</v>
          </cell>
        </row>
        <row r="672">
          <cell r="A672">
            <v>474510</v>
          </cell>
          <cell r="B672" t="str">
            <v>M.D's House main</v>
          </cell>
          <cell r="C672">
            <v>14400</v>
          </cell>
        </row>
        <row r="673">
          <cell r="A673">
            <v>474520</v>
          </cell>
          <cell r="B673" t="str">
            <v>Entertainment Exp.</v>
          </cell>
          <cell r="C673">
            <v>284116</v>
          </cell>
        </row>
        <row r="674">
          <cell r="A674">
            <v>474530</v>
          </cell>
          <cell r="B674" t="str">
            <v>Credit Card Fees</v>
          </cell>
          <cell r="C674">
            <v>22168</v>
          </cell>
        </row>
        <row r="675">
          <cell r="A675">
            <v>475000</v>
          </cell>
          <cell r="B675" t="str">
            <v>Vehicle costs</v>
          </cell>
          <cell r="C675">
            <v>0</v>
          </cell>
        </row>
        <row r="676">
          <cell r="A676">
            <v>476000</v>
          </cell>
          <cell r="B676" t="str">
            <v>Printing  - Invoices &amp; Forms.</v>
          </cell>
          <cell r="C676">
            <v>241305</v>
          </cell>
        </row>
        <row r="677">
          <cell r="A677">
            <v>476010</v>
          </cell>
          <cell r="B677" t="str">
            <v>Printing -Xerox.</v>
          </cell>
          <cell r="C677">
            <v>839</v>
          </cell>
        </row>
        <row r="678">
          <cell r="A678">
            <v>476020</v>
          </cell>
          <cell r="B678" t="str">
            <v>Printing -Others.</v>
          </cell>
          <cell r="C678">
            <v>8982</v>
          </cell>
        </row>
        <row r="679">
          <cell r="A679">
            <v>476030</v>
          </cell>
          <cell r="B679" t="str">
            <v>Stationery Computer</v>
          </cell>
          <cell r="C679">
            <v>239332</v>
          </cell>
        </row>
        <row r="680">
          <cell r="A680">
            <v>476040</v>
          </cell>
          <cell r="B680" t="str">
            <v>Stationery Pre-printed</v>
          </cell>
          <cell r="C680">
            <v>210362</v>
          </cell>
        </row>
        <row r="681">
          <cell r="A681">
            <v>476050</v>
          </cell>
          <cell r="B681" t="str">
            <v>stationery-others</v>
          </cell>
          <cell r="C681">
            <v>225344.25</v>
          </cell>
        </row>
        <row r="682">
          <cell r="A682">
            <v>476200</v>
          </cell>
          <cell r="B682" t="str">
            <v>Office &amp; Other Expenses House keeping.</v>
          </cell>
          <cell r="C682">
            <v>752531.5</v>
          </cell>
        </row>
        <row r="683">
          <cell r="A683">
            <v>476210</v>
          </cell>
          <cell r="B683" t="str">
            <v>Office &amp; Other Expenses Petty Purchases</v>
          </cell>
          <cell r="C683">
            <v>176888.28</v>
          </cell>
        </row>
        <row r="684">
          <cell r="A684">
            <v>476300</v>
          </cell>
          <cell r="B684" t="str">
            <v>Books&amp;Subs-Books</v>
          </cell>
          <cell r="C684">
            <v>8260</v>
          </cell>
        </row>
        <row r="685">
          <cell r="A685">
            <v>476310</v>
          </cell>
          <cell r="B685" t="str">
            <v>Books&amp;Subs-Memb.Fees</v>
          </cell>
          <cell r="C685">
            <v>60029.63</v>
          </cell>
        </row>
        <row r="686">
          <cell r="A686">
            <v>476420</v>
          </cell>
          <cell r="B686" t="str">
            <v>Prof.Chg.EDP</v>
          </cell>
          <cell r="C686">
            <v>1738446.83</v>
          </cell>
        </row>
        <row r="687">
          <cell r="A687">
            <v>476430</v>
          </cell>
          <cell r="B687" t="str">
            <v>Prof.chg.recruitment</v>
          </cell>
          <cell r="C687">
            <v>45675</v>
          </cell>
        </row>
        <row r="688">
          <cell r="A688">
            <v>476440</v>
          </cell>
          <cell r="B688" t="str">
            <v>Prof.chg-Sales tax</v>
          </cell>
          <cell r="C688">
            <v>0</v>
          </cell>
        </row>
        <row r="689">
          <cell r="A689">
            <v>476450</v>
          </cell>
          <cell r="B689" t="str">
            <v>ProfChgcertification</v>
          </cell>
          <cell r="C689">
            <v>500</v>
          </cell>
        </row>
        <row r="690">
          <cell r="A690">
            <v>476460</v>
          </cell>
          <cell r="B690" t="str">
            <v>Prof.Chg.Consultants</v>
          </cell>
          <cell r="C690">
            <v>495509</v>
          </cell>
        </row>
        <row r="691">
          <cell r="A691">
            <v>476470</v>
          </cell>
          <cell r="B691" t="str">
            <v>Professional Charges-Others</v>
          </cell>
          <cell r="C691">
            <v>0</v>
          </cell>
        </row>
        <row r="692">
          <cell r="A692">
            <v>476600</v>
          </cell>
          <cell r="B692" t="str">
            <v>Electricity Charges.</v>
          </cell>
          <cell r="C692">
            <v>766603</v>
          </cell>
        </row>
        <row r="693">
          <cell r="A693">
            <v>476610</v>
          </cell>
          <cell r="B693" t="str">
            <v>Water Charges</v>
          </cell>
          <cell r="C693">
            <v>91704</v>
          </cell>
        </row>
        <row r="694">
          <cell r="A694">
            <v>476690</v>
          </cell>
          <cell r="B694" t="str">
            <v>Filing Fee&amp;StampDuty</v>
          </cell>
          <cell r="C694">
            <v>272545</v>
          </cell>
        </row>
        <row r="695">
          <cell r="A695">
            <v>476700</v>
          </cell>
          <cell r="B695" t="str">
            <v>Statutory audit fees</v>
          </cell>
          <cell r="C695">
            <v>1118250</v>
          </cell>
        </row>
        <row r="696">
          <cell r="A696">
            <v>476710</v>
          </cell>
          <cell r="B696" t="str">
            <v>Statutory audit-Exp</v>
          </cell>
          <cell r="C696">
            <v>30623</v>
          </cell>
        </row>
        <row r="697">
          <cell r="A697">
            <v>476720</v>
          </cell>
          <cell r="B697" t="str">
            <v>Tax Audit fees</v>
          </cell>
          <cell r="C697">
            <v>42250</v>
          </cell>
        </row>
        <row r="698">
          <cell r="A698">
            <v>476740</v>
          </cell>
          <cell r="B698" t="str">
            <v>Audit Expenses - other fees</v>
          </cell>
          <cell r="C698">
            <v>-3400</v>
          </cell>
        </row>
        <row r="699">
          <cell r="A699">
            <v>476800</v>
          </cell>
          <cell r="B699" t="str">
            <v>Lab Testing material</v>
          </cell>
          <cell r="C699">
            <v>288033</v>
          </cell>
        </row>
        <row r="700">
          <cell r="A700">
            <v>476810</v>
          </cell>
          <cell r="B700" t="str">
            <v>Vendor Dev.CCl</v>
          </cell>
          <cell r="C700">
            <v>188805</v>
          </cell>
        </row>
        <row r="701">
          <cell r="A701">
            <v>477000</v>
          </cell>
          <cell r="B701" t="str">
            <v>Advertising Calendars</v>
          </cell>
          <cell r="C701">
            <v>157635</v>
          </cell>
        </row>
        <row r="702">
          <cell r="A702">
            <v>477001</v>
          </cell>
          <cell r="B702" t="str">
            <v>Adv.Exhibitions</v>
          </cell>
          <cell r="C702">
            <v>110357</v>
          </cell>
        </row>
        <row r="703">
          <cell r="A703">
            <v>477030</v>
          </cell>
          <cell r="B703" t="str">
            <v>Adv.news papers</v>
          </cell>
          <cell r="C703">
            <v>307924.55</v>
          </cell>
        </row>
        <row r="704">
          <cell r="A704">
            <v>477040</v>
          </cell>
          <cell r="B704" t="str">
            <v>printing shade cards</v>
          </cell>
          <cell r="C704">
            <v>69420</v>
          </cell>
        </row>
        <row r="705">
          <cell r="A705">
            <v>477050</v>
          </cell>
          <cell r="B705" t="str">
            <v>Printing -Product Literature.</v>
          </cell>
          <cell r="C705">
            <v>0</v>
          </cell>
        </row>
        <row r="706">
          <cell r="A706">
            <v>477060</v>
          </cell>
          <cell r="B706" t="str">
            <v>Corporate ser.CCL</v>
          </cell>
          <cell r="C706">
            <v>41400</v>
          </cell>
        </row>
        <row r="707">
          <cell r="A707">
            <v>477070</v>
          </cell>
          <cell r="B707" t="str">
            <v>Ent.exp.Customer</v>
          </cell>
          <cell r="C707">
            <v>111706.67</v>
          </cell>
        </row>
        <row r="708">
          <cell r="A708">
            <v>477080</v>
          </cell>
          <cell r="B708" t="str">
            <v>Ent.exp.stockist</v>
          </cell>
          <cell r="C708">
            <v>2922</v>
          </cell>
        </row>
        <row r="709">
          <cell r="A709">
            <v>477100</v>
          </cell>
          <cell r="B709" t="str">
            <v>information technology services</v>
          </cell>
          <cell r="C709">
            <v>123000</v>
          </cell>
        </row>
        <row r="710">
          <cell r="A710">
            <v>477200</v>
          </cell>
          <cell r="B710" t="str">
            <v>Advertising gifts</v>
          </cell>
          <cell r="C710">
            <v>11260</v>
          </cell>
        </row>
        <row r="711">
          <cell r="A711">
            <v>477400</v>
          </cell>
          <cell r="B711" t="str">
            <v>Cost of samples received</v>
          </cell>
          <cell r="C711">
            <v>765777.12</v>
          </cell>
        </row>
        <row r="712">
          <cell r="A712">
            <v>477410</v>
          </cell>
          <cell r="B712" t="str">
            <v>Cost of samples from Stock</v>
          </cell>
          <cell r="C712">
            <v>289402.31</v>
          </cell>
        </row>
        <row r="713">
          <cell r="A713">
            <v>477900</v>
          </cell>
          <cell r="B713" t="str">
            <v>Sales commission (brokerage)</v>
          </cell>
          <cell r="C713">
            <v>2896822.9</v>
          </cell>
        </row>
        <row r="714">
          <cell r="A714">
            <v>477910</v>
          </cell>
          <cell r="B714" t="str">
            <v>Comm.to sub-indent</v>
          </cell>
          <cell r="C714">
            <v>294222.51</v>
          </cell>
        </row>
        <row r="715">
          <cell r="A715">
            <v>800000</v>
          </cell>
          <cell r="B715" t="str">
            <v>Local Sales</v>
          </cell>
          <cell r="C715">
            <v>-636906883.39999998</v>
          </cell>
        </row>
        <row r="716">
          <cell r="A716">
            <v>800005</v>
          </cell>
          <cell r="B716" t="str">
            <v>Local Sales</v>
          </cell>
          <cell r="C716">
            <v>-33211.410000000003</v>
          </cell>
        </row>
        <row r="717">
          <cell r="A717">
            <v>800010</v>
          </cell>
          <cell r="B717" t="str">
            <v>Raw Mat. Local Sale</v>
          </cell>
          <cell r="C717">
            <v>-1484762.6</v>
          </cell>
        </row>
        <row r="718">
          <cell r="A718">
            <v>800100</v>
          </cell>
          <cell r="B718" t="str">
            <v>Handling charges</v>
          </cell>
          <cell r="C718">
            <v>-569591.38</v>
          </cell>
        </row>
        <row r="719">
          <cell r="A719">
            <v>800110</v>
          </cell>
          <cell r="B719" t="str">
            <v>Freight Recovered</v>
          </cell>
          <cell r="C719">
            <v>-72141.100000000006</v>
          </cell>
        </row>
        <row r="720">
          <cell r="A720">
            <v>800120</v>
          </cell>
          <cell r="B720" t="str">
            <v>Insurance Recovered</v>
          </cell>
          <cell r="C720">
            <v>-699171.23</v>
          </cell>
        </row>
        <row r="721">
          <cell r="A721">
            <v>800130</v>
          </cell>
          <cell r="B721" t="str">
            <v>Octroi Recovered-L</v>
          </cell>
          <cell r="C721">
            <v>-2151284.75</v>
          </cell>
        </row>
        <row r="722">
          <cell r="A722">
            <v>800150</v>
          </cell>
          <cell r="B722" t="str">
            <v>Excise Recovered on sales</v>
          </cell>
          <cell r="C722">
            <v>-92794475.75</v>
          </cell>
        </row>
        <row r="723">
          <cell r="A723">
            <v>801000</v>
          </cell>
          <cell r="B723" t="str">
            <v>Export Sales</v>
          </cell>
          <cell r="C723">
            <v>-100089981.04000001</v>
          </cell>
        </row>
        <row r="724">
          <cell r="A724">
            <v>802010</v>
          </cell>
          <cell r="B724" t="str">
            <v>Indent Comm.Foreign</v>
          </cell>
          <cell r="C724">
            <v>-7509837.3900000006</v>
          </cell>
        </row>
        <row r="725">
          <cell r="A725">
            <v>802020</v>
          </cell>
          <cell r="B725" t="str">
            <v>Reverse Indent Commission-Foreign</v>
          </cell>
          <cell r="C725">
            <v>-30546715.060000002</v>
          </cell>
        </row>
        <row r="726">
          <cell r="A726">
            <v>803000</v>
          </cell>
          <cell r="B726" t="str">
            <v>Service Charges</v>
          </cell>
          <cell r="C726">
            <v>-5633304.29</v>
          </cell>
        </row>
        <row r="727">
          <cell r="A727">
            <v>860010</v>
          </cell>
          <cell r="B727" t="str">
            <v>Duty drawback</v>
          </cell>
          <cell r="C727">
            <v>602991.15</v>
          </cell>
        </row>
        <row r="728">
          <cell r="A728">
            <v>860020</v>
          </cell>
          <cell r="B728" t="str">
            <v>Brand duty received</v>
          </cell>
          <cell r="C728">
            <v>497030.67</v>
          </cell>
        </row>
        <row r="729">
          <cell r="A729">
            <v>860030</v>
          </cell>
          <cell r="B729" t="str">
            <v>D.E.P.B. Income</v>
          </cell>
          <cell r="C729">
            <v>-3764545.15</v>
          </cell>
        </row>
        <row r="730">
          <cell r="A730">
            <v>860040</v>
          </cell>
          <cell r="B730" t="str">
            <v>Brand duty received on imports (1% S.V.B)</v>
          </cell>
          <cell r="C730">
            <v>-85492</v>
          </cell>
        </row>
        <row r="731">
          <cell r="A731">
            <v>880000</v>
          </cell>
          <cell r="B731" t="str">
            <v>Customer discounts(Cash Discount)</v>
          </cell>
          <cell r="C731">
            <v>8861119.0399999991</v>
          </cell>
        </row>
        <row r="732">
          <cell r="A732">
            <v>881000</v>
          </cell>
          <cell r="B732" t="str">
            <v>Payment Differences (Rounding Off Diffe</v>
          </cell>
          <cell r="C732">
            <v>446.16</v>
          </cell>
        </row>
        <row r="733">
          <cell r="A733">
            <v>883000</v>
          </cell>
          <cell r="B733" t="str">
            <v>Discount on Sales-Packing Material Disc</v>
          </cell>
          <cell r="C733">
            <v>12849.71</v>
          </cell>
        </row>
        <row r="734">
          <cell r="A734">
            <v>883010</v>
          </cell>
          <cell r="B734" t="str">
            <v>Shortage,Leakage W/o</v>
          </cell>
          <cell r="C734">
            <v>208942.43</v>
          </cell>
        </row>
        <row r="735">
          <cell r="A735">
            <v>883020</v>
          </cell>
          <cell r="B735" t="str">
            <v>Excise/octroi Written Off</v>
          </cell>
          <cell r="C735">
            <v>228921.83</v>
          </cell>
        </row>
        <row r="736">
          <cell r="A736">
            <v>884000</v>
          </cell>
          <cell r="B736" t="str">
            <v>Rebate on Sales-Trade Discount, Qty dis</v>
          </cell>
          <cell r="C736">
            <v>11520973.59</v>
          </cell>
        </row>
        <row r="737">
          <cell r="A737">
            <v>889000</v>
          </cell>
          <cell r="B737" t="str">
            <v>Other sales deductions</v>
          </cell>
          <cell r="C737">
            <v>315497.11</v>
          </cell>
        </row>
        <row r="738">
          <cell r="A738">
            <v>890000</v>
          </cell>
          <cell r="B738" t="str">
            <v>Inventory change-SFG Issue to Prod. Ord</v>
          </cell>
          <cell r="C738">
            <v>382080329.37</v>
          </cell>
        </row>
        <row r="739">
          <cell r="A739">
            <v>891000</v>
          </cell>
          <cell r="B739" t="str">
            <v>Inventory change-work in process</v>
          </cell>
          <cell r="C739">
            <v>-967548.68</v>
          </cell>
        </row>
        <row r="740">
          <cell r="A740">
            <v>892000</v>
          </cell>
          <cell r="B740" t="str">
            <v>Inventory change-F.G.-Reprocessing</v>
          </cell>
          <cell r="C740">
            <v>4210344.32</v>
          </cell>
        </row>
        <row r="741">
          <cell r="A741">
            <v>893100</v>
          </cell>
          <cell r="B741" t="str">
            <v>Inv.Chg.cost MFG/SF Sold</v>
          </cell>
          <cell r="C741">
            <v>626680.34</v>
          </cell>
        </row>
        <row r="742">
          <cell r="A742">
            <v>893150</v>
          </cell>
          <cell r="B742" t="str">
            <v>Inv.Chg.-Valuation for excis etc</v>
          </cell>
          <cell r="C742">
            <v>0</v>
          </cell>
        </row>
        <row r="743">
          <cell r="A743">
            <v>893200</v>
          </cell>
          <cell r="B743" t="str">
            <v>Inv.Chg.Cost MfG/FG Sold</v>
          </cell>
          <cell r="C743">
            <v>325102023.63999999</v>
          </cell>
        </row>
        <row r="744">
          <cell r="A744">
            <v>894005</v>
          </cell>
          <cell r="B744" t="str">
            <v>Cost of RM Sold</v>
          </cell>
          <cell r="C744">
            <v>1884410.17</v>
          </cell>
        </row>
        <row r="745">
          <cell r="A745">
            <v>894010</v>
          </cell>
          <cell r="B745" t="str">
            <v>Inventory change-cost of Trading Goods</v>
          </cell>
          <cell r="C745">
            <v>285429072.79000002</v>
          </cell>
        </row>
        <row r="746">
          <cell r="A746">
            <v>894020</v>
          </cell>
          <cell r="B746" t="str">
            <v>Inventory change-Trading Goods(High Sea</v>
          </cell>
          <cell r="C746">
            <v>3885217.67</v>
          </cell>
        </row>
        <row r="747">
          <cell r="A747">
            <v>895000</v>
          </cell>
          <cell r="B747" t="str">
            <v>Inventory change-SFG-Receipt from Prod.</v>
          </cell>
          <cell r="C747">
            <v>-384459592.77999997</v>
          </cell>
        </row>
        <row r="748">
          <cell r="A748">
            <v>895200</v>
          </cell>
          <cell r="B748" t="str">
            <v>Inventory change-FG-Receipt from Produc</v>
          </cell>
          <cell r="C748">
            <v>-309160446.94</v>
          </cell>
        </row>
        <row r="749">
          <cell r="A749" t="str">
            <v>Administration Cost</v>
          </cell>
        </row>
        <row r="750">
          <cell r="A750" t="str">
            <v>Administration Cost</v>
          </cell>
          <cell r="C750">
            <v>108955421.69</v>
          </cell>
        </row>
        <row r="751">
          <cell r="A751" t="str">
            <v>Audit Expenses</v>
          </cell>
        </row>
        <row r="752">
          <cell r="A752" t="str">
            <v>Audit Expenses</v>
          </cell>
          <cell r="C752">
            <v>1187723</v>
          </cell>
        </row>
        <row r="753">
          <cell r="A753" t="str">
            <v>Consumption Raw Materials</v>
          </cell>
        </row>
        <row r="754">
          <cell r="A754" t="str">
            <v>Consumption Raw Materials</v>
          </cell>
          <cell r="C754">
            <v>218553468.09000003</v>
          </cell>
        </row>
        <row r="755">
          <cell r="A755" t="str">
            <v>Consumption Trading Goods</v>
          </cell>
        </row>
        <row r="756">
          <cell r="A756" t="str">
            <v>Consumption Trading Goods</v>
          </cell>
          <cell r="C756">
            <v>289314290.46000004</v>
          </cell>
        </row>
        <row r="757">
          <cell r="A757" t="str">
            <v>Conversion Charges</v>
          </cell>
        </row>
        <row r="758">
          <cell r="A758" t="str">
            <v>Conversion Charges</v>
          </cell>
          <cell r="C758">
            <v>112652000</v>
          </cell>
        </row>
        <row r="759">
          <cell r="A759" t="str">
            <v>Depreciation</v>
          </cell>
        </row>
        <row r="760">
          <cell r="A760" t="str">
            <v>Depreciation</v>
          </cell>
          <cell r="C760">
            <v>70126291.939999998</v>
          </cell>
        </row>
        <row r="761">
          <cell r="A761" t="str">
            <v>Excise Duty paid</v>
          </cell>
        </row>
        <row r="762">
          <cell r="A762" t="str">
            <v>Excise Duty paid</v>
          </cell>
          <cell r="C762">
            <v>48131814.890000001</v>
          </cell>
        </row>
        <row r="763">
          <cell r="A763" t="str">
            <v>Expenditure</v>
          </cell>
        </row>
        <row r="764">
          <cell r="A764" t="str">
            <v>Expenditure</v>
          </cell>
          <cell r="C764">
            <v>1598078735.4299998</v>
          </cell>
        </row>
        <row r="765">
          <cell r="A765" t="str">
            <v>Income</v>
          </cell>
          <cell r="C765">
            <v>-1583390919.79</v>
          </cell>
        </row>
        <row r="766">
          <cell r="A766" t="str">
            <v>Income-tax paid</v>
          </cell>
        </row>
        <row r="767">
          <cell r="A767" t="str">
            <v>Income-tax paid</v>
          </cell>
          <cell r="C767">
            <v>27240000</v>
          </cell>
        </row>
        <row r="768">
          <cell r="A768" t="str">
            <v>Interest</v>
          </cell>
        </row>
        <row r="769">
          <cell r="A769" t="str">
            <v>Interest</v>
          </cell>
          <cell r="C769">
            <v>23360101.750000004</v>
          </cell>
        </row>
        <row r="770">
          <cell r="A770" t="str">
            <v>Inventory Changes</v>
          </cell>
        </row>
        <row r="771">
          <cell r="A771" t="str">
            <v>Inventory Changes</v>
          </cell>
          <cell r="C771">
            <v>-694587588.39999998</v>
          </cell>
        </row>
        <row r="772">
          <cell r="A772" t="str">
            <v>Inventory Changes</v>
          </cell>
        </row>
        <row r="773">
          <cell r="A773" t="str">
            <v>Inventory Changes</v>
          </cell>
          <cell r="C773">
            <v>713903787.83999991</v>
          </cell>
        </row>
        <row r="774">
          <cell r="A774" t="str">
            <v>Micellaneous expenses</v>
          </cell>
        </row>
        <row r="775">
          <cell r="A775" t="str">
            <v>Micellaneous expenses</v>
          </cell>
          <cell r="C775">
            <v>38283896.520000003</v>
          </cell>
        </row>
        <row r="776">
          <cell r="A776" t="str">
            <v>Other Income</v>
          </cell>
        </row>
        <row r="777">
          <cell r="A777" t="str">
            <v>Other Income</v>
          </cell>
          <cell r="C777">
            <v>-57494017.189999998</v>
          </cell>
        </row>
        <row r="778">
          <cell r="A778" t="str">
            <v>Others Expenditure</v>
          </cell>
        </row>
        <row r="779">
          <cell r="A779" t="str">
            <v>Others Expenditure</v>
          </cell>
          <cell r="C779">
            <v>21148749.869999997</v>
          </cell>
        </row>
        <row r="780">
          <cell r="A780" t="str">
            <v>Personnel cost</v>
          </cell>
        </row>
        <row r="781">
          <cell r="A781" t="str">
            <v>Personnel cost</v>
          </cell>
          <cell r="C781">
            <v>17439453.829999998</v>
          </cell>
        </row>
        <row r="782">
          <cell r="A782" t="str">
            <v>Postage and communication cost</v>
          </cell>
        </row>
        <row r="783">
          <cell r="A783" t="str">
            <v>Postage and communication cost</v>
          </cell>
          <cell r="C783">
            <v>2858223.63</v>
          </cell>
        </row>
        <row r="784">
          <cell r="A784" t="str">
            <v>Printing &amp; Stationery</v>
          </cell>
        </row>
        <row r="785">
          <cell r="A785" t="str">
            <v>Printing &amp; Stationery</v>
          </cell>
          <cell r="C785">
            <v>1471798.43</v>
          </cell>
        </row>
        <row r="786">
          <cell r="A786" t="str">
            <v>Professional Charges</v>
          </cell>
        </row>
        <row r="787">
          <cell r="A787" t="str">
            <v>Professional Charges</v>
          </cell>
          <cell r="C787">
            <v>2280130.83</v>
          </cell>
        </row>
        <row r="788">
          <cell r="A788" t="str">
            <v>Profit &amp; Loss Account</v>
          </cell>
          <cell r="C788">
            <v>14687815.639999866</v>
          </cell>
        </row>
        <row r="789">
          <cell r="A789" t="str">
            <v>Rent Rates and Taxes</v>
          </cell>
        </row>
        <row r="790">
          <cell r="A790" t="str">
            <v>Rent Rates and Taxes</v>
          </cell>
          <cell r="C790">
            <v>6536955</v>
          </cell>
        </row>
        <row r="791">
          <cell r="A791" t="str">
            <v>Repairs &amp; Maintainence</v>
          </cell>
        </row>
        <row r="792">
          <cell r="A792" t="str">
            <v>Repairs &amp; Maintainence</v>
          </cell>
          <cell r="C792">
            <v>1873242.8</v>
          </cell>
        </row>
        <row r="793">
          <cell r="A793" t="str">
            <v>Sales</v>
          </cell>
        </row>
        <row r="794">
          <cell r="A794" t="str">
            <v>Sales</v>
          </cell>
          <cell r="C794">
            <v>-831309314.19999993</v>
          </cell>
        </row>
        <row r="795">
          <cell r="A795" t="str">
            <v>Stock Adjustments</v>
          </cell>
        </row>
        <row r="796">
          <cell r="A796" t="str">
            <v>Stock Adjustments</v>
          </cell>
          <cell r="C796">
            <v>-4614830.04</v>
          </cell>
        </row>
        <row r="797">
          <cell r="A797" t="str">
            <v>Travelling</v>
          </cell>
        </row>
        <row r="798">
          <cell r="A798" t="str">
            <v>Travelling</v>
          </cell>
          <cell r="C798">
            <v>6331636.5899999989</v>
          </cell>
        </row>
        <row r="799">
          <cell r="C799">
            <v>-638424857.40999997</v>
          </cell>
        </row>
        <row r="800">
          <cell r="C800">
            <v>-92794475.75</v>
          </cell>
        </row>
        <row r="801">
          <cell r="C801">
            <v>-731219333.15999997</v>
          </cell>
        </row>
        <row r="802">
          <cell r="C802">
            <v>-100089981.04000001</v>
          </cell>
        </row>
        <row r="804">
          <cell r="C804">
            <v>-38056552.450000003</v>
          </cell>
        </row>
        <row r="805">
          <cell r="C805">
            <v>-3492188.46</v>
          </cell>
        </row>
        <row r="806">
          <cell r="C806">
            <v>-2664523.33</v>
          </cell>
        </row>
        <row r="807">
          <cell r="C807">
            <v>-3614661.21</v>
          </cell>
        </row>
        <row r="808">
          <cell r="C808">
            <v>-63443.08</v>
          </cell>
        </row>
        <row r="809">
          <cell r="C809">
            <v>-9602648.6600000001</v>
          </cell>
        </row>
        <row r="811">
          <cell r="C811">
            <v>-384459592.77999997</v>
          </cell>
        </row>
        <row r="812">
          <cell r="C812">
            <v>-309160446.94</v>
          </cell>
        </row>
        <row r="813">
          <cell r="C813">
            <v>-967548.68</v>
          </cell>
        </row>
      </sheetData>
      <sheetData sheetId="1" refreshError="1"/>
      <sheetData sheetId="2" refreshError="1"/>
      <sheetData sheetId="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W"/>
      <sheetName val="OPS_asia"/>
      <sheetName val="Production"/>
      <sheetName val="PRICE"/>
      <sheetName val="Data"/>
      <sheetName val="OPS_SIMPLIFIE"/>
      <sheetName val="CESSION"/>
      <sheetName val="ORDER"/>
      <sheetName val="income"/>
      <sheetName val="AP RA99-06"/>
      <sheetName val="HV RA99-06"/>
      <sheetName val="IN RA99-06"/>
      <sheetName val="CH RA99-06"/>
      <sheetName val="TH RA99-06"/>
      <sheetName val="HZ RA99-06"/>
      <sheetName val="Total MG "/>
      <sheetName val="AP_RA99-061"/>
      <sheetName val="HV_RA99-061"/>
      <sheetName val="IN_RA99-061"/>
      <sheetName val="CH_RA99-061"/>
      <sheetName val="TH_RA99-061"/>
      <sheetName val="HZ_RA99-061"/>
      <sheetName val="Total_MG_1"/>
      <sheetName val="AP_RA99-06"/>
      <sheetName val="HV_RA99-06"/>
      <sheetName val="IN_RA99-06"/>
      <sheetName val="CH_RA99-06"/>
      <sheetName val="TH_RA99-06"/>
      <sheetName val="HZ_RA99-06"/>
      <sheetName val="Total_MG_"/>
      <sheetName val="AP_RA99-062"/>
      <sheetName val="HV_RA99-062"/>
      <sheetName val="IN_RA99-062"/>
      <sheetName val="CH_RA99-062"/>
      <sheetName val="TH_RA99-062"/>
      <sheetName val="HZ_RA99-062"/>
      <sheetName val="Total_MG_2"/>
      <sheetName val="consolidated Budget"/>
      <sheetName val="Sheet1"/>
      <sheetName val="MAPPINGS"/>
      <sheetName val="RES"/>
      <sheetName val="Params"/>
      <sheetName val="Masters"/>
      <sheetName val="Price Testing - Used - 1"/>
      <sheetName val="Price_Testing_-_Used_-_11"/>
      <sheetName val="Price_Testing_-_Used_-_1"/>
      <sheetName val="Rates"/>
      <sheetName val="COA-IPCL"/>
      <sheetName val="TB"/>
      <sheetName val="Schedule"/>
      <sheetName val="Chart of Accounts"/>
      <sheetName val="Op Plan Sales"/>
      <sheetName val="M B-QtyRecn"/>
      <sheetName val="India"/>
      <sheetName val="BAL96-97"/>
      <sheetName val="Other notes"/>
      <sheetName val="MAIN"/>
      <sheetName val="IOPlan"/>
      <sheetName val="Lists"/>
      <sheetName val="Consol"/>
      <sheetName val="IT Only"/>
      <sheetName val="Sales &amp; Marketing Dashboard"/>
      <sheetName val="LIC"/>
      <sheetName val="PropertyList"/>
      <sheetName val="IT-accruals"/>
      <sheetName val="Input schedule"/>
      <sheetName val="TPM Tot"/>
      <sheetName val="StdMarginRegQtr"/>
      <sheetName val="Sept '99"/>
      <sheetName val="Trial Balance"/>
      <sheetName val="Control"/>
      <sheetName val="Op_Plan_Sales"/>
      <sheetName val="M_B-QtyRecn"/>
      <sheetName val="FBT Full"/>
      <sheetName val="Comp"/>
      <sheetName val="Risco-Accts"/>
      <sheetName val="Payroll_Statement"/>
      <sheetName val="Cash Flow.7"/>
      <sheetName val="Rollup_Summary"/>
      <sheetName val="Op_Plan_Sales1"/>
      <sheetName val="IT_Only"/>
      <sheetName val="Annexure"/>
      <sheetName val="New form 3CD A"/>
      <sheetName val="All Data"/>
      <sheetName val="POFG"/>
      <sheetName val="未着品BALANCE"/>
      <sheetName val="データシート"/>
      <sheetName val="3 Yr Revenue Analysis(old)"/>
      <sheetName val="List"/>
      <sheetName val="Opening Balance"/>
      <sheetName val="Jodalli-P&amp;L"/>
      <sheetName val="Graphdata"/>
      <sheetName val="Macro1"/>
      <sheetName val="Other"/>
      <sheetName val="Summary"/>
      <sheetName val="Categ"/>
      <sheetName val="Amortization Table"/>
      <sheetName val="riola don't know 9-26-99"/>
      <sheetName val="Spiltrates-Latest"/>
      <sheetName val="Travel Expense Report(1week)"/>
      <sheetName val="CRITERIA1"/>
      <sheetName val=""/>
      <sheetName val="d"/>
      <sheetName val="5Y_v2.14"/>
      <sheetName val="Cover"/>
      <sheetName val="Consolidated"/>
      <sheetName val="BAL0301"/>
      <sheetName val="Rate_dec02"/>
      <sheetName val="Push Diag on Premise"/>
      <sheetName val="CChannel Attract Input"/>
      <sheetName val="FStratPlan"/>
      <sheetName val="BS"/>
      <sheetName val="Aseet1998"/>
      <sheetName val="Assum"/>
      <sheetName val="VARFCST"/>
      <sheetName val="Trial_Balance"/>
      <sheetName val="Sales_&amp;_Marketing_Dashboard"/>
      <sheetName val="Input_schedule"/>
      <sheetName val="TPM_Tot"/>
      <sheetName val="Sept_'99"/>
      <sheetName val="EXPENSES"/>
      <sheetName val="Op_Plan_Sales2"/>
      <sheetName val="IT_Only1"/>
      <sheetName val="FINAL SHEET"/>
      <sheetName val="Results"/>
      <sheetName val="Main-Material"/>
      <sheetName val="MR08' Cost Manag"/>
      <sheetName val="List_ratios"/>
      <sheetName val="IS"/>
      <sheetName val="May 09"/>
      <sheetName val="Page1"/>
      <sheetName val="Wavg RM"/>
      <sheetName val="COV"/>
      <sheetName val="exp-m"/>
      <sheetName val="PAP"/>
      <sheetName val="Keyratios"/>
      <sheetName val="Facility"/>
      <sheetName val="P L"/>
      <sheetName val="1 - A (Narrative)"/>
      <sheetName val="Notes"/>
      <sheetName val="Cash Flows"/>
      <sheetName val="Val &amp; Multp"/>
      <sheetName val="Options"/>
      <sheetName val="Heating Div"/>
      <sheetName val="All other Div's"/>
      <sheetName val="CoCapital"/>
      <sheetName val="EPS"/>
      <sheetName val="Mult"/>
      <sheetName val="Synergies"/>
      <sheetName val="Mkt Mult"/>
      <sheetName val="Trans Mult"/>
      <sheetName val="Module1"/>
      <sheetName val="Project Resource Details"/>
      <sheetName val="Assets"/>
      <sheetName val="CLP_Value_Driver (14) Dec Old"/>
      <sheetName val="Other_notes"/>
      <sheetName val="M_B-QtyRecn1"/>
      <sheetName val="FBT_Full"/>
      <sheetName val="Chart_of_Accounts"/>
      <sheetName val="consolidated_Budget"/>
      <sheetName val="Other_notes1"/>
      <sheetName val="M_B-QtyRecn2"/>
      <sheetName val="Sales_&amp;_Marketing_Dashboard1"/>
      <sheetName val="Trial_Balance1"/>
      <sheetName val="Input_schedule1"/>
      <sheetName val="TPM_Tot1"/>
      <sheetName val="Sept_'991"/>
      <sheetName val="FBT_Full1"/>
      <sheetName val="Chart_of_Accounts1"/>
      <sheetName val="consolidated_Budget1"/>
      <sheetName val="AP_RA99-063"/>
      <sheetName val="HV_RA99-063"/>
      <sheetName val="IN_RA99-063"/>
      <sheetName val="CH_RA99-063"/>
      <sheetName val="TH_RA99-063"/>
      <sheetName val="HZ_RA99-063"/>
      <sheetName val="Op_Plan_Sales3"/>
      <sheetName val="Other_notes2"/>
      <sheetName val="M_B-QtyRecn3"/>
      <sheetName val="IT_Only2"/>
      <sheetName val="Sales_&amp;_Marketing_Dashboard2"/>
      <sheetName val="Trial_Balance2"/>
      <sheetName val="Input_schedule2"/>
      <sheetName val="TPM_Tot2"/>
      <sheetName val="Sept_'992"/>
      <sheetName val="FBT_Full2"/>
      <sheetName val="Chart_of_Accounts2"/>
      <sheetName val="consolidated_Budget2"/>
      <sheetName val="AP_RA99-064"/>
      <sheetName val="HV_RA99-064"/>
      <sheetName val="IN_RA99-064"/>
      <sheetName val="CH_RA99-064"/>
      <sheetName val="TH_RA99-064"/>
      <sheetName val="HZ_RA99-064"/>
      <sheetName val="Op_Plan_Sales4"/>
      <sheetName val="Other_notes3"/>
      <sheetName val="M_B-QtyRecn4"/>
      <sheetName val="IT_Only3"/>
      <sheetName val="Sales_&amp;_Marketing_Dashboard3"/>
      <sheetName val="Total_MG_3"/>
      <sheetName val="Trial_Balance3"/>
      <sheetName val="Input_schedule3"/>
      <sheetName val="TPM_Tot3"/>
      <sheetName val="Sept_'993"/>
      <sheetName val="FBT_Full3"/>
      <sheetName val="Chart_of_Accounts3"/>
      <sheetName val="consolidated_Budget3"/>
      <sheetName val="5Y_v2_14"/>
      <sheetName val="Price_Testing_-_Used_-_12"/>
      <sheetName val="Push_Diag_on_Premise"/>
      <sheetName val="CChannel_Attract_Input"/>
      <sheetName val="Cash_Flow_7"/>
      <sheetName val="Opening_Balance"/>
      <sheetName val="AP_RA99-065"/>
      <sheetName val="HV_RA99-065"/>
      <sheetName val="IN_RA99-065"/>
      <sheetName val="CH_RA99-065"/>
      <sheetName val="TH_RA99-065"/>
      <sheetName val="HZ_RA99-065"/>
      <sheetName val="Op_Plan_Sales5"/>
      <sheetName val="Other_notes4"/>
      <sheetName val="M_B-QtyRecn5"/>
      <sheetName val="IT_Only4"/>
      <sheetName val="Sales_&amp;_Marketing_Dashboard4"/>
      <sheetName val="Total_MG_4"/>
      <sheetName val="Trial_Balance4"/>
      <sheetName val="Input_schedule4"/>
      <sheetName val="TPM_Tot4"/>
      <sheetName val="Sept_'994"/>
      <sheetName val="FBT_Full4"/>
      <sheetName val="Chart_of_Accounts4"/>
      <sheetName val="consolidated_Budget4"/>
      <sheetName val="5Y_v2_141"/>
      <sheetName val="Price_Testing_-_Used_-_13"/>
      <sheetName val="Push_Diag_on_Premise1"/>
      <sheetName val="CChannel_Attract_Input1"/>
      <sheetName val="Cash_Flow_71"/>
      <sheetName val="Opening_Balance1"/>
      <sheetName val="AP_RA99-067"/>
      <sheetName val="HV_RA99-067"/>
      <sheetName val="IN_RA99-067"/>
      <sheetName val="CH_RA99-067"/>
      <sheetName val="TH_RA99-067"/>
      <sheetName val="HZ_RA99-067"/>
      <sheetName val="Op_Plan_Sales7"/>
      <sheetName val="Other_notes6"/>
      <sheetName val="M_B-QtyRecn7"/>
      <sheetName val="IT_Only6"/>
      <sheetName val="Sales_&amp;_Marketing_Dashboard6"/>
      <sheetName val="Total_MG_6"/>
      <sheetName val="Trial_Balance6"/>
      <sheetName val="Input_schedule6"/>
      <sheetName val="TPM_Tot6"/>
      <sheetName val="Sept_'996"/>
      <sheetName val="FBT_Full6"/>
      <sheetName val="Chart_of_Accounts6"/>
      <sheetName val="consolidated_Budget6"/>
      <sheetName val="5Y_v2_143"/>
      <sheetName val="Price_Testing_-_Used_-_15"/>
      <sheetName val="Push_Diag_on_Premise3"/>
      <sheetName val="CChannel_Attract_Input3"/>
      <sheetName val="Cash_Flow_73"/>
      <sheetName val="Opening_Balance3"/>
      <sheetName val="AP_RA99-066"/>
      <sheetName val="HV_RA99-066"/>
      <sheetName val="IN_RA99-066"/>
      <sheetName val="CH_RA99-066"/>
      <sheetName val="TH_RA99-066"/>
      <sheetName val="HZ_RA99-066"/>
      <sheetName val="Op_Plan_Sales6"/>
      <sheetName val="Other_notes5"/>
      <sheetName val="M_B-QtyRecn6"/>
      <sheetName val="IT_Only5"/>
      <sheetName val="Sales_&amp;_Marketing_Dashboard5"/>
      <sheetName val="Total_MG_5"/>
      <sheetName val="Trial_Balance5"/>
      <sheetName val="Input_schedule5"/>
      <sheetName val="TPM_Tot5"/>
      <sheetName val="Sept_'995"/>
      <sheetName val="FBT_Full5"/>
      <sheetName val="Chart_of_Accounts5"/>
      <sheetName val="consolidated_Budget5"/>
      <sheetName val="5Y_v2_142"/>
      <sheetName val="Price_Testing_-_Used_-_14"/>
      <sheetName val="Push_Diag_on_Premise2"/>
      <sheetName val="CChannel_Attract_Input2"/>
      <sheetName val="Cash_Flow_72"/>
      <sheetName val="Opening_Balance2"/>
      <sheetName val="AP_RA99-068"/>
      <sheetName val="HV_RA99-068"/>
      <sheetName val="IN_RA99-068"/>
      <sheetName val="CH_RA99-068"/>
      <sheetName val="TH_RA99-068"/>
      <sheetName val="HZ_RA99-068"/>
      <sheetName val="Op_Plan_Sales8"/>
      <sheetName val="Other_notes7"/>
      <sheetName val="M_B-QtyRecn8"/>
      <sheetName val="IT_Only7"/>
      <sheetName val="Sales_&amp;_Marketing_Dashboard7"/>
      <sheetName val="Total_MG_7"/>
      <sheetName val="Trial_Balance7"/>
      <sheetName val="Input_schedule7"/>
      <sheetName val="TPM_Tot7"/>
      <sheetName val="Sept_'997"/>
      <sheetName val="FBT_Full7"/>
      <sheetName val="Chart_of_Accounts7"/>
      <sheetName val="consolidated_Budget7"/>
      <sheetName val="5Y_v2_144"/>
      <sheetName val="Price_Testing_-_Used_-_16"/>
      <sheetName val="Push_Diag_on_Premise4"/>
      <sheetName val="CChannel_Attract_Input4"/>
      <sheetName val="Cash_Flow_74"/>
      <sheetName val="Opening_Balance4"/>
      <sheetName val="AP_RA99-069"/>
      <sheetName val="HV_RA99-069"/>
      <sheetName val="IN_RA99-069"/>
      <sheetName val="CH_RA99-069"/>
      <sheetName val="TH_RA99-069"/>
      <sheetName val="HZ_RA99-069"/>
      <sheetName val="Op_Plan_Sales9"/>
      <sheetName val="Other_notes8"/>
      <sheetName val="M_B-QtyRecn9"/>
      <sheetName val="IT_Only8"/>
      <sheetName val="Sales_&amp;_Marketing_Dashboard8"/>
      <sheetName val="Total_MG_8"/>
      <sheetName val="Trial_Balance8"/>
      <sheetName val="Input_schedule8"/>
      <sheetName val="TPM_Tot8"/>
      <sheetName val="Sept_'998"/>
      <sheetName val="FBT_Full8"/>
      <sheetName val="Chart_of_Accounts8"/>
      <sheetName val="consolidated_Budget8"/>
      <sheetName val="5Y_v2_145"/>
      <sheetName val="Price_Testing_-_Used_-_17"/>
      <sheetName val="Push_Diag_on_Premise5"/>
      <sheetName val="CChannel_Attract_Input5"/>
      <sheetName val="Cash_Flow_75"/>
      <sheetName val="Opening_Balance5"/>
      <sheetName val="AP_RA99-0610"/>
      <sheetName val="HV_RA99-0610"/>
      <sheetName val="IN_RA99-0610"/>
      <sheetName val="CH_RA99-0610"/>
      <sheetName val="TH_RA99-0610"/>
      <sheetName val="HZ_RA99-0610"/>
      <sheetName val="Op_Plan_Sales10"/>
      <sheetName val="Other_notes9"/>
      <sheetName val="M_B-QtyRecn10"/>
      <sheetName val="IT_Only9"/>
      <sheetName val="Sales_&amp;_Marketing_Dashboard9"/>
      <sheetName val="Total_MG_9"/>
      <sheetName val="Trial_Balance9"/>
      <sheetName val="Input_schedule9"/>
      <sheetName val="TPM_Tot9"/>
      <sheetName val="Sept_'999"/>
      <sheetName val="FBT_Full9"/>
      <sheetName val="Chart_of_Accounts9"/>
      <sheetName val="consolidated_Budget9"/>
      <sheetName val="5Y_v2_146"/>
      <sheetName val="Price_Testing_-_Used_-_18"/>
      <sheetName val="Push_Diag_on_Premise6"/>
      <sheetName val="CChannel_Attract_Input6"/>
      <sheetName val="Cash_Flow_76"/>
      <sheetName val="Opening_Balance6"/>
      <sheetName val="Rev"/>
      <sheetName val="Input Screen"/>
      <sheetName val="TB Round"/>
      <sheetName val="Cash Flow-WSL Base Fcst"/>
      <sheetName val="Sales &amp;Sale Cost"/>
      <sheetName val=".2 Reserve"/>
      <sheetName val="Maint Def Rev 03-04"/>
      <sheetName val="New-Growth Def Rev 03-04"/>
      <sheetName val="Perpetual Def Rev 03-04"/>
      <sheetName val="Renewal Def Rev 03-04"/>
      <sheetName val="ENCL6"/>
      <sheetName val="2003"/>
      <sheetName val="Grouping TB"/>
      <sheetName val="working"/>
      <sheetName val="AP_RA99-0611"/>
      <sheetName val="HV_RA99-0611"/>
      <sheetName val="IN_RA99-0611"/>
      <sheetName val="CH_RA99-0611"/>
      <sheetName val="TH_RA99-0611"/>
      <sheetName val="HZ_RA99-0611"/>
      <sheetName val="Op_Plan_Sales11"/>
      <sheetName val="Other_notes10"/>
      <sheetName val="M_B-QtyRecn11"/>
      <sheetName val="IT_Only10"/>
      <sheetName val="Sales_&amp;_Marketing_Dashboard10"/>
      <sheetName val="Total_MG_10"/>
      <sheetName val="Trial_Balance10"/>
      <sheetName val="Input_schedule10"/>
      <sheetName val="TPM_Tot10"/>
      <sheetName val="Sept_'9910"/>
      <sheetName val="FBT_Full10"/>
      <sheetName val="Chart_of_Accounts10"/>
      <sheetName val="consolidated_Budget10"/>
      <sheetName val="5Y_v2_147"/>
      <sheetName val="Price_Testing_-_Used_-_19"/>
      <sheetName val="Push_Diag_on_Premise7"/>
      <sheetName val="CChannel_Attract_Input7"/>
      <sheetName val="Cash_Flow_77"/>
      <sheetName val="Opening_Balance7"/>
      <sheetName val="Reference"/>
      <sheetName val="Balancesheet"/>
      <sheetName val="61750000 Consultancy Charges"/>
      <sheetName val="YTD"/>
      <sheetName val="Labour &amp; Plant"/>
      <sheetName val="Annexure B"/>
      <sheetName val="Res_Area"/>
      <sheetName val="Intro"/>
      <sheetName val="Staff"/>
      <sheetName val="IT_FBT_DDTP"/>
      <sheetName val="NLD - Assum"/>
      <sheetName val="Challan"/>
      <sheetName val="AP_RA99-0612"/>
      <sheetName val="HV_RA99-0612"/>
      <sheetName val="IN_RA99-0612"/>
      <sheetName val="CH_RA99-0612"/>
      <sheetName val="TH_RA99-0612"/>
      <sheetName val="HZ_RA99-0612"/>
      <sheetName val="Op_Plan_Sales12"/>
      <sheetName val="Other_notes11"/>
      <sheetName val="M_B-QtyRecn12"/>
      <sheetName val="IT_Only11"/>
      <sheetName val="Sales_&amp;_Marketing_Dashboard11"/>
      <sheetName val="Total_MG_11"/>
      <sheetName val="Trial_Balance11"/>
      <sheetName val="Input_schedule11"/>
      <sheetName val="TPM_Tot11"/>
      <sheetName val="Sept_'9911"/>
      <sheetName val="FBT_Full11"/>
      <sheetName val="Chart_of_Accounts11"/>
      <sheetName val="consolidated_Budget11"/>
      <sheetName val="5Y_v2_148"/>
      <sheetName val="Price_Testing_-_Used_-_110"/>
      <sheetName val="Push_Diag_on_Premise8"/>
      <sheetName val="CChannel_Attract_Input8"/>
      <sheetName val="Cash_Flow_78"/>
      <sheetName val="Opening_Balance8"/>
      <sheetName val="12.04.09"/>
      <sheetName val="MORE-MAR'2002"/>
      <sheetName val="SCHE-MARCH'2002"/>
      <sheetName val="Inputs"/>
      <sheetName val="mdd &amp; co Fdr jan.02 "/>
      <sheetName val="MPCP9899"/>
      <sheetName val="B0_111350"/>
      <sheetName val="A"/>
      <sheetName val="Listings 96-02"/>
      <sheetName val="SAP - Rightpak"/>
      <sheetName val="Excess Calc"/>
      <sheetName val="SCH-A"/>
      <sheetName val="Fx Rates"/>
      <sheetName val="AR JAN'02"/>
      <sheetName val="98ordbkg"/>
      <sheetName val="Power Cost sheet"/>
      <sheetName val="Steam Cost Sheet"/>
      <sheetName val="P&amp;L February"/>
      <sheetName val="P&amp;L Feb 2001 cumulative"/>
      <sheetName val="COLUMN"/>
      <sheetName val="PARTY DETAILS"/>
      <sheetName val="Power"/>
      <sheetName val="mar rep rev"/>
      <sheetName val="CF SALE.W.OFF 01-02"/>
      <sheetName val="stock data"/>
      <sheetName val="Turnover"/>
      <sheetName val="Sheet2"/>
      <sheetName val="sept-plan"/>
      <sheetName val="PREFACE"/>
      <sheetName val="12-19-00"/>
      <sheetName val="Rec"/>
      <sheetName val="Links"/>
      <sheetName val="Occ, Other Rev, Exp, Dispo"/>
      <sheetName val="P1 RM"/>
      <sheetName val="5-F-PAR"/>
      <sheetName val="LEGAL GUJ"/>
      <sheetName val="May_09"/>
      <sheetName val="3_Yr_Revenue_Analysis(old)"/>
      <sheetName val="Amortization_Table"/>
      <sheetName val="riola_don't_know_9-26-99"/>
      <sheetName val="New_form_3CD_A"/>
      <sheetName val="All_Data"/>
      <sheetName val="1_-_A_(Narrative)"/>
      <sheetName val="P_L"/>
      <sheetName val="MR08'_Cost_Manag"/>
      <sheetName val="Wavg_RM"/>
      <sheetName val="FINAL_SHEET"/>
      <sheetName val="12_04_09"/>
      <sheetName val="Travel_Expense_Report(1week)"/>
      <sheetName val="NLD_-_Assum"/>
      <sheetName val="PARTY_DETAILS"/>
      <sheetName val="mar_rep_rev"/>
      <sheetName val="CF_SALE_W_OFF_01-02"/>
      <sheetName val="stock_data"/>
      <sheetName val="P&amp;L_February"/>
      <sheetName val="P&amp;L_Feb_2001_cumulative"/>
      <sheetName val="Balance Sheet "/>
      <sheetName val="P&amp;L Summary Page"/>
      <sheetName val="Payslip"/>
      <sheetName val="Axis Bank Cheques"/>
      <sheetName val="Master Sheet"/>
      <sheetName val="RESULTS-BLR-BB"/>
      <sheetName val="TARGET"/>
      <sheetName val="Debtors Ageing"/>
      <sheetName val="PLAN-BLR-BB"/>
      <sheetName val="RESULTS-REALTY"/>
      <sheetName val="SME"/>
      <sheetName val="Region"/>
      <sheetName val="WO-List"/>
      <sheetName val="K-Summary"/>
      <sheetName val="RF2004_vs_OB2004"/>
      <sheetName val="BST"/>
      <sheetName val="Master"/>
      <sheetName val="BS face"/>
      <sheetName val="BS Notes"/>
      <sheetName val="PL face"/>
      <sheetName val="PL Notes"/>
      <sheetName val="CFS"/>
      <sheetName val="Grouping"/>
      <sheetName val="Fixed Assets"/>
      <sheetName val="Deferred tax"/>
      <sheetName val="MAT"/>
      <sheetName val="gp"/>
      <sheetName val="GP Ratio"/>
      <sheetName val="экспорт"/>
      <sheetName val="Transaction Inputs"/>
      <sheetName val="ValuationInput"/>
      <sheetName val="DebtInput"/>
      <sheetName val="Storage"/>
      <sheetName val="Valuation"/>
    </sheetNames>
    <sheetDataSet>
      <sheetData sheetId="0" refreshError="1"/>
      <sheetData sheetId="1" refreshError="1"/>
      <sheetData sheetId="2" refreshError="1"/>
      <sheetData sheetId="3" refreshError="1"/>
      <sheetData sheetId="4" refreshError="1">
        <row r="10">
          <cell r="D10">
            <v>8.3000000000000007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refreshError="1"/>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refreshError="1"/>
      <sheetData sheetId="524" refreshError="1"/>
      <sheetData sheetId="525" refreshError="1"/>
      <sheetData sheetId="526" refreshError="1"/>
      <sheetData sheetId="527" refreshError="1"/>
      <sheetData sheetId="52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Bs"/>
      <sheetName val="p&amp;l"/>
      <sheetName val="SCH-BS"/>
      <sheetName val="SCH-PL"/>
      <sheetName val="sch2"/>
      <sheetName val="sch5"/>
      <sheetName val="sch6"/>
      <sheetName val="Grp-BS"/>
      <sheetName val="Grp-PL"/>
      <sheetName val="Trial"/>
      <sheetName val="Cash Flow"/>
      <sheetName val="Working FY 05"/>
      <sheetName val="sch19"/>
      <sheetName val="segmental"/>
      <sheetName val="Cashflow (2)"/>
      <sheetName val="Cash-WKI"/>
      <sheetName val="Cash_Flow1"/>
      <sheetName val="Working_FY_051"/>
      <sheetName val="Cashflow_(2)1"/>
      <sheetName val="Cash_Flow"/>
      <sheetName val="Working_FY_05"/>
      <sheetName val="Cashflow_(2)"/>
      <sheetName val="Cash_Flow2"/>
      <sheetName val="Working_FY_052"/>
      <sheetName val="Cashflow_(2)2"/>
    </sheetNames>
    <sheetDataSet>
      <sheetData sheetId="0" refreshError="1">
        <row r="2">
          <cell r="N2">
            <v>2</v>
          </cell>
        </row>
        <row r="6">
          <cell r="M6">
            <v>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ock Records"/>
      <sheetName val="EEFc-new"/>
      <sheetName val="3CD"/>
      <sheetName val="Sheet2"/>
      <sheetName val="TP Margin"/>
      <sheetName val="80IB New"/>
      <sheetName val="EEFc-Pharma"/>
      <sheetName val="BS - 31.03.06"/>
      <sheetName val="L&amp;A"/>
      <sheetName val="Creditors"/>
      <sheetName val="nutra- TB"/>
      <sheetName val="pharma - TB"/>
      <sheetName val="80IB"/>
      <sheetName val="COMP."/>
      <sheetName val="Def. Tax"/>
      <sheetName val="Pending "/>
      <sheetName val="stk sum"/>
      <sheetName val="stock stat Reco"/>
      <sheetName val="valuation  of cl.stk"/>
      <sheetName val="Ratios - tax"/>
      <sheetName val="other asset"/>
      <sheetName val="building"/>
      <sheetName val="amol pharm dep "/>
      <sheetName val="amol nut dep"/>
      <sheetName val="dep-ssi"/>
      <sheetName val="Dep Tax"/>
      <sheetName val="ANNEX I"/>
      <sheetName val="ANEX-II"/>
      <sheetName val="Int"/>
      <sheetName val="ANN-A"/>
      <sheetName val="ANN-B"/>
      <sheetName val="ANN-C"/>
      <sheetName val="ANN-D"/>
      <sheetName val="ANN-E"/>
      <sheetName val=" ANN-G"/>
      <sheetName val="3CEB"/>
      <sheetName val="annexure for  3CEB"/>
      <sheetName val="Export MT"/>
      <sheetName val="ABL IMPORT EXPORT"/>
      <sheetName val="NUTRA TO US "/>
      <sheetName val="PHARMA TO US"/>
      <sheetName val="ratio"/>
      <sheetName val="TP New"/>
      <sheetName val="TP Old"/>
      <sheetName val="Stock_Records1"/>
      <sheetName val="TP_Margin1"/>
      <sheetName val="80IB_New1"/>
      <sheetName val="BS_-_31_03_061"/>
      <sheetName val="nutra-_TB1"/>
      <sheetName val="pharma_-_TB1"/>
      <sheetName val="COMP_1"/>
      <sheetName val="Def__Tax1"/>
      <sheetName val="Pending_1"/>
      <sheetName val="stk_sum1"/>
      <sheetName val="stock_stat_Reco1"/>
      <sheetName val="valuation__of_cl_stk1"/>
      <sheetName val="Ratios_-_tax1"/>
      <sheetName val="other_asset1"/>
      <sheetName val="amol_pharm_dep_1"/>
      <sheetName val="amol_nut_dep1"/>
      <sheetName val="Dep_Tax1"/>
      <sheetName val="ANNEX_I1"/>
      <sheetName val="_ANN-G1"/>
      <sheetName val="annexure_for__3CEB1"/>
      <sheetName val="Export_MT1"/>
      <sheetName val="ABL_IMPORT_EXPORT1"/>
      <sheetName val="NUTRA_TO_US_1"/>
      <sheetName val="PHARMA_TO_US1"/>
      <sheetName val="TP_New1"/>
      <sheetName val="TP_Old1"/>
      <sheetName val="Stock_Records"/>
      <sheetName val="TP_Margin"/>
      <sheetName val="80IB_New"/>
      <sheetName val="BS_-_31_03_06"/>
      <sheetName val="nutra-_TB"/>
      <sheetName val="pharma_-_TB"/>
      <sheetName val="COMP_"/>
      <sheetName val="Def__Tax"/>
      <sheetName val="Pending_"/>
      <sheetName val="stk_sum"/>
      <sheetName val="stock_stat_Reco"/>
      <sheetName val="valuation__of_cl_stk"/>
      <sheetName val="Ratios_-_tax"/>
      <sheetName val="other_asset"/>
      <sheetName val="amol_pharm_dep_"/>
      <sheetName val="amol_nut_dep"/>
      <sheetName val="Dep_Tax"/>
      <sheetName val="ANNEX_I"/>
      <sheetName val="_ANN-G"/>
      <sheetName val="annexure_for__3CEB"/>
      <sheetName val="Export_MT"/>
      <sheetName val="ABL_IMPORT_EXPORT"/>
      <sheetName val="NUTRA_TO_US_"/>
      <sheetName val="PHARMA_TO_US"/>
      <sheetName val="TP_New"/>
      <sheetName val="TP_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ept."/>
      <sheetName val="TB"/>
      <sheetName val="BS 2004"/>
      <sheetName val="CLOSING ENTRIES"/>
      <sheetName val="AGEING"/>
      <sheetName val="RATIOS"/>
      <sheetName val="Ratio Analysis"/>
      <sheetName val="COMP."/>
      <sheetName val="Co DEP"/>
      <sheetName val="I.T. DEPN"/>
      <sheetName val="Stock-august"/>
      <sheetName val="Stock"/>
      <sheetName val="CLOSING ENTRIES (2)"/>
      <sheetName val="Def. tax "/>
      <sheetName val="Deferred Tax 1.4.2002"/>
      <sheetName val="Sheet1"/>
      <sheetName val="Stock Records"/>
      <sheetName val="EEFc-new"/>
      <sheetName val="3CD"/>
      <sheetName val="Sheet2"/>
      <sheetName val="TP New"/>
      <sheetName val="TP Old"/>
      <sheetName val="80IB New"/>
      <sheetName val="EEFc-Pharma"/>
      <sheetName val="BS - 31.03.06"/>
      <sheetName val="L&amp;A"/>
      <sheetName val="Creditors"/>
      <sheetName val="nutra- TB"/>
      <sheetName val="pharma - TB"/>
      <sheetName val="80IB"/>
      <sheetName val="Def. Tax"/>
      <sheetName val="Pending "/>
      <sheetName val="stk sum"/>
      <sheetName val="stock stat Reco"/>
      <sheetName val="valuation  of cl.stk"/>
      <sheetName val="Ratios - tax"/>
      <sheetName val="other asset"/>
      <sheetName val="building"/>
      <sheetName val="amol pharm dep "/>
      <sheetName val="amol nut dep"/>
      <sheetName val="dep-ssi"/>
      <sheetName val="Dep Tax"/>
      <sheetName val="ANNEX I"/>
      <sheetName val="ANEX-II"/>
      <sheetName val="Int"/>
      <sheetName val="ANN-A"/>
      <sheetName val="ANN-B"/>
      <sheetName val="ANN-C"/>
      <sheetName val="ANN-D"/>
      <sheetName val="ANN-E"/>
      <sheetName val=" ANN-G"/>
      <sheetName val="3CEB"/>
      <sheetName val="annexure for  3CEB"/>
      <sheetName val="Export MT"/>
      <sheetName val="ABL IMPORT EXPORT"/>
      <sheetName val="NUTRA TO US "/>
      <sheetName val="PHARMA TO US"/>
      <sheetName val="ratio"/>
      <sheetName val="CAR LOAN"/>
      <sheetName val="TDS"/>
      <sheetName val="FBT"/>
      <sheetName val="Annexure II (FBT)"/>
      <sheetName val="COI"/>
      <sheetName val="BS "/>
      <sheetName val="29B"/>
      <sheetName val="SUM"/>
      <sheetName val="TB RR"/>
      <sheetName val="TB HR"/>
      <sheetName val="DEP.CO."/>
      <sheetName val="Dep"/>
      <sheetName val="IT DEP"/>
      <sheetName val="DR"/>
      <sheetName val="DT04"/>
      <sheetName val="DT06"/>
      <sheetName val="ANNEX"/>
      <sheetName val="SALES TAX(VAT)"/>
      <sheetName val="Interest"/>
      <sheetName val="Annex -F"/>
      <sheetName val="Annex -G"/>
      <sheetName val="ANN -H"/>
      <sheetName val="ANN-J"/>
      <sheetName val="Directors"/>
      <sheetName val="Shares"/>
      <sheetName val="ANN-F"/>
      <sheetName val="ANN-I"/>
      <sheetName val="WORKING OF TDS"/>
      <sheetName val="AS 31.3.2003"/>
      <sheetName val="FGR"/>
      <sheetName val="RMR"/>
      <sheetName val="WIP R"/>
      <sheetName val="FG"/>
      <sheetName val="Summary"/>
      <sheetName val="RMV"/>
      <sheetName val="WIPV"/>
      <sheetName val="D"/>
      <sheetName val="JWV"/>
      <sheetName val="JWR"/>
      <sheetName val="S-k"/>
      <sheetName val="bal sheet "/>
      <sheetName val="Prefernece Redm"/>
      <sheetName val="Chanplast"/>
      <sheetName val="Excise"/>
      <sheetName val="CO-DEP"/>
      <sheetName val="pref"/>
      <sheetName val="Corrections"/>
      <sheetName val="Pending"/>
      <sheetName val="analysis "/>
      <sheetName val="TDS Working"/>
      <sheetName val="Excise last year"/>
      <sheetName val="walter and chanvim"/>
      <sheetName val="workin"/>
      <sheetName val="rough"/>
      <sheetName val="(EVL) compens."/>
      <sheetName val="work"/>
      <sheetName val="sch E ( a)"/>
      <sheetName val="working"/>
      <sheetName val="Sheet5"/>
      <sheetName val="TB final (4)"/>
      <sheetName val="COVER PAGE"/>
      <sheetName val="REQ"/>
      <sheetName val="COMPUT"/>
      <sheetName val="B S"/>
      <sheetName val="FIX.ASS"/>
      <sheetName val="QTY "/>
      <sheetName val="AHO DRS"/>
      <sheetName val="3 CA ANNEX."/>
      <sheetName val="3CD ANNEX"/>
      <sheetName val="GROUP"/>
      <sheetName val="page 1 to 5 &amp; 7"/>
      <sheetName val="I.T DEP"/>
      <sheetName val="AS-22"/>
      <sheetName val="Master"/>
      <sheetName val="page 6"/>
      <sheetName val="DRS-180 D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22 1.4.2002"/>
      <sheetName val="AS 31.3.2003"/>
      <sheetName val="Accounts"/>
      <sheetName val="Suppliers"/>
      <sheetName val="COMP."/>
      <sheetName val="ANNEX H"/>
      <sheetName val="BS&amp;PLA"/>
      <sheetName val="145 A"/>
      <sheetName val="Co - Dep"/>
      <sheetName val="Debit  note"/>
      <sheetName val="Modvat"/>
      <sheetName val="DEP IT"/>
      <sheetName val="costsheet"/>
      <sheetName val="POY Wastage Oil"/>
      <sheetName val="Stock Detail"/>
      <sheetName val="Trading"/>
      <sheetName val="Stock Details"/>
      <sheetName val="Sheet1"/>
      <sheetName val="ELECTRICITY"/>
      <sheetName val="Excise duty"/>
      <sheetName val="ANNEX C"/>
      <sheetName val="General exp."/>
      <sheetName val="fixed assets(0ld)"/>
      <sheetName val="RELIANCE "/>
      <sheetName val="ANNEX I"/>
      <sheetName val="pharma - TB"/>
      <sheetName val="rough"/>
      <sheetName val="AS_22_1_4_20021"/>
      <sheetName val="AS_31_3_20031"/>
      <sheetName val="COMP_1"/>
      <sheetName val="ANNEX_H1"/>
      <sheetName val="145_A1"/>
      <sheetName val="Co_-_Dep1"/>
      <sheetName val="Debit__note1"/>
      <sheetName val="DEP_IT1"/>
      <sheetName val="POY_Wastage_Oil1"/>
      <sheetName val="Stock_Detail1"/>
      <sheetName val="Stock_Details1"/>
      <sheetName val="Excise_duty1"/>
      <sheetName val="ANNEX_C1"/>
      <sheetName val="General_exp_1"/>
      <sheetName val="fixed_assets(0ld)1"/>
      <sheetName val="RELIANCE_1"/>
      <sheetName val="ANNEX_I1"/>
      <sheetName val="pharma_-_TB1"/>
      <sheetName val="AS_22_1_4_2002"/>
      <sheetName val="AS_31_3_2003"/>
      <sheetName val="COMP_"/>
      <sheetName val="ANNEX_H"/>
      <sheetName val="145_A"/>
      <sheetName val="Co_-_Dep"/>
      <sheetName val="Debit__note"/>
      <sheetName val="DEP_IT"/>
      <sheetName val="POY_Wastage_Oil"/>
      <sheetName val="Stock_Detail"/>
      <sheetName val="Stock_Details"/>
      <sheetName val="Excise_duty"/>
      <sheetName val="ANNEX_C"/>
      <sheetName val="General_exp_"/>
      <sheetName val="fixed_assets(0ld)"/>
      <sheetName val="RELIANCE_"/>
      <sheetName val="ANNEX_I"/>
      <sheetName val="pharma_-_TB"/>
      <sheetName val="AS_22_1_4_20022"/>
      <sheetName val="AS_31_3_20032"/>
      <sheetName val="COMP_2"/>
      <sheetName val="ANNEX_H2"/>
      <sheetName val="145_A2"/>
      <sheetName val="Co_-_Dep2"/>
      <sheetName val="Debit__note2"/>
      <sheetName val="DEP_IT2"/>
      <sheetName val="POY_Wastage_Oil2"/>
      <sheetName val="Stock_Detail2"/>
      <sheetName val="Stock_Details2"/>
      <sheetName val="Excise_duty2"/>
      <sheetName val="ANNEX_C2"/>
      <sheetName val="General_exp_2"/>
      <sheetName val="fixed_assets(0ld)2"/>
      <sheetName val="RELIANCE_2"/>
      <sheetName val="ANNEX_I2"/>
      <sheetName val="pharma_-_TB2"/>
    </sheetNames>
    <sheetDataSet>
      <sheetData sheetId="0"/>
      <sheetData sheetId="1"/>
      <sheetData sheetId="2"/>
      <sheetData sheetId="3"/>
      <sheetData sheetId="4"/>
      <sheetData sheetId="5"/>
      <sheetData sheetId="6" refreshError="1">
        <row r="578">
          <cell r="B578" t="str">
            <v>RAMANUJ SYNTHETICS PVT. LTD.</v>
          </cell>
        </row>
        <row r="580">
          <cell r="B580" t="str">
            <v xml:space="preserve">GROUPING OF BALANCE SHEET &amp; PROFIT &amp; LOSS ACCOUNT FOR THE  </v>
          </cell>
        </row>
        <row r="581">
          <cell r="B581" t="str">
            <v>YEAR ENDED 31ST MARCH, 2003</v>
          </cell>
        </row>
        <row r="583">
          <cell r="B583" t="str">
            <v>PARTICULARS</v>
          </cell>
          <cell r="D583" t="str">
            <v>31st March, 2003</v>
          </cell>
          <cell r="E583" t="str">
            <v>31st March, 2002</v>
          </cell>
          <cell r="F583" t="str">
            <v>31st March, 2001</v>
          </cell>
        </row>
        <row r="584">
          <cell r="D584" t="str">
            <v>(Rupees)</v>
          </cell>
          <cell r="E584" t="str">
            <v>(Rupees)</v>
          </cell>
          <cell r="F584" t="str">
            <v>(Rupees)</v>
          </cell>
        </row>
        <row r="586">
          <cell r="B586" t="str">
            <v>CREDITORS FOR EXPENSES</v>
          </cell>
        </row>
        <row r="587">
          <cell r="B587" t="str">
            <v>S.V.Enterprises</v>
          </cell>
          <cell r="D587">
            <v>1789</v>
          </cell>
        </row>
        <row r="588">
          <cell r="B588" t="str">
            <v>Vishwakarma  Electricals</v>
          </cell>
          <cell r="D588">
            <v>1000</v>
          </cell>
          <cell r="E588">
            <v>1050</v>
          </cell>
        </row>
        <row r="589">
          <cell r="B589" t="str">
            <v>Mahesh  Engineering   Works</v>
          </cell>
          <cell r="D589">
            <v>571</v>
          </cell>
          <cell r="E589">
            <v>3083</v>
          </cell>
        </row>
        <row r="590">
          <cell r="B590" t="str">
            <v>Daga Press</v>
          </cell>
          <cell r="D590">
            <v>4416</v>
          </cell>
          <cell r="E590">
            <v>10994</v>
          </cell>
          <cell r="H590" t="str">
            <v>new</v>
          </cell>
        </row>
        <row r="591">
          <cell r="B591" t="str">
            <v>CRP  Control Panel Pvt Ltd</v>
          </cell>
          <cell r="D591">
            <v>80473</v>
          </cell>
        </row>
        <row r="592">
          <cell r="B592" t="str">
            <v>Siemens Ltd</v>
          </cell>
          <cell r="D592">
            <v>42325</v>
          </cell>
          <cell r="E592">
            <v>15715</v>
          </cell>
        </row>
        <row r="593">
          <cell r="B593" t="str">
            <v>Shiv  Transport  Services</v>
          </cell>
          <cell r="E593">
            <v>160800</v>
          </cell>
        </row>
        <row r="594">
          <cell r="B594" t="str">
            <v>Sai Electric Service</v>
          </cell>
          <cell r="E594">
            <v>12200</v>
          </cell>
        </row>
        <row r="595">
          <cell r="B595" t="str">
            <v>Star  Electic  Works</v>
          </cell>
          <cell r="D595">
            <v>3250</v>
          </cell>
        </row>
        <row r="596">
          <cell r="B596" t="str">
            <v>Industrial Spares Co.</v>
          </cell>
          <cell r="D596">
            <v>7140</v>
          </cell>
          <cell r="E596">
            <v>15699</v>
          </cell>
          <cell r="H596" t="str">
            <v>new</v>
          </cell>
        </row>
        <row r="597">
          <cell r="B597" t="str">
            <v>Satya-Shiv Tex-Mech Pvt Ltd</v>
          </cell>
          <cell r="D597">
            <v>3385</v>
          </cell>
        </row>
        <row r="598">
          <cell r="B598" t="str">
            <v>R .K. Corporation</v>
          </cell>
          <cell r="D598">
            <v>32189</v>
          </cell>
          <cell r="E598">
            <v>7729.8</v>
          </cell>
        </row>
        <row r="599">
          <cell r="B599" t="str">
            <v>Rachna Corporation</v>
          </cell>
          <cell r="E599">
            <v>10000</v>
          </cell>
        </row>
        <row r="600">
          <cell r="B600" t="str">
            <v>Panchal Brothers Engg.Works</v>
          </cell>
          <cell r="D600">
            <v>4300</v>
          </cell>
          <cell r="E600">
            <v>8299.84</v>
          </cell>
        </row>
        <row r="601">
          <cell r="B601" t="str">
            <v>Shree  Siddivinayak  Engg</v>
          </cell>
          <cell r="D601">
            <v>6650</v>
          </cell>
          <cell r="E601">
            <v>0</v>
          </cell>
        </row>
        <row r="602">
          <cell r="B602" t="str">
            <v>Shri Jalaram Electronics</v>
          </cell>
          <cell r="D602">
            <v>0</v>
          </cell>
          <cell r="E602">
            <v>4724.8</v>
          </cell>
        </row>
        <row r="603">
          <cell r="B603" t="str">
            <v>Maharashtra Transport Corporation</v>
          </cell>
          <cell r="D603">
            <v>5309</v>
          </cell>
          <cell r="E603">
            <v>5309</v>
          </cell>
        </row>
        <row r="604">
          <cell r="B604" t="str">
            <v>Century  Enterprises</v>
          </cell>
          <cell r="D604">
            <v>1985</v>
          </cell>
          <cell r="E604">
            <v>0</v>
          </cell>
        </row>
        <row r="605">
          <cell r="B605" t="str">
            <v>Dhru  Cars Pvt Ltd</v>
          </cell>
          <cell r="E605">
            <v>0</v>
          </cell>
        </row>
        <row r="606">
          <cell r="B606" t="str">
            <v>R.R.Trade  Link</v>
          </cell>
          <cell r="D606">
            <v>5962</v>
          </cell>
          <cell r="E606">
            <v>0</v>
          </cell>
        </row>
        <row r="607">
          <cell r="B607" t="str">
            <v>Raksha  Enterprise</v>
          </cell>
          <cell r="D607">
            <v>3550</v>
          </cell>
          <cell r="E607">
            <v>0</v>
          </cell>
        </row>
        <row r="608">
          <cell r="B608" t="str">
            <v>Nandlal  Vishwakarma</v>
          </cell>
          <cell r="D608">
            <v>3150</v>
          </cell>
          <cell r="E608">
            <v>0</v>
          </cell>
        </row>
        <row r="609">
          <cell r="B609" t="str">
            <v>Sunera  Industies</v>
          </cell>
          <cell r="D609">
            <v>1025</v>
          </cell>
          <cell r="E609">
            <v>0</v>
          </cell>
        </row>
        <row r="610">
          <cell r="B610" t="str">
            <v>Ashok Electric  Works</v>
          </cell>
          <cell r="D610">
            <v>3015</v>
          </cell>
          <cell r="E610">
            <v>0</v>
          </cell>
        </row>
        <row r="611">
          <cell r="B611" t="str">
            <v>Shrinath  Suppliers</v>
          </cell>
          <cell r="D611">
            <v>1800</v>
          </cell>
          <cell r="E611">
            <v>0</v>
          </cell>
        </row>
        <row r="612">
          <cell r="B612" t="str">
            <v>The  Pnuematic  Spares</v>
          </cell>
          <cell r="D612">
            <v>1040</v>
          </cell>
          <cell r="E612">
            <v>0</v>
          </cell>
        </row>
        <row r="613">
          <cell r="B613" t="str">
            <v>Dol  Electric  Company  Pvt  Ltd</v>
          </cell>
          <cell r="D613">
            <v>34895</v>
          </cell>
          <cell r="E613">
            <v>0</v>
          </cell>
        </row>
        <row r="614">
          <cell r="B614" t="str">
            <v>Shri  Chamunda  Engg  Works</v>
          </cell>
          <cell r="D614">
            <v>800</v>
          </cell>
          <cell r="E614">
            <v>0</v>
          </cell>
        </row>
        <row r="615">
          <cell r="B615" t="str">
            <v>Jyoti  Traders</v>
          </cell>
          <cell r="D615">
            <v>1500</v>
          </cell>
          <cell r="E615">
            <v>0</v>
          </cell>
        </row>
        <row r="616">
          <cell r="B616" t="str">
            <v>Gujrat Industrial Products</v>
          </cell>
          <cell r="D616">
            <v>0</v>
          </cell>
          <cell r="E616">
            <v>5447</v>
          </cell>
        </row>
        <row r="617">
          <cell r="B617" t="str">
            <v>Babu   George</v>
          </cell>
          <cell r="D617">
            <v>41000</v>
          </cell>
          <cell r="E617">
            <v>98782</v>
          </cell>
        </row>
        <row r="622">
          <cell r="B622" t="str">
            <v>Ajmera &amp; Associates</v>
          </cell>
          <cell r="E622">
            <v>0</v>
          </cell>
          <cell r="F622">
            <v>2829</v>
          </cell>
        </row>
        <row r="623">
          <cell r="B623" t="str">
            <v>Texmach Marketing</v>
          </cell>
          <cell r="E623">
            <v>0</v>
          </cell>
          <cell r="F623">
            <v>2368</v>
          </cell>
        </row>
        <row r="624">
          <cell r="B624" t="str">
            <v>CRP Control Panels Pvt. Ltd.</v>
          </cell>
          <cell r="D624">
            <v>0</v>
          </cell>
        </row>
        <row r="625">
          <cell r="B625" t="str">
            <v>Panchal Brothers Engineering</v>
          </cell>
          <cell r="D625">
            <v>0</v>
          </cell>
        </row>
        <row r="626">
          <cell r="B626" t="str">
            <v>Ashok Electric works</v>
          </cell>
          <cell r="D626">
            <v>0</v>
          </cell>
        </row>
        <row r="627">
          <cell r="B627" t="str">
            <v>Om Clearing Agency</v>
          </cell>
          <cell r="D627">
            <v>0</v>
          </cell>
        </row>
        <row r="628">
          <cell r="B628" t="str">
            <v>Om Elecfronics</v>
          </cell>
          <cell r="D628">
            <v>0</v>
          </cell>
        </row>
        <row r="629">
          <cell r="B629" t="str">
            <v>Omkar Engineers</v>
          </cell>
          <cell r="D629">
            <v>0</v>
          </cell>
        </row>
        <row r="630">
          <cell r="B630" t="str">
            <v>Century Enterprises</v>
          </cell>
          <cell r="D630">
            <v>0</v>
          </cell>
        </row>
        <row r="631">
          <cell r="B631" t="str">
            <v>Cool Line</v>
          </cell>
          <cell r="D631">
            <v>0</v>
          </cell>
          <cell r="E631">
            <v>0</v>
          </cell>
          <cell r="F631">
            <v>9000</v>
          </cell>
        </row>
        <row r="632">
          <cell r="B632" t="str">
            <v>Omkar Industries</v>
          </cell>
          <cell r="D632">
            <v>0</v>
          </cell>
        </row>
        <row r="633">
          <cell r="B633" t="str">
            <v>Satya Shiv Tex Mach  Pvt ltd</v>
          </cell>
          <cell r="D633">
            <v>0</v>
          </cell>
          <cell r="E633">
            <v>0</v>
          </cell>
          <cell r="F633">
            <v>2130</v>
          </cell>
        </row>
        <row r="634">
          <cell r="B634" t="str">
            <v>Dhru Car Pvt. Ltd,</v>
          </cell>
          <cell r="D634">
            <v>0</v>
          </cell>
        </row>
        <row r="635">
          <cell r="B635" t="str">
            <v>R.R. Trade Link</v>
          </cell>
          <cell r="D635">
            <v>0</v>
          </cell>
        </row>
        <row r="636">
          <cell r="B636" t="str">
            <v>Jayantilal Bhaganji Khaliya</v>
          </cell>
          <cell r="D636">
            <v>0</v>
          </cell>
        </row>
        <row r="637">
          <cell r="B637" t="str">
            <v>Rasksha Enterprises</v>
          </cell>
          <cell r="D637">
            <v>0</v>
          </cell>
        </row>
        <row r="638">
          <cell r="B638" t="str">
            <v>Nandlal Vishwakarma</v>
          </cell>
          <cell r="D638">
            <v>0</v>
          </cell>
        </row>
        <row r="639">
          <cell r="B639" t="str">
            <v>Utility Services</v>
          </cell>
          <cell r="D639">
            <v>0</v>
          </cell>
        </row>
        <row r="640">
          <cell r="B640" t="str">
            <v>Siddhi Engineers</v>
          </cell>
          <cell r="D640">
            <v>0</v>
          </cell>
        </row>
        <row r="641">
          <cell r="B641" t="str">
            <v>Sunera  Industries</v>
          </cell>
          <cell r="D641">
            <v>0</v>
          </cell>
        </row>
        <row r="642">
          <cell r="B642" t="str">
            <v>Shree Suppliers</v>
          </cell>
          <cell r="D642">
            <v>0</v>
          </cell>
        </row>
        <row r="643">
          <cell r="B643" t="str">
            <v>Aafloat Textiles (India) Pvt. Ltd.</v>
          </cell>
          <cell r="D643">
            <v>0</v>
          </cell>
        </row>
        <row r="644">
          <cell r="B644" t="str">
            <v>Ahmed Raza Traders</v>
          </cell>
          <cell r="D644">
            <v>0</v>
          </cell>
        </row>
        <row r="645">
          <cell r="B645" t="str">
            <v>Kinal Tex</v>
          </cell>
          <cell r="D645">
            <v>0</v>
          </cell>
        </row>
        <row r="646">
          <cell r="B646" t="str">
            <v>Modern Petrofiles</v>
          </cell>
          <cell r="D646">
            <v>0</v>
          </cell>
        </row>
        <row r="647">
          <cell r="B647" t="str">
            <v>Shree Shyam Impex</v>
          </cell>
          <cell r="D647">
            <v>0</v>
          </cell>
        </row>
        <row r="648">
          <cell r="B648" t="str">
            <v>Babbu Packageing Enterprises</v>
          </cell>
          <cell r="D648">
            <v>0</v>
          </cell>
        </row>
        <row r="649">
          <cell r="B649" t="str">
            <v>The Pnuematic Spares</v>
          </cell>
          <cell r="D649">
            <v>0</v>
          </cell>
        </row>
        <row r="650">
          <cell r="B650" t="str">
            <v>Without Name</v>
          </cell>
          <cell r="D650">
            <v>0</v>
          </cell>
        </row>
        <row r="651">
          <cell r="B651" t="str">
            <v>Dol Electronic CO.</v>
          </cell>
          <cell r="D651">
            <v>0</v>
          </cell>
        </row>
        <row r="652">
          <cell r="B652" t="str">
            <v>Walter &amp; Associates</v>
          </cell>
        </row>
        <row r="653">
          <cell r="B653" t="str">
            <v>S.V. Enterprises</v>
          </cell>
          <cell r="D653">
            <v>0</v>
          </cell>
        </row>
        <row r="654">
          <cell r="B654" t="str">
            <v>HM Infotech Pvt Ltd</v>
          </cell>
          <cell r="E654">
            <v>0</v>
          </cell>
          <cell r="F654">
            <v>35000</v>
          </cell>
        </row>
        <row r="655">
          <cell r="B655" t="str">
            <v>J. D. Lubricants Pvt Ltd.</v>
          </cell>
          <cell r="E655">
            <v>0</v>
          </cell>
          <cell r="F655">
            <v>24975</v>
          </cell>
        </row>
        <row r="656">
          <cell r="B656" t="str">
            <v>Polycell Corporation</v>
          </cell>
          <cell r="E656">
            <v>0</v>
          </cell>
          <cell r="F656">
            <v>3148</v>
          </cell>
        </row>
        <row r="657">
          <cell r="B657" t="str">
            <v>Star Electric Works</v>
          </cell>
          <cell r="D657">
            <v>0</v>
          </cell>
          <cell r="E657">
            <v>0</v>
          </cell>
          <cell r="F657">
            <v>3070</v>
          </cell>
        </row>
        <row r="658">
          <cell r="B658" t="str">
            <v xml:space="preserve">Shree Sidhvinayak </v>
          </cell>
          <cell r="D658">
            <v>0</v>
          </cell>
        </row>
        <row r="659">
          <cell r="B659" t="str">
            <v>Walter &amp; Associates</v>
          </cell>
          <cell r="D659">
            <v>0</v>
          </cell>
        </row>
        <row r="660">
          <cell r="B660" t="str">
            <v>S.S Electricals</v>
          </cell>
          <cell r="E660">
            <v>0</v>
          </cell>
          <cell r="F660">
            <v>1100</v>
          </cell>
        </row>
        <row r="661">
          <cell r="B661" t="str">
            <v>Walter &amp; Associates</v>
          </cell>
          <cell r="D661">
            <v>3742</v>
          </cell>
          <cell r="E661">
            <v>2847</v>
          </cell>
        </row>
        <row r="662">
          <cell r="B662" t="str">
            <v>Outstanding Expenses</v>
          </cell>
          <cell r="D662">
            <v>246007</v>
          </cell>
          <cell r="E662">
            <v>1619707</v>
          </cell>
        </row>
        <row r="664">
          <cell r="B664" t="str">
            <v>TOTAL</v>
          </cell>
          <cell r="D664">
            <v>542268</v>
          </cell>
          <cell r="E664">
            <v>1982387.44</v>
          </cell>
          <cell r="F664">
            <v>83620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sheetName val="sch 5"/>
      <sheetName val=" BS-sch 1-4"/>
      <sheetName val="BS-sch 6 &amp; 7"/>
      <sheetName val="BS-sch 8 &amp; 9"/>
      <sheetName val="PL-sch 10, 11 &amp; 12"/>
      <sheetName val="PL-sch 13, 14 &amp; 15"/>
      <sheetName val="GP Margin"/>
      <sheetName val="TRIAL BALANCE"/>
      <sheetName val="Clause 12 (b)"/>
      <sheetName val="pl-excl"/>
      <sheetName val="pl-incl"/>
      <sheetName val="download"/>
      <sheetName val="sch_51"/>
      <sheetName val="_BS-sch_1-41"/>
      <sheetName val="BS-sch_6_&amp;_71"/>
      <sheetName val="BS-sch_8_&amp;_91"/>
      <sheetName val="PL-sch_10,_11_&amp;_121"/>
      <sheetName val="PL-sch_13,_14_&amp;_151"/>
      <sheetName val="GP_Margin1"/>
      <sheetName val="TRIAL_BALANCE1"/>
      <sheetName val="Clause_12_(b)1"/>
      <sheetName val="sch_5"/>
      <sheetName val="_BS-sch_1-4"/>
      <sheetName val="BS-sch_6_&amp;_7"/>
      <sheetName val="BS-sch_8_&amp;_9"/>
      <sheetName val="PL-sch_10,_11_&amp;_12"/>
      <sheetName val="PL-sch_13,_14_&amp;_15"/>
      <sheetName val="GP_Margin"/>
      <sheetName val="TRIAL_BALANCE"/>
      <sheetName val="Clause_12_(b)"/>
      <sheetName val="sch_52"/>
      <sheetName val="_BS-sch_1-42"/>
      <sheetName val="BS-sch_6_&amp;_72"/>
      <sheetName val="BS-sch_8_&amp;_92"/>
      <sheetName val="PL-sch_10,_11_&amp;_122"/>
      <sheetName val="PL-sch_13,_14_&amp;_152"/>
      <sheetName val="GP_Margin2"/>
      <sheetName val="TRIAL_BALANCE2"/>
      <sheetName val="Clause_12_(b)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sheetName val="Directors Remuneration"/>
      <sheetName val="DT"/>
      <sheetName val="Final TB"/>
      <sheetName val="Br TB (2)"/>
      <sheetName val="COI"/>
      <sheetName val="Projected TB"/>
      <sheetName val="Branch TB"/>
      <sheetName val="Branch"/>
      <sheetName val="DR"/>
      <sheetName val="Ann A"/>
      <sheetName val="Ann.-B&amp;E"/>
      <sheetName val="Ann.-C"/>
      <sheetName val="Ann.-D"/>
      <sheetName val="Ann-F"/>
      <sheetName val="Ann.-G"/>
      <sheetName val="Ann.-H"/>
      <sheetName val="Ann.-I"/>
      <sheetName val="Statement"/>
      <sheetName val="Interest Accrued"/>
      <sheetName val="Sheet1"/>
      <sheetName val="Unsecured Loan"/>
      <sheetName val="TDS"/>
      <sheetName val="Dr Age"/>
      <sheetName val="Ann.-J"/>
      <sheetName val="Value"/>
      <sheetName val="Analysis"/>
      <sheetName val="3CD "/>
      <sheetName val="Pending m12"/>
      <sheetName val="Deposit &amp; exp electricity"/>
      <sheetName val="BS"/>
      <sheetName val="BS REV SHD"/>
      <sheetName val="Sheet2"/>
      <sheetName val="Dep"/>
    </sheetNames>
    <sheetDataSet>
      <sheetData sheetId="0"/>
      <sheetData sheetId="1"/>
      <sheetData sheetId="2"/>
      <sheetData sheetId="3"/>
      <sheetData sheetId="4"/>
      <sheetData sheetId="5">
        <row r="76">
          <cell r="C76" t="str">
            <v>Interest  u/s 234A, 234B  &amp;  234C</v>
          </cell>
        </row>
        <row r="77">
          <cell r="C77" t="str">
            <v>u/s  234 B</v>
          </cell>
          <cell r="J77">
            <v>41406.734427162191</v>
          </cell>
        </row>
        <row r="78">
          <cell r="C78" t="str">
            <v>April to Sept.</v>
          </cell>
          <cell r="F78" t="str">
            <v>months</v>
          </cell>
          <cell r="H78">
            <v>0</v>
          </cell>
        </row>
        <row r="80">
          <cell r="C80" t="str">
            <v>u/s  234 C</v>
          </cell>
          <cell r="I80" t="str">
            <v>Shortfall</v>
          </cell>
          <cell r="J80" t="str">
            <v>Interest</v>
          </cell>
        </row>
        <row r="81">
          <cell r="C81" t="str">
            <v>Due Date</v>
          </cell>
          <cell r="D81" t="str">
            <v>Installment  Payable</v>
          </cell>
          <cell r="F81" t="str">
            <v>Paid</v>
          </cell>
          <cell r="G81" t="str">
            <v>Shortfall</v>
          </cell>
          <cell r="H81" t="str">
            <v>Interest</v>
          </cell>
        </row>
        <row r="82">
          <cell r="I82">
            <v>0</v>
          </cell>
          <cell r="J82">
            <v>0</v>
          </cell>
        </row>
        <row r="83">
          <cell r="C83" t="str">
            <v>15th  June</v>
          </cell>
          <cell r="D83">
            <v>549490.04999999993</v>
          </cell>
          <cell r="F83">
            <v>500000</v>
          </cell>
          <cell r="G83">
            <v>0</v>
          </cell>
          <cell r="H83">
            <v>0</v>
          </cell>
          <cell r="I83">
            <v>0</v>
          </cell>
          <cell r="J83">
            <v>0</v>
          </cell>
        </row>
        <row r="84">
          <cell r="C84" t="str">
            <v>15th  September</v>
          </cell>
          <cell r="D84">
            <v>1648470.1500000001</v>
          </cell>
          <cell r="F84">
            <v>1500000</v>
          </cell>
          <cell r="G84">
            <v>0</v>
          </cell>
          <cell r="H84">
            <v>0</v>
          </cell>
          <cell r="I84">
            <v>221101.01640743297</v>
          </cell>
          <cell r="J84">
            <v>6633.0304922229889</v>
          </cell>
        </row>
        <row r="85">
          <cell r="C85" t="str">
            <v>15th  December</v>
          </cell>
          <cell r="D85">
            <v>2747450.25</v>
          </cell>
          <cell r="F85">
            <v>2500000</v>
          </cell>
          <cell r="G85">
            <v>247450.25</v>
          </cell>
          <cell r="H85">
            <v>7423.5074999999997</v>
          </cell>
          <cell r="I85">
            <v>828134.6885432438</v>
          </cell>
          <cell r="J85">
            <v>8281.3468854324383</v>
          </cell>
        </row>
        <row r="86">
          <cell r="C86" t="str">
            <v>15th March</v>
          </cell>
          <cell r="D86">
            <v>3663267</v>
          </cell>
          <cell r="F86">
            <v>3500000</v>
          </cell>
          <cell r="G86">
            <v>163267</v>
          </cell>
          <cell r="H86">
            <v>1632.67</v>
          </cell>
          <cell r="J86">
            <v>14914.377377655426</v>
          </cell>
        </row>
        <row r="87">
          <cell r="D87" t="str">
            <v xml:space="preserve">Total  </v>
          </cell>
          <cell r="H87">
            <v>9056.1774999999998</v>
          </cell>
          <cell r="J87">
            <v>56321.111804817614</v>
          </cell>
        </row>
        <row r="88">
          <cell r="H88">
            <v>9056.1774999999998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66">
          <cell r="G266">
            <v>3612000</v>
          </cell>
        </row>
      </sheetData>
      <sheetData sheetId="32"/>
      <sheetData sheetId="33">
        <row r="9">
          <cell r="F9" t="str">
            <v>GROSS BLOCK</v>
          </cell>
          <cell r="J9" t="str">
            <v>DEPRECIATION</v>
          </cell>
        </row>
        <row r="10">
          <cell r="F10" t="str">
            <v>As On</v>
          </cell>
          <cell r="J10" t="str">
            <v>As On</v>
          </cell>
          <cell r="K10" t="str">
            <v xml:space="preserve">For the </v>
          </cell>
        </row>
        <row r="11">
          <cell r="F11" t="str">
            <v>1.4.2011</v>
          </cell>
          <cell r="J11" t="str">
            <v>1.4.2011</v>
          </cell>
          <cell r="K11" t="str">
            <v>period</v>
          </cell>
        </row>
        <row r="13">
          <cell r="F13">
            <v>0</v>
          </cell>
          <cell r="J13">
            <v>0</v>
          </cell>
          <cell r="K13">
            <v>24766.219999999998</v>
          </cell>
        </row>
        <row r="14">
          <cell r="F14">
            <v>35441727</v>
          </cell>
          <cell r="J14">
            <v>1352425</v>
          </cell>
          <cell r="K14">
            <v>711205</v>
          </cell>
        </row>
        <row r="15">
          <cell r="F15">
            <v>8797838</v>
          </cell>
          <cell r="J15">
            <v>4761027</v>
          </cell>
          <cell r="K15">
            <v>464526</v>
          </cell>
        </row>
        <row r="16">
          <cell r="F16">
            <v>3271975</v>
          </cell>
          <cell r="J16">
            <v>828792</v>
          </cell>
          <cell r="K16">
            <v>211158</v>
          </cell>
        </row>
        <row r="17">
          <cell r="F17">
            <v>1649200</v>
          </cell>
          <cell r="J17">
            <v>1317296</v>
          </cell>
          <cell r="K17">
            <v>267335</v>
          </cell>
        </row>
        <row r="18">
          <cell r="F18">
            <v>4987955</v>
          </cell>
          <cell r="J18">
            <v>1653085</v>
          </cell>
          <cell r="K18">
            <v>315738</v>
          </cell>
        </row>
        <row r="19">
          <cell r="F19">
            <v>1865846</v>
          </cell>
          <cell r="J19">
            <v>366252</v>
          </cell>
          <cell r="K19">
            <v>177255</v>
          </cell>
        </row>
        <row r="20">
          <cell r="F20">
            <v>5901074</v>
          </cell>
          <cell r="J20">
            <v>2751857</v>
          </cell>
          <cell r="K20">
            <v>560602.03</v>
          </cell>
        </row>
        <row r="21">
          <cell r="F21">
            <v>61915615</v>
          </cell>
          <cell r="J21">
            <v>13030734</v>
          </cell>
          <cell r="K21">
            <v>2732585.25</v>
          </cell>
        </row>
        <row r="22">
          <cell r="F22">
            <v>61488017.761250027</v>
          </cell>
          <cell r="J22">
            <v>10663387.5</v>
          </cell>
          <cell r="K22">
            <v>2367346</v>
          </cell>
        </row>
        <row r="23">
          <cell r="K23">
            <v>2559266</v>
          </cell>
        </row>
        <row r="24">
          <cell r="J24">
            <v>366</v>
          </cell>
          <cell r="K24">
            <v>-173319.25</v>
          </cell>
        </row>
        <row r="26">
          <cell r="F26" t="str">
            <v>Amount</v>
          </cell>
        </row>
        <row r="28">
          <cell r="F28">
            <v>0</v>
          </cell>
        </row>
        <row r="29">
          <cell r="F29">
            <v>0</v>
          </cell>
        </row>
        <row r="34">
          <cell r="F34" t="str">
            <v>Amount</v>
          </cell>
        </row>
        <row r="36">
          <cell r="F36">
            <v>72827.75</v>
          </cell>
        </row>
        <row r="37">
          <cell r="F37">
            <v>0</v>
          </cell>
        </row>
        <row r="38">
          <cell r="F38">
            <v>0</v>
          </cell>
        </row>
        <row r="39">
          <cell r="F39">
            <v>72827.75</v>
          </cell>
        </row>
        <row r="43">
          <cell r="F43" t="str">
            <v>Amount</v>
          </cell>
        </row>
        <row r="44">
          <cell r="F44">
            <v>1000000</v>
          </cell>
        </row>
        <row r="45">
          <cell r="F45">
            <v>5000000</v>
          </cell>
        </row>
        <row r="46">
          <cell r="F46">
            <v>619200</v>
          </cell>
        </row>
        <row r="47">
          <cell r="F47">
            <v>200000</v>
          </cell>
        </row>
        <row r="48">
          <cell r="F48">
            <v>10521000</v>
          </cell>
        </row>
        <row r="49">
          <cell r="F49">
            <v>1000500</v>
          </cell>
        </row>
        <row r="50">
          <cell r="F50">
            <v>18340700</v>
          </cell>
        </row>
        <row r="51">
          <cell r="F51">
            <v>16521000</v>
          </cell>
        </row>
        <row r="54">
          <cell r="F54" t="str">
            <v>Amount</v>
          </cell>
        </row>
        <row r="55">
          <cell r="F55">
            <v>5183000</v>
          </cell>
        </row>
        <row r="56">
          <cell r="F56">
            <v>5183000</v>
          </cell>
        </row>
        <row r="62">
          <cell r="F62" t="str">
            <v>WDV</v>
          </cell>
        </row>
        <row r="63">
          <cell r="F63">
            <v>527512.68041095894</v>
          </cell>
        </row>
        <row r="64">
          <cell r="F64">
            <v>475990.95041095896</v>
          </cell>
        </row>
        <row r="65">
          <cell r="F65">
            <v>424469.22041095898</v>
          </cell>
        </row>
        <row r="66">
          <cell r="F66">
            <v>372947.490410959</v>
          </cell>
        </row>
        <row r="67">
          <cell r="F67">
            <v>321425.76041095902</v>
          </cell>
        </row>
        <row r="68">
          <cell r="F68">
            <v>269904.03041095904</v>
          </cell>
        </row>
        <row r="69">
          <cell r="F69">
            <v>218382.30041095903</v>
          </cell>
        </row>
        <row r="70">
          <cell r="F70">
            <v>166860.57041095902</v>
          </cell>
        </row>
        <row r="71">
          <cell r="F71">
            <v>142225.86344374591</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I e-filing"/>
      <sheetName val="COI"/>
      <sheetName val="3CD "/>
      <sheetName val="DR"/>
      <sheetName val="Ann A"/>
      <sheetName val="Ann.-B&amp;E"/>
      <sheetName val="Ann.-C"/>
      <sheetName val="Ann.-D"/>
      <sheetName val="Pivot Table HO"/>
      <sheetName val="Ann-E"/>
      <sheetName val="Ann.-F"/>
      <sheetName val="Unsecured Loan"/>
      <sheetName val="Ann.-G"/>
      <sheetName val="Ann.-"/>
      <sheetName val="TDS"/>
      <sheetName val="Ann.-H"/>
      <sheetName val="Value"/>
      <sheetName val="Analysis"/>
      <sheetName val="DT"/>
      <sheetName val="Dr Age"/>
      <sheetName val="Trial Bal New HO"/>
      <sheetName val="BS REV SHD"/>
      <sheetName val="Pivot Table Branch"/>
      <sheetName val="Trial Bal Branch"/>
      <sheetName val="Dep"/>
      <sheetName val="Sheet2"/>
      <sheetName val="TB FINAL"/>
      <sheetName val="Statement"/>
      <sheetName val="Br TB (2)"/>
      <sheetName val="Final TB"/>
      <sheetName val="fabric details "/>
    </sheetNames>
    <sheetDataSet>
      <sheetData sheetId="0"/>
      <sheetData sheetId="1">
        <row r="78">
          <cell r="C78" t="str">
            <v>Interest  u/s 234A, 234B  &amp;  234C</v>
          </cell>
        </row>
        <row r="79">
          <cell r="C79" t="str">
            <v>u/s  234 B</v>
          </cell>
          <cell r="J79">
            <v>41406.734427162191</v>
          </cell>
        </row>
        <row r="80">
          <cell r="C80" t="str">
            <v>April to Sept.</v>
          </cell>
          <cell r="F80" t="str">
            <v>months</v>
          </cell>
          <cell r="H80" t="e">
            <v>#REF!</v>
          </cell>
        </row>
        <row r="82">
          <cell r="C82" t="str">
            <v>u/s  234 C</v>
          </cell>
          <cell r="I82" t="str">
            <v>Shortfall</v>
          </cell>
          <cell r="J82" t="str">
            <v>Interest</v>
          </cell>
        </row>
        <row r="83">
          <cell r="C83" t="str">
            <v>Due Date</v>
          </cell>
          <cell r="D83" t="str">
            <v>Installment  Payable</v>
          </cell>
          <cell r="F83" t="str">
            <v>Paid</v>
          </cell>
          <cell r="G83" t="str">
            <v>Shortfall</v>
          </cell>
          <cell r="H83" t="str">
            <v>Interest</v>
          </cell>
        </row>
        <row r="84">
          <cell r="I84">
            <v>0</v>
          </cell>
          <cell r="J84">
            <v>0</v>
          </cell>
        </row>
        <row r="85">
          <cell r="C85" t="str">
            <v>15th  June</v>
          </cell>
          <cell r="D85">
            <v>598294.79999999993</v>
          </cell>
          <cell r="F85">
            <v>500000</v>
          </cell>
          <cell r="G85">
            <v>0</v>
          </cell>
          <cell r="H85">
            <v>0</v>
          </cell>
          <cell r="I85">
            <v>0</v>
          </cell>
          <cell r="J85">
            <v>0</v>
          </cell>
        </row>
        <row r="86">
          <cell r="C86" t="str">
            <v>15th  September</v>
          </cell>
          <cell r="D86">
            <v>1794884.4000000001</v>
          </cell>
          <cell r="F86">
            <v>1500000</v>
          </cell>
          <cell r="G86">
            <v>0</v>
          </cell>
          <cell r="H86">
            <v>0</v>
          </cell>
          <cell r="I86">
            <v>221101.01640743297</v>
          </cell>
          <cell r="J86">
            <v>6633.0304922229889</v>
          </cell>
        </row>
        <row r="87">
          <cell r="C87" t="str">
            <v>15th  December</v>
          </cell>
          <cell r="D87">
            <v>2991474</v>
          </cell>
          <cell r="F87">
            <v>2500000</v>
          </cell>
          <cell r="G87">
            <v>491474</v>
          </cell>
          <cell r="H87">
            <v>14744.22</v>
          </cell>
          <cell r="I87">
            <v>828134.6885432438</v>
          </cell>
          <cell r="J87">
            <v>8281.3468854324383</v>
          </cell>
        </row>
        <row r="88">
          <cell r="C88" t="str">
            <v>15th March</v>
          </cell>
          <cell r="D88">
            <v>3988632</v>
          </cell>
          <cell r="F88" t="e">
            <v>#REF!</v>
          </cell>
          <cell r="G88" t="e">
            <v>#REF!</v>
          </cell>
          <cell r="H88" t="e">
            <v>#REF!</v>
          </cell>
          <cell r="J88">
            <v>14914.377377655426</v>
          </cell>
        </row>
        <row r="89">
          <cell r="D89" t="str">
            <v xml:space="preserve">Total  </v>
          </cell>
          <cell r="H89" t="e">
            <v>#REF!</v>
          </cell>
          <cell r="J89">
            <v>56321.111804817614</v>
          </cell>
        </row>
        <row r="90">
          <cell r="H90" t="e">
            <v>#REF!</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9">
          <cell r="F9" t="str">
            <v>GROSS BLOCK</v>
          </cell>
          <cell r="J9" t="str">
            <v>DEPRECIATION</v>
          </cell>
        </row>
        <row r="10">
          <cell r="F10" t="str">
            <v>As On</v>
          </cell>
          <cell r="J10" t="str">
            <v>As On</v>
          </cell>
          <cell r="K10" t="str">
            <v xml:space="preserve">For the </v>
          </cell>
        </row>
        <row r="11">
          <cell r="F11" t="str">
            <v>1.4.2012</v>
          </cell>
          <cell r="J11" t="str">
            <v>1.4.2012</v>
          </cell>
          <cell r="K11" t="str">
            <v>period</v>
          </cell>
        </row>
        <row r="13">
          <cell r="F13">
            <v>5183000</v>
          </cell>
          <cell r="J13">
            <v>24766</v>
          </cell>
          <cell r="K13">
            <v>84482.9</v>
          </cell>
        </row>
        <row r="14">
          <cell r="F14">
            <v>53782427</v>
          </cell>
          <cell r="J14">
            <v>2063630</v>
          </cell>
          <cell r="K14">
            <v>876653.56009999989</v>
          </cell>
        </row>
        <row r="15">
          <cell r="F15">
            <v>8797838</v>
          </cell>
          <cell r="J15">
            <v>5225553</v>
          </cell>
          <cell r="K15">
            <v>467691.84639999998</v>
          </cell>
        </row>
        <row r="16">
          <cell r="F16">
            <v>3344803</v>
          </cell>
          <cell r="J16">
            <v>1039950</v>
          </cell>
          <cell r="K16">
            <v>211726.02989999999</v>
          </cell>
        </row>
        <row r="17">
          <cell r="F17">
            <v>1649200</v>
          </cell>
          <cell r="J17">
            <v>1584631</v>
          </cell>
          <cell r="K17">
            <v>64569</v>
          </cell>
        </row>
        <row r="18">
          <cell r="F18">
            <v>4987955</v>
          </cell>
          <cell r="J18">
            <v>1968823</v>
          </cell>
          <cell r="K18">
            <v>315737.5515</v>
          </cell>
        </row>
        <row r="19">
          <cell r="F19">
            <v>1865846</v>
          </cell>
          <cell r="J19">
            <v>543507</v>
          </cell>
          <cell r="K19">
            <v>177255.37</v>
          </cell>
        </row>
        <row r="20">
          <cell r="F20">
            <v>5358740</v>
          </cell>
          <cell r="J20">
            <v>2912351</v>
          </cell>
          <cell r="K20">
            <v>527417.79485616437</v>
          </cell>
        </row>
        <row r="21">
          <cell r="F21">
            <v>84969809</v>
          </cell>
          <cell r="J21">
            <v>15363211</v>
          </cell>
          <cell r="K21">
            <v>2725534.0527561642</v>
          </cell>
        </row>
        <row r="22">
          <cell r="F22">
            <v>61915615</v>
          </cell>
          <cell r="J22">
            <v>13030734</v>
          </cell>
          <cell r="K22">
            <v>2732585</v>
          </cell>
        </row>
        <row r="23">
          <cell r="K23">
            <v>2559266</v>
          </cell>
        </row>
        <row r="24">
          <cell r="J24">
            <v>365</v>
          </cell>
          <cell r="K24">
            <v>-166268.05275616422</v>
          </cell>
        </row>
        <row r="26">
          <cell r="F26" t="str">
            <v>Amount</v>
          </cell>
        </row>
        <row r="28">
          <cell r="F28">
            <v>0</v>
          </cell>
        </row>
        <row r="29">
          <cell r="F29">
            <v>0</v>
          </cell>
        </row>
        <row r="31">
          <cell r="J31">
            <v>18063211</v>
          </cell>
        </row>
        <row r="33">
          <cell r="J33">
            <v>91295</v>
          </cell>
        </row>
        <row r="34">
          <cell r="F34" t="str">
            <v>Amount</v>
          </cell>
        </row>
        <row r="36">
          <cell r="F36">
            <v>79000</v>
          </cell>
          <cell r="J36">
            <v>6397.9799999999796</v>
          </cell>
        </row>
        <row r="37">
          <cell r="F37">
            <v>0</v>
          </cell>
        </row>
        <row r="38">
          <cell r="F38">
            <v>0</v>
          </cell>
        </row>
        <row r="39">
          <cell r="F39">
            <v>79000</v>
          </cell>
          <cell r="J39">
            <v>-16933</v>
          </cell>
        </row>
        <row r="43">
          <cell r="F43" t="str">
            <v>Amount</v>
          </cell>
        </row>
        <row r="46">
          <cell r="F46">
            <v>0</v>
          </cell>
        </row>
        <row r="49">
          <cell r="F49" t="str">
            <v>Amount</v>
          </cell>
        </row>
        <row r="50">
          <cell r="F50">
            <v>252518</v>
          </cell>
        </row>
        <row r="51">
          <cell r="F51">
            <v>596206.25</v>
          </cell>
        </row>
        <row r="52">
          <cell r="F52">
            <v>26212</v>
          </cell>
        </row>
        <row r="53">
          <cell r="F53">
            <v>67966</v>
          </cell>
        </row>
        <row r="54">
          <cell r="F54">
            <v>942902.25</v>
          </cell>
        </row>
        <row r="55">
          <cell r="F55">
            <v>40268</v>
          </cell>
          <cell r="J55">
            <v>348</v>
          </cell>
          <cell r="K55">
            <v>41000</v>
          </cell>
        </row>
        <row r="57">
          <cell r="F57" t="str">
            <v>Days</v>
          </cell>
          <cell r="K57" t="str">
            <v>total Dep</v>
          </cell>
        </row>
        <row r="58">
          <cell r="J58" t="str">
            <v>2012-13</v>
          </cell>
        </row>
        <row r="59">
          <cell r="F59">
            <v>276</v>
          </cell>
          <cell r="J59">
            <v>54262.691342465754</v>
          </cell>
          <cell r="K59">
            <v>211125.52895890409</v>
          </cell>
        </row>
      </sheetData>
      <sheetData sheetId="25"/>
      <sheetData sheetId="26"/>
      <sheetData sheetId="27"/>
      <sheetData sheetId="28"/>
      <sheetData sheetId="29"/>
      <sheetData sheetId="3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1"/>
      <sheetName val="Result 1 P&amp;L"/>
      <sheetName val="Result 2 B&amp;S"/>
      <sheetName val="Result 3 CF"/>
      <sheetName val="Cash Flow Statement"/>
      <sheetName val="Term Loan"/>
      <sheetName val="PPE FY 2019-20"/>
      <sheetName val="Pivot22.7.21"/>
      <sheetName val="BSPL"/>
      <sheetName val="Pivot13.10.21"/>
      <sheetName val="FG Valuation"/>
      <sheetName val="Term Loan Bifurcation"/>
      <sheetName val="Results Q1"/>
      <sheetName val="CLOSING STOCK AS ON 30.09.21"/>
      <sheetName val="TB New"/>
      <sheetName val="TB MAIN"/>
      <sheetName val="Trial Balance"/>
      <sheetName val="TB 27.10.21"/>
      <sheetName val="TB2020-21"/>
      <sheetName val="TB11.08.21"/>
      <sheetName val="trial balance2021-22"/>
      <sheetName val="Pivot"/>
      <sheetName val="Depreciation Co. Act"/>
      <sheetName val="Closing Stock Valuation"/>
      <sheetName val="CLOSING STOCK 31-03-20"/>
      <sheetName val="Deffered Tax"/>
      <sheetName val="Depreciation as per Income Tax"/>
      <sheetName val="Term Loan111"/>
      <sheetName val="TB31032020"/>
    </sheetNames>
    <sheetDataSet>
      <sheetData sheetId="0"/>
      <sheetData sheetId="1"/>
      <sheetData sheetId="2"/>
      <sheetData sheetId="3"/>
      <sheetData sheetId="4">
        <row r="33">
          <cell r="C33">
            <v>-13061145.2400002</v>
          </cell>
        </row>
        <row r="38">
          <cell r="B38">
            <v>0</v>
          </cell>
          <cell r="C38">
            <v>80000.495776951313</v>
          </cell>
        </row>
        <row r="56">
          <cell r="B56">
            <v>333868.35488614067</v>
          </cell>
          <cell r="C56">
            <v>283263.04910953343</v>
          </cell>
        </row>
      </sheetData>
      <sheetData sheetId="5"/>
      <sheetData sheetId="6"/>
      <sheetData sheetId="7"/>
      <sheetData sheetId="8">
        <row r="97">
          <cell r="F97">
            <v>0</v>
          </cell>
        </row>
        <row r="102">
          <cell r="G102">
            <v>0</v>
          </cell>
        </row>
        <row r="103">
          <cell r="G103">
            <v>0</v>
          </cell>
          <cell r="H103">
            <v>0</v>
          </cell>
        </row>
        <row r="104">
          <cell r="G104">
            <v>0</v>
          </cell>
        </row>
        <row r="110">
          <cell r="F110">
            <v>0</v>
          </cell>
          <cell r="G110">
            <v>0</v>
          </cell>
        </row>
        <row r="111">
          <cell r="F111">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1"/>
      <sheetName val="Result 1 P&amp;L"/>
      <sheetName val="BSPL"/>
      <sheetName val="Result 3 CF"/>
      <sheetName val="Cash Flow Statement"/>
      <sheetName val="PPE FY 2019-20"/>
      <sheetName val="Pivot22.7.21"/>
      <sheetName val="Result 2 B&amp;S"/>
      <sheetName val="Term Loan"/>
      <sheetName val="Pivot 19.01.22"/>
      <sheetName val="Pivot13.10.21"/>
      <sheetName val="FG Valuation"/>
      <sheetName val="Term Loan Bifurcation"/>
      <sheetName val="Results Q1"/>
      <sheetName val="CLOSING STOCK AS ON 30.09.21"/>
      <sheetName val="TB New"/>
      <sheetName val="TB MAIN"/>
      <sheetName val="TB Q3"/>
      <sheetName val="CLOSING STOCK AS ON 31.12.2021"/>
      <sheetName val="Trial Balance"/>
      <sheetName val="TB 27.10.21"/>
      <sheetName val="TB2020-21"/>
      <sheetName val="TB11.08.21"/>
      <sheetName val="trial balance2021-22"/>
      <sheetName val="Pivot"/>
      <sheetName val="Depreciation Co. Act"/>
      <sheetName val="Closing Stock Valuation"/>
      <sheetName val="CLOSING STOCK 31-03-20"/>
      <sheetName val="Deffered Tax"/>
      <sheetName val="Depreciation as per Income Tax"/>
      <sheetName val="Term Loan111"/>
      <sheetName val="TB31032020"/>
    </sheetNames>
    <sheetDataSet>
      <sheetData sheetId="0" refreshError="1"/>
      <sheetData sheetId="1">
        <row r="38">
          <cell r="E38">
            <v>85.414609221105167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1"/>
      <sheetName val="Result 2"/>
      <sheetName val="Result 3"/>
      <sheetName val="Cash Flow Statement"/>
      <sheetName val="BSPL"/>
      <sheetName val="Depreciation Co. Act"/>
      <sheetName val="Pivot"/>
      <sheetName val="Sheet2"/>
      <sheetName val="Closing Stock Valuation"/>
      <sheetName val="CLOSING STOCK 31-03-20"/>
      <sheetName val="Computation"/>
      <sheetName val="Deffered Tax"/>
      <sheetName val="Depreciation as per Income Tax"/>
      <sheetName val="Term Loan"/>
      <sheetName val="TB MAIN"/>
      <sheetName val="TB31032020"/>
      <sheetName val="TB310320119"/>
      <sheetName val="Sheet1"/>
    </sheetNames>
    <sheetDataSet>
      <sheetData sheetId="0" refreshError="1"/>
      <sheetData sheetId="1" refreshError="1"/>
      <sheetData sheetId="2" refreshError="1"/>
      <sheetData sheetId="3" refreshError="1"/>
      <sheetData sheetId="4" refreshError="1">
        <row r="9">
          <cell r="F9">
            <v>402479.2</v>
          </cell>
          <cell r="G9">
            <v>484789</v>
          </cell>
        </row>
        <row r="11">
          <cell r="G11">
            <v>2870555</v>
          </cell>
        </row>
        <row r="15">
          <cell r="G15">
            <v>51184927.105289809</v>
          </cell>
        </row>
        <row r="17">
          <cell r="G17">
            <v>89957465.5</v>
          </cell>
        </row>
        <row r="19">
          <cell r="G19">
            <v>192300</v>
          </cell>
        </row>
        <row r="20">
          <cell r="G20">
            <v>5769158.1199999992</v>
          </cell>
        </row>
        <row r="22">
          <cell r="F22">
            <v>585094</v>
          </cell>
          <cell r="G22">
            <v>572621</v>
          </cell>
        </row>
        <row r="40">
          <cell r="G40">
            <v>55675684.390000001</v>
          </cell>
        </row>
        <row r="41">
          <cell r="G41">
            <v>49656875.130000003</v>
          </cell>
        </row>
        <row r="43">
          <cell r="G43">
            <v>539205.43999999994</v>
          </cell>
        </row>
        <row r="99">
          <cell r="F99">
            <v>4514807.180287933</v>
          </cell>
          <cell r="G99">
            <v>16160409.421267949</v>
          </cell>
        </row>
        <row r="106">
          <cell r="F106">
            <v>-186251</v>
          </cell>
        </row>
        <row r="241">
          <cell r="G241">
            <v>1521769</v>
          </cell>
        </row>
        <row r="242">
          <cell r="G242">
            <v>1353400</v>
          </cell>
        </row>
        <row r="243">
          <cell r="G243">
            <v>2799620.3599999994</v>
          </cell>
        </row>
        <row r="291">
          <cell r="G291">
            <v>7276608.1800000006</v>
          </cell>
        </row>
        <row r="351">
          <cell r="G351">
            <v>31105627</v>
          </cell>
        </row>
        <row r="357">
          <cell r="G357">
            <v>1662107</v>
          </cell>
        </row>
        <row r="371">
          <cell r="F371">
            <v>-1808134</v>
          </cell>
          <cell r="G371">
            <v>-7089950.0863537798</v>
          </cell>
        </row>
        <row r="400">
          <cell r="G400">
            <v>17650350</v>
          </cell>
        </row>
        <row r="401">
          <cell r="G401">
            <v>928040</v>
          </cell>
        </row>
        <row r="403">
          <cell r="G403">
            <v>775995</v>
          </cell>
        </row>
        <row r="404">
          <cell r="G404">
            <v>192300</v>
          </cell>
        </row>
        <row r="406">
          <cell r="G406">
            <v>790876</v>
          </cell>
        </row>
        <row r="412">
          <cell r="F412">
            <v>0.18028793297708035</v>
          </cell>
          <cell r="G412">
            <v>1488650.421267949</v>
          </cell>
        </row>
        <row r="413">
          <cell r="G413">
            <v>1450129</v>
          </cell>
        </row>
        <row r="414">
          <cell r="G414">
            <v>1603900</v>
          </cell>
        </row>
      </sheetData>
      <sheetData sheetId="5" refreshError="1"/>
      <sheetData sheetId="6" refreshError="1"/>
      <sheetData sheetId="7" refreshError="1"/>
      <sheetData sheetId="8" refreshError="1"/>
      <sheetData sheetId="9" refreshError="1"/>
      <sheetData sheetId="10" refreshError="1">
        <row r="83">
          <cell r="I83">
            <v>655513</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1"/>
      <sheetName val="Result 2"/>
      <sheetName val="Result1"/>
      <sheetName val="Result 3"/>
      <sheetName val="Cash Flow"/>
      <sheetName val="BSPL"/>
      <sheetName val="Sheet1"/>
      <sheetName val="PPE"/>
      <sheetName val="Pivot"/>
      <sheetName val="TB final"/>
      <sheetName val="Trial Balance"/>
      <sheetName val="CLOSING STOCK AS ON 31-03-21"/>
      <sheetName val="DT"/>
      <sheetName val="COI"/>
      <sheetName val="IT Dep"/>
      <sheetName val="Prepaid Ins"/>
      <sheetName val="Advance for Capital Goods"/>
      <sheetName val="FDR"/>
      <sheetName val="Ratios"/>
      <sheetName val="FG Valuation"/>
      <sheetName val="Loans to staff"/>
      <sheetName val="PSI Bifurcation"/>
      <sheetName val="Cost Sheet"/>
      <sheetName val="Term Loan"/>
      <sheetName val="Share Holding"/>
      <sheetName val="Unsecured Loan"/>
      <sheetName val="Debtor's Ageing 2020-21"/>
      <sheetName val="TB18.06"/>
      <sheetName val="TB09.06.21"/>
      <sheetName val="TB 28.5.21"/>
      <sheetName val="TB 03.06.21"/>
      <sheetName val="TB2019-20"/>
      <sheetName val="Requirements"/>
    </sheetNames>
    <sheetDataSet>
      <sheetData sheetId="0"/>
      <sheetData sheetId="1"/>
      <sheetData sheetId="2"/>
      <sheetData sheetId="3"/>
      <sheetData sheetId="4"/>
      <sheetData sheetId="5">
        <row r="15">
          <cell r="F15">
            <v>67513794.217889339</v>
          </cell>
          <cell r="G15">
            <v>67823511.890000001</v>
          </cell>
        </row>
        <row r="16">
          <cell r="F16">
            <v>0</v>
          </cell>
        </row>
        <row r="17">
          <cell r="F17">
            <v>155760049.43000001</v>
          </cell>
          <cell r="G17">
            <v>94854388</v>
          </cell>
        </row>
        <row r="18">
          <cell r="F18">
            <v>333868.40000000002</v>
          </cell>
        </row>
        <row r="19">
          <cell r="F19">
            <v>0</v>
          </cell>
          <cell r="G19">
            <v>83453.5</v>
          </cell>
        </row>
        <row r="20">
          <cell r="F20">
            <v>7281000</v>
          </cell>
          <cell r="G20">
            <v>8543299.9600000009</v>
          </cell>
        </row>
        <row r="21">
          <cell r="F21">
            <v>4209495.0199999996</v>
          </cell>
          <cell r="G21">
            <v>5106736.3549999995</v>
          </cell>
        </row>
        <row r="22">
          <cell r="F22">
            <v>673307</v>
          </cell>
        </row>
        <row r="23">
          <cell r="F23">
            <v>235771514.06788936</v>
          </cell>
        </row>
        <row r="24">
          <cell r="F24">
            <v>0</v>
          </cell>
        </row>
        <row r="25">
          <cell r="F25">
            <v>0</v>
          </cell>
        </row>
        <row r="31">
          <cell r="F31">
            <v>268294783.95110667</v>
          </cell>
          <cell r="G31">
            <v>232891786.39279005</v>
          </cell>
        </row>
        <row r="41">
          <cell r="G41">
            <v>59045466.559999995</v>
          </cell>
        </row>
        <row r="42">
          <cell r="G42">
            <v>8240996.9399999995</v>
          </cell>
        </row>
        <row r="43">
          <cell r="G43">
            <v>537842.43999999994</v>
          </cell>
        </row>
        <row r="46">
          <cell r="F46">
            <v>465886842.36205351</v>
          </cell>
          <cell r="G46">
            <v>412667869.12505478</v>
          </cell>
        </row>
        <row r="78">
          <cell r="F78">
            <v>819759041.19999993</v>
          </cell>
          <cell r="G78">
            <v>698726028.5999999</v>
          </cell>
        </row>
        <row r="82">
          <cell r="F82">
            <v>552919696.88999999</v>
          </cell>
          <cell r="G82">
            <v>432876064.31999999</v>
          </cell>
        </row>
        <row r="84">
          <cell r="F84">
            <v>-8248259.7178893462</v>
          </cell>
          <cell r="G84">
            <v>5686699.3852898097</v>
          </cell>
        </row>
        <row r="110">
          <cell r="F110">
            <v>35402997.57110668</v>
          </cell>
        </row>
        <row r="127">
          <cell r="E127" t="str">
            <v>JARNAIL SINGH SAINI - CHIEF FINANCIAL OFFICER &amp; EXECUTIVE DIRECTOR</v>
          </cell>
        </row>
        <row r="241">
          <cell r="F241">
            <v>16099811.717889346</v>
          </cell>
          <cell r="G241">
            <v>7851552.4699999997</v>
          </cell>
        </row>
        <row r="353">
          <cell r="G353">
            <v>2183354.7000000002</v>
          </cell>
        </row>
        <row r="413">
          <cell r="G413">
            <v>1454879</v>
          </cell>
        </row>
        <row r="414">
          <cell r="G414">
            <v>1670270</v>
          </cell>
        </row>
        <row r="450">
          <cell r="F450">
            <v>19178887</v>
          </cell>
          <cell r="G450">
            <v>19024629</v>
          </cell>
        </row>
        <row r="463">
          <cell r="F463">
            <v>4250954.5</v>
          </cell>
          <cell r="G463">
            <v>4661821.3</v>
          </cell>
        </row>
        <row r="464">
          <cell r="F464">
            <v>2854617</v>
          </cell>
          <cell r="G464">
            <v>2841598</v>
          </cell>
        </row>
        <row r="465">
          <cell r="F465">
            <v>6875832.8200000003</v>
          </cell>
          <cell r="G465">
            <v>7784928.8099999996</v>
          </cell>
        </row>
        <row r="466">
          <cell r="F466">
            <v>123939401.44</v>
          </cell>
          <cell r="G466">
            <v>131093465.02</v>
          </cell>
        </row>
        <row r="467">
          <cell r="F467">
            <v>3861148</v>
          </cell>
          <cell r="G467">
            <v>4167429</v>
          </cell>
        </row>
        <row r="469">
          <cell r="F469">
            <v>10661532.07</v>
          </cell>
          <cell r="G469">
            <v>13943254.359999999</v>
          </cell>
        </row>
        <row r="470">
          <cell r="F470">
            <v>688233.98</v>
          </cell>
          <cell r="G470">
            <v>954273.6</v>
          </cell>
        </row>
        <row r="471">
          <cell r="F471">
            <v>703243</v>
          </cell>
          <cell r="G471">
            <v>689707</v>
          </cell>
        </row>
        <row r="472">
          <cell r="F472">
            <v>8205875.8399999999</v>
          </cell>
          <cell r="G472">
            <v>6068106.8599999994</v>
          </cell>
        </row>
        <row r="473">
          <cell r="F473">
            <v>6129998</v>
          </cell>
          <cell r="G473">
            <v>6659960</v>
          </cell>
        </row>
        <row r="474">
          <cell r="F474">
            <v>168170836.64999998</v>
          </cell>
          <cell r="G474">
            <v>178864543.94999999</v>
          </cell>
        </row>
      </sheetData>
      <sheetData sheetId="6"/>
      <sheetData sheetId="7"/>
      <sheetData sheetId="8">
        <row r="3">
          <cell r="A3">
            <v>0</v>
          </cell>
        </row>
      </sheetData>
      <sheetData sheetId="9"/>
      <sheetData sheetId="10"/>
      <sheetData sheetId="11">
        <row r="46">
          <cell r="D46">
            <v>416.44099999999997</v>
          </cell>
          <cell r="N46">
            <v>366.012</v>
          </cell>
        </row>
        <row r="47">
          <cell r="N47">
            <v>349.31700000000001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17"/>
      <sheetName val="17-18"/>
      <sheetName val="2018-19"/>
      <sheetName val=" Summary-19-20"/>
      <sheetName val="Summary-20-21"/>
      <sheetName val="Summary 2021-22"/>
      <sheetName val="W-I-P(Building)"/>
      <sheetName val="WIP(PL &amp; M)"/>
      <sheetName val=" land"/>
      <sheetName val="Building"/>
      <sheetName val=" Plant &amp; Machinery"/>
      <sheetName val="Motor vehicle"/>
      <sheetName val=" Computer"/>
      <sheetName val=" Office Equipment"/>
      <sheetName val=" Furniture &amp; fixture"/>
      <sheetName val=" Electrical Installation"/>
      <sheetName val=" Useful Life"/>
    </sheetNames>
    <sheetDataSet>
      <sheetData sheetId="0"/>
      <sheetData sheetId="1"/>
      <sheetData sheetId="2"/>
      <sheetData sheetId="3"/>
      <sheetData sheetId="4">
        <row r="4">
          <cell r="E4">
            <v>33964999.899999999</v>
          </cell>
          <cell r="I4">
            <v>0</v>
          </cell>
        </row>
        <row r="5">
          <cell r="E5">
            <v>58923230.529999994</v>
          </cell>
          <cell r="I5">
            <v>5534893.9886987675</v>
          </cell>
        </row>
        <row r="6">
          <cell r="E6">
            <v>215300342.50799999</v>
          </cell>
          <cell r="I6">
            <v>99496168.438061088</v>
          </cell>
        </row>
        <row r="7">
          <cell r="E7">
            <v>2991111</v>
          </cell>
          <cell r="I7">
            <v>558719.83806600736</v>
          </cell>
        </row>
        <row r="8">
          <cell r="E8">
            <v>744525.7</v>
          </cell>
          <cell r="I8">
            <v>688913.61548858462</v>
          </cell>
        </row>
        <row r="9">
          <cell r="E9">
            <v>1024059.5</v>
          </cell>
          <cell r="I9">
            <v>598525.87082759</v>
          </cell>
        </row>
        <row r="10">
          <cell r="E10">
            <v>1330214.03</v>
          </cell>
          <cell r="I10">
            <v>1014017.3961523059</v>
          </cell>
        </row>
        <row r="11">
          <cell r="E11">
            <v>26188108.080000002</v>
          </cell>
          <cell r="I11">
            <v>16345550.182161208</v>
          </cell>
        </row>
        <row r="15">
          <cell r="E15">
            <v>133007.59999999963</v>
          </cell>
        </row>
        <row r="16">
          <cell r="E16">
            <v>179999.53999999957</v>
          </cell>
        </row>
      </sheetData>
      <sheetData sheetId="5">
        <row r="4">
          <cell r="C4">
            <v>0</v>
          </cell>
          <cell r="D4">
            <v>0</v>
          </cell>
          <cell r="G4">
            <v>0</v>
          </cell>
          <cell r="H4">
            <v>0</v>
          </cell>
        </row>
        <row r="5">
          <cell r="C5">
            <v>2363147.9900000002</v>
          </cell>
          <cell r="D5">
            <v>0</v>
          </cell>
          <cell r="G5">
            <v>1905326.4820191783</v>
          </cell>
          <cell r="H5">
            <v>0</v>
          </cell>
        </row>
        <row r="6">
          <cell r="C6">
            <v>6804071.8600000003</v>
          </cell>
          <cell r="D6">
            <v>0</v>
          </cell>
          <cell r="G6">
            <v>13628774.029168235</v>
          </cell>
          <cell r="H6">
            <v>0</v>
          </cell>
        </row>
        <row r="7">
          <cell r="C7">
            <v>0</v>
          </cell>
          <cell r="D7">
            <v>0</v>
          </cell>
          <cell r="G7">
            <v>369148.96419712796</v>
          </cell>
          <cell r="H7">
            <v>0</v>
          </cell>
        </row>
        <row r="8">
          <cell r="C8">
            <v>124110</v>
          </cell>
          <cell r="D8">
            <v>0</v>
          </cell>
          <cell r="G8">
            <v>41542.628027397266</v>
          </cell>
          <cell r="H8">
            <v>0</v>
          </cell>
        </row>
        <row r="9">
          <cell r="C9">
            <v>99683.63</v>
          </cell>
          <cell r="D9">
            <v>0</v>
          </cell>
          <cell r="G9">
            <v>113996.87240821918</v>
          </cell>
          <cell r="H9">
            <v>0</v>
          </cell>
        </row>
        <row r="10">
          <cell r="C10">
            <v>13983</v>
          </cell>
          <cell r="D10">
            <v>0</v>
          </cell>
          <cell r="G10">
            <v>48716.19506216341</v>
          </cell>
          <cell r="H10">
            <v>0</v>
          </cell>
        </row>
        <row r="11">
          <cell r="C11">
            <v>270480</v>
          </cell>
          <cell r="D11">
            <v>0</v>
          </cell>
          <cell r="G11">
            <v>1850243.3204432426</v>
          </cell>
          <cell r="H11">
            <v>0</v>
          </cell>
        </row>
        <row r="15">
          <cell r="C15">
            <v>1825887.73</v>
          </cell>
          <cell r="D15">
            <v>820398.42</v>
          </cell>
        </row>
        <row r="16">
          <cell r="D16">
            <v>3134481</v>
          </cell>
        </row>
      </sheetData>
      <sheetData sheetId="6"/>
      <sheetData sheetId="7"/>
      <sheetData sheetId="8"/>
      <sheetData sheetId="9">
        <row r="464">
          <cell r="EB464">
            <v>14759774.700675797</v>
          </cell>
        </row>
      </sheetData>
      <sheetData sheetId="10"/>
      <sheetData sheetId="11"/>
      <sheetData sheetId="12"/>
      <sheetData sheetId="13"/>
      <sheetData sheetId="14"/>
      <sheetData sheetId="15"/>
      <sheetData sheetId="1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 &amp; L"/>
      <sheetName val="Cash Flow"/>
      <sheetName val="Notes (Liabilities)"/>
      <sheetName val="Note-Fixed Assets 2021-21"/>
      <sheetName val="Notes (Assets)"/>
      <sheetName val="Notes (P&amp;L)"/>
      <sheetName val="Related Party Disclosure"/>
      <sheetName val="Ratio Analysis"/>
      <sheetName val="Amended Regulatory Information"/>
      <sheetName val="3(i)(c)"/>
    </sheetNames>
    <sheetDataSet>
      <sheetData sheetId="0" refreshError="1">
        <row r="33">
          <cell r="E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
      <sheetName val="QTLY RESULT"/>
      <sheetName val="ANN-E (2)"/>
      <sheetName val="Ann. H (2)"/>
      <sheetName val="Cash Flow"/>
      <sheetName val="Balance Sheet"/>
      <sheetName val="PIVOT"/>
      <sheetName val="FA As per Co. Act"/>
      <sheetName val="Debtors Creditors"/>
      <sheetName val="FG Value"/>
      <sheetName val="Computation"/>
      <sheetName val="Sheet5"/>
      <sheetName val="DT sep17"/>
      <sheetName val="Dep as Income Tax"/>
      <sheetName val="FA AS per CA"/>
      <sheetName val="Adjustment 2017-18"/>
      <sheetName val="Adjustment1516"/>
      <sheetName val="Adjustment1617"/>
      <sheetName val="TB New (2)"/>
      <sheetName val="CMA"/>
      <sheetName val="Sheet1"/>
      <sheetName val="Sheet2"/>
      <sheetName val="DT"/>
      <sheetName val="Sheet4"/>
      <sheetName val="TB New"/>
      <sheetName val="TB210518"/>
      <sheetName val="TB JAN18"/>
      <sheetName val="ind AS reco"/>
      <sheetName val="tb 29.05.2017"/>
      <sheetName val="IND AS "/>
      <sheetName val="NEW 3CD"/>
      <sheetName val="Ann B"/>
      <sheetName val="Ann . C"/>
      <sheetName val="Ann D"/>
      <sheetName val="ANN-E"/>
      <sheetName val="Ann. F"/>
      <sheetName val="Ann G"/>
      <sheetName val="Ann. H"/>
      <sheetName val="Ann. G"/>
      <sheetName val="TB31032018"/>
      <sheetName val="TB150518"/>
      <sheetName val="TB200518"/>
      <sheetName val="Sheet3"/>
    </sheetNames>
    <sheetDataSet>
      <sheetData sheetId="0" refreshError="1"/>
      <sheetData sheetId="1" refreshError="1"/>
      <sheetData sheetId="2" refreshError="1"/>
      <sheetData sheetId="3" refreshError="1"/>
      <sheetData sheetId="4" refreshError="1"/>
      <sheetData sheetId="5" refreshError="1">
        <row r="28">
          <cell r="F28">
            <v>0</v>
          </cell>
        </row>
        <row r="29">
          <cell r="F29">
            <v>26922650</v>
          </cell>
        </row>
        <row r="33">
          <cell r="F33">
            <v>26922640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Expenses"/>
      <sheetName val="Sheet1"/>
      <sheetName val="Debit note WP"/>
      <sheetName val="Purchase WP"/>
    </sheetNames>
    <sheetDataSet>
      <sheetData sheetId="0">
        <row r="9">
          <cell r="G9">
            <v>242919738</v>
          </cell>
        </row>
        <row r="10">
          <cell r="G10">
            <v>5616260</v>
          </cell>
        </row>
        <row r="11">
          <cell r="G11">
            <v>37328784</v>
          </cell>
        </row>
        <row r="12">
          <cell r="G12">
            <v>0</v>
          </cell>
        </row>
        <row r="13">
          <cell r="G13">
            <v>198221</v>
          </cell>
        </row>
        <row r="14">
          <cell r="G14">
            <v>5669003.9800000004</v>
          </cell>
        </row>
        <row r="15">
          <cell r="G15">
            <v>2604770</v>
          </cell>
        </row>
        <row r="16">
          <cell r="G16">
            <v>1110425</v>
          </cell>
        </row>
        <row r="17">
          <cell r="G17">
            <v>1348244</v>
          </cell>
        </row>
        <row r="18">
          <cell r="G18">
            <v>1142565</v>
          </cell>
        </row>
        <row r="19">
          <cell r="G19">
            <v>948898</v>
          </cell>
        </row>
        <row r="20">
          <cell r="G20">
            <v>1568832</v>
          </cell>
        </row>
        <row r="22">
          <cell r="G22">
            <v>0</v>
          </cell>
        </row>
        <row r="23">
          <cell r="G23">
            <v>645097</v>
          </cell>
        </row>
        <row r="24">
          <cell r="G24">
            <v>120156</v>
          </cell>
        </row>
        <row r="25">
          <cell r="G25">
            <v>0</v>
          </cell>
        </row>
        <row r="26">
          <cell r="G26">
            <v>-2358250</v>
          </cell>
        </row>
      </sheetData>
      <sheetData sheetId="1"/>
      <sheetData sheetId="2"/>
      <sheetData sheetId="3"/>
      <sheetData sheetId="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CD "/>
      <sheetName val="26 thtb"/>
      <sheetName val="final tb"/>
      <sheetName val="tbbbbb"/>
      <sheetName val="full final tb"/>
      <sheetName val="TB_02.12.15"/>
      <sheetName val="Power"/>
      <sheetName val="EXCISERECO'14-15"/>
      <sheetName val="Excise Duty on Fixed Assets"/>
      <sheetName val="Qty Reco"/>
      <sheetName val="Index"/>
      <sheetName val="FH"/>
      <sheetName val="DR"/>
      <sheetName val="Cntrl Sht Sept. 2014"/>
      <sheetName val="RESULT-BS"/>
      <sheetName val="Trial Balance (2)"/>
      <sheetName val="march 2016"/>
      <sheetName val="Sheet5"/>
      <sheetName val="COI -efiling"/>
      <sheetName val="Balance Sheet"/>
      <sheetName val="CF "/>
      <sheetName val="PIVOT"/>
      <sheetName val="Result-2"/>
      <sheetName val="10 Dep Co"/>
      <sheetName val="Sheet3"/>
      <sheetName val="Sheet4"/>
      <sheetName val="Control Sheet"/>
      <sheetName val="Highlights"/>
      <sheetName val="Ratios"/>
      <sheetName val="Sheet6"/>
      <sheetName val="27-5-2016"/>
      <sheetName val="Sheet7"/>
      <sheetName val="8-06-2016"/>
      <sheetName val="DT 16"/>
      <sheetName val="COI"/>
      <sheetName val="COI  e filing"/>
      <sheetName val="Result"/>
      <sheetName val="TB New"/>
      <sheetName val="NEW 3CD"/>
      <sheetName val="Ann A"/>
      <sheetName val="Ann B"/>
      <sheetName val="Ann . C"/>
      <sheetName val="Ann D"/>
      <sheetName val="ANN-E"/>
      <sheetName val="Unsecured Loan"/>
      <sheetName val="Ann. F"/>
      <sheetName val="Ann G"/>
      <sheetName val="Ann. H"/>
      <sheetName val="Ann. G"/>
      <sheetName val="tb 29.05.2017"/>
      <sheetName val="FG Value"/>
      <sheetName val="Trial Balance"/>
      <sheetName val="Sheet1"/>
      <sheetName val="STOCK"/>
      <sheetName val="RESULT March 14"/>
      <sheetName val="Sheet3 (2)"/>
      <sheetName val="Analysis"/>
      <sheetName val="Adv"/>
      <sheetName val="St Value"/>
      <sheetName val="Yield"/>
      <sheetName val="Advance To Capital Goods"/>
      <sheetName val="AS 28"/>
      <sheetName val="Interest"/>
      <sheetName val="loss on fire"/>
      <sheetName val="tb 02.05.2017"/>
      <sheetName val="Cash Note"/>
      <sheetName val="MSEB"/>
      <sheetName val="working Note 37"/>
      <sheetName val="tb 24.05.2017"/>
      <sheetName val="Sheet2"/>
      <sheetName val="QTLY RESULT"/>
      <sheetName val="ANN-E (2)"/>
      <sheetName val="Ann. H (2)"/>
      <sheetName val="Cash Flow"/>
      <sheetName val="Results 1"/>
      <sheetName val="Results 2"/>
      <sheetName val="1"/>
      <sheetName val="Q1 Result"/>
      <sheetName val="FA As per Co. Act"/>
      <sheetName val="Debtors Creditors"/>
      <sheetName val="Computation"/>
      <sheetName val="DT sep17"/>
      <sheetName val="Dep as Income Tax"/>
      <sheetName val="FA AS per CA"/>
      <sheetName val="Adjustment 2017-18"/>
      <sheetName val="Adjustment1516"/>
      <sheetName val="Adjustment1617"/>
      <sheetName val="TB New (2)"/>
      <sheetName val="CMA"/>
      <sheetName val="DT"/>
      <sheetName val="Q1 TB"/>
      <sheetName val="TB210518"/>
      <sheetName val="TB JAN18"/>
      <sheetName val="ind AS reco"/>
      <sheetName val="IND AS "/>
      <sheetName val="TB31032018"/>
      <sheetName val="TB150518"/>
      <sheetName val="TB200518"/>
      <sheetName val="Queries"/>
      <sheetName val="Sheet8"/>
      <sheetName val="Sheet9"/>
      <sheetName val="Sheet10"/>
      <sheetName val="Production"/>
      <sheetName val="Sundaram T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78">
          <cell r="E78">
            <v>454903714</v>
          </cell>
        </row>
        <row r="519">
          <cell r="B519" t="str">
            <v>Contribution to Funds</v>
          </cell>
        </row>
        <row r="538">
          <cell r="B538" t="str">
            <v>Raw Material Sorting Charges</v>
          </cell>
        </row>
        <row r="541">
          <cell r="B541" t="str">
            <v>Finished Goods Packing and Allied Charges</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PTION(PACKING)"/>
      <sheetName val="SUMMARY(31-01-18)"/>
      <sheetName val="SUMMARY(31-01-18) (10-02-18)"/>
      <sheetName val="SUMMARY(28-02-18) (14-03-18"/>
      <sheetName val="SUMMARY(31-03-18) (17-04-18 OLD"/>
      <sheetName val="CHEMICAL 21-22"/>
      <sheetName val="PACKING 21-22"/>
      <sheetName val="CLOSING STOCK21-22"/>
      <sheetName val="Import OCC"/>
      <sheetName val="Waste Paper (local)"/>
      <sheetName val="CLOSING 30-06-18(Darak&amp;Ass)"/>
      <sheetName val="CHEM"/>
      <sheetName val="PACK"/>
      <sheetName val="CHEMICAL"/>
      <sheetName val="PACKING"/>
      <sheetName val="INV WISE WP"/>
      <sheetName val="INV WISE CHEMICAL"/>
      <sheetName val="INV WISE COAL"/>
      <sheetName val="INV WISE PACK"/>
      <sheetName val="FG STOCK"/>
      <sheetName val="CONSUMPTION(CHEM)"/>
      <sheetName val="SUMMARY(31-10-17)"/>
      <sheetName val="INDIREC EXP-30-09+10"/>
      <sheetName val="INDIRECT EXP -31-08+09"/>
      <sheetName val="MANUFACTURING EXP 1-30-09+10"/>
      <sheetName val="MANUFACTURING EXP 1-31-08+09"/>
      <sheetName val="RAW MAT 30-09-17"/>
      <sheetName val="RAW MAT 31-08-17"/>
      <sheetName val="COMPARATIVE STAT"/>
    </sheetNames>
    <sheetDataSet>
      <sheetData sheetId="0"/>
      <sheetData sheetId="1"/>
      <sheetData sheetId="2"/>
      <sheetData sheetId="3"/>
      <sheetData sheetId="4"/>
      <sheetData sheetId="5"/>
      <sheetData sheetId="6"/>
      <sheetData sheetId="7">
        <row r="40">
          <cell r="N40">
            <v>462.15800000000002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CD "/>
      <sheetName val="CF (2)"/>
      <sheetName val="26 thtb"/>
      <sheetName val="final tb"/>
      <sheetName val="tbbbbb"/>
      <sheetName val="full final tb"/>
      <sheetName val="TB_02.12.15"/>
      <sheetName val="Power"/>
      <sheetName val="EXCISERECO'14-15"/>
      <sheetName val="Ann. G"/>
      <sheetName val="Excise Duty on Fixed Assets"/>
      <sheetName val="Qty Reco"/>
      <sheetName val="Index"/>
      <sheetName val="FH"/>
      <sheetName val="DR"/>
      <sheetName val="Cntrl Sht Sept. 2014"/>
      <sheetName val="Yield"/>
      <sheetName val="RESULT-BS"/>
      <sheetName val="Trial Balance (2)"/>
      <sheetName val="march 2016"/>
      <sheetName val="Sheet5"/>
      <sheetName val="Trial March'16"/>
      <sheetName val="Sheet3"/>
      <sheetName val="Sheet4"/>
      <sheetName val="Control Sheet"/>
      <sheetName val="CF"/>
      <sheetName val="Highlights"/>
      <sheetName val="Ratios"/>
      <sheetName val="Sheet6"/>
      <sheetName val="27-5-2016"/>
      <sheetName val="Sheet7"/>
      <sheetName val="Unsecured Loan"/>
      <sheetName val="8-06-2016"/>
      <sheetName val="Trial Bal"/>
      <sheetName val="DT 16"/>
      <sheetName val="COI e filing"/>
      <sheetName val="Balance Sheet"/>
      <sheetName val="PIVOT"/>
      <sheetName val="10 Dep Co"/>
      <sheetName val="FG Value"/>
      <sheetName val="Stock-in-hand"/>
      <sheetName val="NEW 3CD"/>
      <sheetName val="STOCK RECO "/>
      <sheetName val="Trial Balance"/>
      <sheetName val="Sheet1"/>
      <sheetName val="Ann A"/>
      <sheetName val="RESULT March 14"/>
      <sheetName val="Sheet3 (2)"/>
      <sheetName val="Analysis"/>
      <sheetName val="Adv"/>
      <sheetName val="St Value"/>
      <sheetName val="Ann B"/>
      <sheetName val="Ann . C"/>
      <sheetName val="Ann D"/>
      <sheetName val="ANN-E"/>
      <sheetName val="Ann. F"/>
      <sheetName val="Ann G"/>
      <sheetName val="Ann. H"/>
      <sheetName val="Advance To Capital Goods"/>
      <sheetName val="AS 28"/>
      <sheetName val="Interest"/>
      <sheetName val="loss on fire"/>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1">
          <cell r="E11">
            <v>26922650</v>
          </cell>
          <cell r="F11">
            <v>23411000</v>
          </cell>
        </row>
        <row r="12">
          <cell r="E12">
            <v>61387322</v>
          </cell>
          <cell r="F12">
            <v>64676940</v>
          </cell>
        </row>
        <row r="15">
          <cell r="E15">
            <v>81122469</v>
          </cell>
          <cell r="F15">
            <v>79362817</v>
          </cell>
        </row>
        <row r="16">
          <cell r="E16">
            <v>9777177.565239517</v>
          </cell>
          <cell r="F16">
            <v>15689957</v>
          </cell>
        </row>
        <row r="39">
          <cell r="E39">
            <v>35621655.75</v>
          </cell>
          <cell r="F39">
            <v>41511122</v>
          </cell>
        </row>
        <row r="40">
          <cell r="E40">
            <v>78492276</v>
          </cell>
          <cell r="F40">
            <v>15928243</v>
          </cell>
        </row>
        <row r="45">
          <cell r="E45">
            <v>321023491</v>
          </cell>
          <cell r="F45">
            <v>270879673</v>
          </cell>
        </row>
        <row r="76">
          <cell r="E76">
            <v>1031292</v>
          </cell>
          <cell r="F76">
            <v>1076769</v>
          </cell>
        </row>
        <row r="81">
          <cell r="E81">
            <v>0</v>
          </cell>
          <cell r="F81">
            <v>0</v>
          </cell>
        </row>
        <row r="82">
          <cell r="E82">
            <v>418525931</v>
          </cell>
          <cell r="F82">
            <v>328572779</v>
          </cell>
        </row>
        <row r="83">
          <cell r="E83">
            <v>-6528741.75</v>
          </cell>
          <cell r="F83">
            <v>557561</v>
          </cell>
        </row>
        <row r="84">
          <cell r="E84">
            <v>13367923</v>
          </cell>
          <cell r="F84">
            <v>12950636</v>
          </cell>
        </row>
        <row r="85">
          <cell r="E85">
            <v>20663193</v>
          </cell>
          <cell r="F85">
            <v>6037411</v>
          </cell>
        </row>
        <row r="86">
          <cell r="E86">
            <v>15860377.431952663</v>
          </cell>
          <cell r="F86">
            <v>10041580</v>
          </cell>
        </row>
        <row r="87">
          <cell r="E87">
            <v>176833255</v>
          </cell>
          <cell r="F87">
            <v>122709443</v>
          </cell>
        </row>
        <row r="100">
          <cell r="E100">
            <v>-17867343.681952715</v>
          </cell>
          <cell r="F100">
            <v>1438694</v>
          </cell>
        </row>
        <row r="317">
          <cell r="E317">
            <v>58520349</v>
          </cell>
          <cell r="F317">
            <v>41883184</v>
          </cell>
        </row>
        <row r="338">
          <cell r="E338">
            <v>54312132</v>
          </cell>
          <cell r="F338">
            <v>14917584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s>
    <sheetDataSet>
      <sheetData sheetId="0">
        <row r="7">
          <cell r="F7">
            <v>619823301</v>
          </cell>
          <cell r="G7">
            <v>481231335</v>
          </cell>
        </row>
        <row r="9">
          <cell r="F9">
            <v>124636874.75</v>
          </cell>
          <cell r="G9">
            <v>72352331</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1"/>
      <sheetName val="Result 2"/>
      <sheetName val="Result1"/>
      <sheetName val="Result 3"/>
      <sheetName val="Cash Flow"/>
      <sheetName val="BSPL"/>
      <sheetName val="Pivot"/>
      <sheetName val="TB final"/>
      <sheetName val="Trial Balance"/>
      <sheetName val="CLOSING STOCK AS ON 31-03-21"/>
      <sheetName val="PPE"/>
      <sheetName val="DT"/>
      <sheetName val="COI"/>
      <sheetName val="IT Dep"/>
      <sheetName val="Prepaid Ins"/>
      <sheetName val="Advance for Capital Goods"/>
      <sheetName val="FDR"/>
      <sheetName val="Ratios"/>
      <sheetName val="FG Valuation"/>
      <sheetName val="Loans to staff"/>
      <sheetName val="PSI Bifurcation"/>
      <sheetName val="Cost Sheet"/>
      <sheetName val="Term Loan"/>
      <sheetName val="Share Holding"/>
      <sheetName val="Unsecured Loan"/>
      <sheetName val="Debtor's Ageing 2020-21"/>
      <sheetName val="TB18.06"/>
      <sheetName val="TB09.06.21"/>
      <sheetName val="TB 28.5.21"/>
      <sheetName val="TB 03.06.21"/>
      <sheetName val="TB2019-20"/>
      <sheetName val="Requirements"/>
    </sheetNames>
    <sheetDataSet>
      <sheetData sheetId="0"/>
      <sheetData sheetId="1"/>
      <sheetData sheetId="2"/>
      <sheetData sheetId="3"/>
      <sheetData sheetId="4"/>
      <sheetData sheetId="5">
        <row r="79">
          <cell r="G79">
            <v>1037875</v>
          </cell>
        </row>
        <row r="82">
          <cell r="G82">
            <v>432876064.31999999</v>
          </cell>
        </row>
        <row r="83">
          <cell r="G83">
            <v>1234765</v>
          </cell>
        </row>
        <row r="84">
          <cell r="G84">
            <v>5686699.3852898097</v>
          </cell>
        </row>
        <row r="85">
          <cell r="G85">
            <v>21336667</v>
          </cell>
        </row>
        <row r="86">
          <cell r="G86">
            <v>9356360.9400000013</v>
          </cell>
        </row>
        <row r="87">
          <cell r="G87">
            <v>17192939</v>
          </cell>
        </row>
        <row r="426">
          <cell r="G426">
            <v>689282528.5999999</v>
          </cell>
        </row>
        <row r="474">
          <cell r="G474">
            <v>178864543.94999999</v>
          </cell>
        </row>
        <row r="482">
          <cell r="G482">
            <v>380250</v>
          </cell>
        </row>
        <row r="505">
          <cell r="G505">
            <v>9239596.5999999996</v>
          </cell>
        </row>
        <row r="511">
          <cell r="G511">
            <v>2477468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sheetName val="Bonus"/>
      <sheetName val="INS.STAT."/>
      <sheetName val="Salary"/>
      <sheetName val="P.F.-Stat-Ledger"/>
      <sheetName val="ESIC-Ledger"/>
      <sheetName val="ESIC-Contractor"/>
    </sheetNames>
    <sheetDataSet>
      <sheetData sheetId="0"/>
      <sheetData sheetId="1"/>
      <sheetData sheetId="2"/>
      <sheetData sheetId="3"/>
      <sheetData sheetId="4">
        <row r="10">
          <cell r="E10">
            <v>101091</v>
          </cell>
          <cell r="F10">
            <v>109515</v>
          </cell>
        </row>
        <row r="11">
          <cell r="E11">
            <v>59329</v>
          </cell>
          <cell r="F11">
            <v>64273</v>
          </cell>
        </row>
        <row r="12">
          <cell r="E12">
            <v>45090</v>
          </cell>
          <cell r="F12">
            <v>48795</v>
          </cell>
        </row>
        <row r="13">
          <cell r="E13">
            <v>100651</v>
          </cell>
          <cell r="F13">
            <v>109039</v>
          </cell>
        </row>
        <row r="14">
          <cell r="E14">
            <v>99861</v>
          </cell>
          <cell r="F14">
            <v>108183</v>
          </cell>
        </row>
        <row r="15">
          <cell r="E15">
            <v>99627</v>
          </cell>
          <cell r="F15">
            <v>107929</v>
          </cell>
        </row>
        <row r="16">
          <cell r="E16">
            <v>98141</v>
          </cell>
          <cell r="F16">
            <v>106319</v>
          </cell>
        </row>
        <row r="17">
          <cell r="E17">
            <v>102784</v>
          </cell>
          <cell r="F17">
            <v>111350</v>
          </cell>
        </row>
        <row r="18">
          <cell r="E18">
            <v>92958</v>
          </cell>
          <cell r="F18">
            <v>100704</v>
          </cell>
        </row>
        <row r="19">
          <cell r="E19">
            <v>97261</v>
          </cell>
          <cell r="F19">
            <v>105367</v>
          </cell>
        </row>
        <row r="20">
          <cell r="E20">
            <v>96644</v>
          </cell>
          <cell r="F20">
            <v>104698</v>
          </cell>
        </row>
        <row r="21">
          <cell r="E21">
            <v>94989</v>
          </cell>
          <cell r="F21">
            <v>102905</v>
          </cell>
        </row>
        <row r="22">
          <cell r="E22">
            <v>95416</v>
          </cell>
          <cell r="F22">
            <v>103368</v>
          </cell>
        </row>
      </sheetData>
      <sheetData sheetId="5">
        <row r="8">
          <cell r="C8">
            <v>4670</v>
          </cell>
          <cell r="D8">
            <v>20150</v>
          </cell>
        </row>
        <row r="10">
          <cell r="C10">
            <v>4840</v>
          </cell>
          <cell r="D10">
            <v>20890</v>
          </cell>
        </row>
        <row r="12">
          <cell r="C12">
            <v>4636</v>
          </cell>
          <cell r="D12">
            <v>20006</v>
          </cell>
        </row>
        <row r="14">
          <cell r="C14">
            <v>4657</v>
          </cell>
          <cell r="D14">
            <v>20088</v>
          </cell>
        </row>
        <row r="16">
          <cell r="C16">
            <v>4589</v>
          </cell>
          <cell r="D16">
            <v>19792</v>
          </cell>
        </row>
        <row r="18">
          <cell r="C18">
            <v>4470</v>
          </cell>
          <cell r="D18">
            <v>19289</v>
          </cell>
        </row>
        <row r="20">
          <cell r="C20">
            <v>4873</v>
          </cell>
          <cell r="D20">
            <v>21034</v>
          </cell>
        </row>
        <row r="22">
          <cell r="C22">
            <v>4102</v>
          </cell>
          <cell r="D22">
            <v>17698</v>
          </cell>
        </row>
        <row r="24">
          <cell r="C24">
            <v>4517</v>
          </cell>
          <cell r="D24">
            <v>19497</v>
          </cell>
        </row>
        <row r="26">
          <cell r="C26">
            <v>4420</v>
          </cell>
          <cell r="D26">
            <v>19076</v>
          </cell>
        </row>
        <row r="28">
          <cell r="C28">
            <v>4339</v>
          </cell>
          <cell r="D28">
            <v>18734</v>
          </cell>
        </row>
        <row r="30">
          <cell r="C30">
            <v>4316</v>
          </cell>
          <cell r="D30">
            <v>18628</v>
          </cell>
        </row>
      </sheetData>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mit" refreshedDate="44707.416879050928" createdVersion="7" refreshedVersion="7" minRefreshableVersion="3" recordCount="805">
  <cacheSource type="worksheet">
    <worksheetSource ref="A3:P808" sheet="TB final"/>
  </cacheSource>
  <cacheFields count="16">
    <cacheField name="PARTICULARS" numFmtId="0">
      <sharedItems count="805">
        <s v="A K R G &amp; Associates, Nagpur"/>
        <s v="Darak and Associates"/>
        <s v="Visy Recycling Europe Limited"/>
        <s v="IMTRADE PAPER &amp; PLASTICS BV"/>
        <s v="Uttej Polymers &amp; Chemicals"/>
        <s v="Shepards Shipping Services (India) Pvt. Ltd."/>
        <s v="Scorpio Systems"/>
        <s v="MNS Credit Management Group Pvt Ltd"/>
        <s v="S. S. Traders"/>
        <s v="SHUBHAM ENTERPRISES (SALE)"/>
        <s v="ANAMIKA TRADERS(SALES)"/>
        <s v="MELOSCH EXPORT GMBH"/>
        <s v="SAVITRI ENTERPRISES (WP)"/>
        <s v="Seion Enterprises"/>
        <s v="Pratik Enterprises"/>
        <s v="ANAMIKA TRADERS [ WP ]"/>
        <s v="NIRAJ ENGINEERING CO.PVT.LTD..,"/>
        <s v="Maheshwari Agency"/>
        <s v="Dhruti P. Modi"/>
        <s v="Rama Consultancy Services"/>
        <s v="Aditya Freight Carriers"/>
        <s v="Apex Automation &amp; Security Systems"/>
        <s v="Aayush Chem"/>
        <s v="NAV DURGA BOILER &amp; EQUIPMENTS P. LTD."/>
        <s v="B P &amp; Company"/>
        <s v="Khemka Motors"/>
        <s v="SBR Steels Pvt. Ltd.,Aurangabad"/>
        <s v="McSparr Test Systems &amp; Chemicals Pvt. Ltd."/>
        <s v="Cardan India"/>
        <s v="CENTRAL SCIENTIFIC CO."/>
        <s v="Advance Income Tax (A.Y. 2019-20)"/>
        <s v="TDS (A Y 2021-2022)"/>
        <s v="Advance Income Tax (A.Y. 2020-21)"/>
        <s v="Advance Income Tax (A.Y. 2021-22)"/>
        <s v="Advertisement Expenses"/>
        <s v="AJANTA KRAFT"/>
        <s v="ACCURATE SALES AGENCIES"/>
        <s v="Akhilesh Automobiles"/>
        <s v="Align Components (P) Ltd.,"/>
        <s v="ALIGN COMPONENTS (P) LTD., (BU-II)"/>
        <s v="ALLIANCE INTERNATIONAL DWC-LLC"/>
        <s v="SRUSHTI SEVA PRIVATE LIMITED"/>
        <s v="Advance Ag, Clearing-Frwd :OCC"/>
        <s v="Ambuja Cements Ltd."/>
        <s v="Ramrao Nagose"/>
        <s v="Vinod Samdurkar"/>
        <s v="Sudhakar Raut"/>
        <s v="Amol Kakade"/>
        <s v="Nitin Thakre"/>
        <s v="Naresh Erpate"/>
        <s v="Amil Warthi"/>
        <s v="Rahul Bagde"/>
        <s v="CANUSA HERSHMAN RECYCLING CO."/>
        <s v="Cellmark Netherlands B.V."/>
        <s v="Amruta Enterprises, Nagpur"/>
        <s v="ANAMIKA TRADERS"/>
        <s v="KEDAR PAPER CONVERSIONS (--36ADFPK0203M1ZT)"/>
        <s v="CHANDRA SALES CORPORATION(SALE) (--27ADQPA0441E1Z0)"/>
        <s v="YONGJIN CORPORATION"/>
        <s v="SHREE RAJENDRA CASH COMPANY"/>
        <s v="UNIVERSAL INFRA &amp; AGRI OILS PVT.LTD"/>
        <s v="SAVITRI ENTERPRISES"/>
        <s v="MANGAL  PAPERS"/>
        <s v="DIVYA SALES CORPORATION"/>
        <s v="DR. B. P. TAORI"/>
        <s v="Sri Shiv Sai Transport Co."/>
        <s v="MAHENDRA PRINTING PRESS"/>
        <s v="Agrawal Fasteners"/>
        <s v="Althem Engineers P. Ltd."/>
        <s v="R. Cargo , Bhandara"/>
        <s v="Sai Prabha Traders"/>
        <s v="Anilkumar M. Lakhotiya (Loan A/C)"/>
        <s v="ANISH INDUSTRIES"/>
        <s v="Anita Lakhotiya"/>
        <s v="Ankur Seeds Pvt. Ltd., Nagpur"/>
        <s v="Festival Expenses"/>
        <s v="Loss on Discardment of F A"/>
        <s v="Loss on Sale of PL &amp; Mc"/>
        <s v="Site Development Expenses"/>
        <s v="Annual Custody Fees"/>
        <s v="Annual Listing Fees"/>
        <s v="Prior Period Expenses"/>
        <s v="Anurag Steel"/>
        <s v="Industrial Boilers Limited, Vapi"/>
        <s v="ISHAN PARYAVARAN (P) LTD.,"/>
        <s v="ARIHANT ENTERPRISES"/>
        <s v="ARIHANT ENTERPRISES (KEDAR)"/>
        <s v="Arkil Chem P. Ltd."/>
        <s v="Aru Technocratics"/>
        <s v="Assessment Refund"/>
        <s v="Atul V Hurkat HUF"/>
        <s v="Audit Expenses (Darak)"/>
        <s v="Audit Expenses : (Sales Tax )"/>
        <s v="Audit Expenses (Walter)"/>
        <s v="Audit Expenses : (Excise)"/>
        <s v="Audit Fees Payable"/>
        <s v="Jaikay International"/>
        <s v="Baburao Kendre"/>
        <s v="Jai Durga Construction"/>
        <s v="Jain Acids &amp; Chemicals"/>
        <s v="MEGA TECHNO SERVICES, NAGPUR"/>
        <s v="Continental Belting Pvt. Ltd."/>
        <s v="M. H. Industries"/>
        <s v="KOTHARI ASSOCIATES"/>
        <s v="Other Sales"/>
        <s v="Premier India Enterprises"/>
        <s v="Palak Gen Trade LLP"/>
        <s v="Bad Debts"/>
        <s v="Balaji Enterprises"/>
        <s v="Baljit Kaur Manindersingh Saini"/>
        <s v="Bank Commission &amp; Charges"/>
        <s v="CSR (CORPORATE SOCIAL RESPONSIBILITY)"/>
        <s v="Commission on Export"/>
        <s v="Bank Facility Charges"/>
        <s v="BANK GUARANTEE CHARGES"/>
        <s v="Bank Loan Processing Fees"/>
        <s v="Batish Chemicals I India Pvt.Ltd."/>
        <s v="Bearing Centre"/>
        <s v="Best Engineering Works Regd. Punjab"/>
        <s v="BHARADWAJ PACKAGING PVT. LTD."/>
        <s v="VEDANT PACKERS PVT.LTD."/>
        <s v="VISHWA KUTUMB PVT.LTD."/>
        <s v="ANANT SHREE AGENCY"/>
        <s v="SAMRAT PACKAGING"/>
        <s v="SAMPAC"/>
        <s v="BHOLANATH MITRA"/>
        <s v="Boiler Fireman  (Feeding Charges)"/>
        <s v="Custom Duty on Machinery"/>
        <s v="Books News Paper &amp; Perodicals"/>
        <s v="Building"/>
        <s v="Foreign Exchange Fluctuation on Fixed Assets"/>
        <s v="Carriage Inward [ Plant &amp; Machinery]"/>
        <s v="Capital Reserves"/>
        <s v="Carriage Inward (Sale)"/>
        <s v="Interest on TCS"/>
        <s v="Interest on Innova Veh.Loan Axix Bank"/>
        <s v="Carriage Inward : Machinery Rep&amp;Maint"/>
        <s v="Carriage Inward { Store }"/>
        <s v="Carriage Outward Machinery"/>
        <s v="Cash"/>
        <s v="CGST @ 9% ON OTHER PURCHASE"/>
        <s v="SGST @ 2.5 % on Chemical"/>
        <s v="CGST @ 2.5% on Chemical"/>
        <s v="CGST @ 14% on Other Purchase"/>
        <s v="CGST  @ 2.5% on Coal Purchase"/>
        <s v="CGST @ 2.5 % on Packing Material"/>
        <s v="CGST @ 2.5% ON WASTE PAPER"/>
        <s v="CGST @ 6 % ON Chemical"/>
        <s v="CGST @ 6 % ON OTHER PURCHASE"/>
        <s v="CGST @ 6 % SALES"/>
        <s v="CGST @9% ON BANK CHARGES"/>
        <s v="CGST @ 9%  on Chemical Purchase"/>
        <s v="CGST @ 9 % ON COMMISSION"/>
        <s v="Cgst @9% on Export Expenses"/>
        <s v="CGST @ 9% on Insurance Policies"/>
        <s v="CGST @ 9% on Packing"/>
        <s v="CGST @ 9% on Telephone Charges"/>
        <s v="CGST @ 9% on Transport"/>
        <s v="CGST @9% on Other Sales"/>
        <s v="SGST @ 2.5% on Other Purchase"/>
        <s v="SGST @14 % on Other Purchase"/>
        <s v="SGST  @ 2.5% on Coal Purchase"/>
        <s v="SGST @ 2.5 % on Packing Material"/>
        <s v="SGST @ 2.5% ON WASTE PAPER"/>
        <s v="SGST @ 6 % ON Chemical"/>
        <s v="SGST @ 6% ON OTHER PURCHASE"/>
        <s v="SGST @  6% SALES"/>
        <s v="SGST @9% ON BANK CHARGES"/>
        <s v="SGST @ 9% on Chemical Purchase"/>
        <s v="SGST @ 9% ON COMMISSION"/>
        <s v="Sgst @9% on Export Expenses"/>
        <s v="SGST @ 9 % on Insurance Policies"/>
        <s v="SGST @ 9% on Packing"/>
        <s v="SGST @ 9% on Telephone Charges"/>
        <s v="SGST @ 9% on Transport"/>
        <s v="CGST @ 2.5 % on Other Purchase"/>
        <s v="SGST @9% ON OTHER SALES"/>
        <s v="CGST Payable ( F. Y. 2018-19)"/>
        <s v="CGST Payable ( F.Y. 2017-18)"/>
        <s v="CGST PAYABLE ( F.Y. 2019-20)"/>
        <s v="CGST RECEIVABLE F.Y. 2020-21"/>
        <s v="CGST Payable ( F.Y. 2019-20 )"/>
        <s v="CHACHA GOODS CARRIERS"/>
        <s v="Chandak Nursing Home"/>
        <s v="CHANDRA COAL PVT. LTD. (SALE)"/>
        <s v="CHANDRA COAL PVT.LTD."/>
        <s v="CHANDRA SALES CORPORATION [ WP]"/>
        <s v="CHANDRA SALES CORPORATION(SALE)"/>
        <s v="Chandrashekhar Balki"/>
        <s v="Chemical Purchase"/>
        <s v="Chowdhary Packagers"/>
        <s v="CIPARO B.V."/>
        <s v="Clearing &amp; Forwarding on WP Import"/>
        <s v="Clearing &amp; Fwd. Chgs.On Import M/C"/>
        <s v="Coal Liasioning Charges"/>
        <s v="Coal Purchase"/>
        <s v="COMMISSION ON SALES (HSN/SAC : 9961)"/>
        <s v="Commission On Sales Account"/>
        <s v="Computer"/>
        <s v="Consultation Charges"/>
        <s v="CONTAINER CORPORATION OF INDIA LTD"/>
        <s v="Contribution to ESIC Payable"/>
        <s v="Contribution To P.F. Payable"/>
        <s v="Conveyance Expenses"/>
        <s v="Conveyance To Directors"/>
        <s v="COSMIC CORPORATION"/>
        <s v="Courier &amp; Postage Charges"/>
        <s v="Covid-19 Expenses (Corona)"/>
        <s v="Credit Not Availed Ag.GST (F.Y. 18-19)"/>
        <s v="CSR Expenses"/>
        <s v="CST Payable  (F.Y. 2016- 17 )"/>
        <s v="Cst Tax Expenses"/>
        <s v="Dandong Shengxing Paper Machinery, China"/>
        <s v="Deekay &amp; Company"/>
        <s v="DEEP SALES CORPORATION"/>
        <s v="Deferred Tax Liabilities (Net)"/>
        <s v="Deposit for  COAL to MSMC"/>
        <s v="Deposit for LPG Domestic Cylender Connection"/>
        <s v="DEPOSIT FOR SBI  BG 3,90,000 [ TDR. 37091487639]"/>
        <s v="Deposit with SBI for Custom 8.25 Lac BG[Rs. 206250]"/>
        <s v="Deposit with Import (OCC)"/>
        <s v="Deposit with M.S.E.B."/>
        <s v="Deposit With SBI for MPCB 5 Lac BG [Rs.1,25,000]"/>
        <s v="Deposits For Office Premises"/>
        <s v="Deposits For Telephone"/>
        <s v="Deposits Group Gratuity Fund"/>
        <s v="Deposits Group Gratuity Fund (New Policy 707003372)"/>
        <s v="Deposits Group Gratuity Fund (Policy No. 707000291)"/>
        <s v="Deposits with S.B.I. for LC Margin Rs.3,75,000/-"/>
        <s v="Depreciation Electrical Installation"/>
        <s v="Depreciation On Building"/>
        <s v="Depreciation On Computer"/>
        <s v="Depreciation on Furniture &amp; Fixture"/>
        <s v="Depreciation on Office Equipment"/>
        <s v="Depreciation On Plant &amp; Machinery"/>
        <s v="Depreciation on Vehicle"/>
        <s v="DEV CHEMICAL"/>
        <s v="Dhanraj Raut"/>
        <s v="CHANDRASHEKHAR JAPULKAR"/>
        <s v="Diksha Dharme"/>
        <s v="Dhawal Dinesh Kawade"/>
        <s v="DILIPKUMAR PATEL"/>
        <s v="Directors Sitting Fees"/>
        <s v="Discount &amp; Billing Diff Account (HSN/SAC: 4804)"/>
        <s v="SALES A/C INTERASTATE"/>
        <s v="Direct Export Sales"/>
        <s v="DISTRIBUTION LOGISTICS INFRASTRUCTURE PVT.LTD."/>
        <s v="Dividend Payable"/>
        <s v="Payable to Investor education &amp; Protection Fund"/>
        <s v="Donation Account"/>
        <s v="Drashta Power Consultants Pvt. Ltd."/>
        <s v="DURGA INDUSTRIAL  SECURITY, NAGPUR"/>
        <s v="Durga Traders"/>
        <s v="Dyaneshwer Sarode"/>
        <s v="ECONOMIC PACKAGING CORPORATION"/>
        <s v="Electrical Installation"/>
        <s v="Equity Share Capital"/>
        <s v="ESIC (Employees State Insurance Corpn)"/>
        <s v="E-TDS Filing Charges"/>
        <s v="E-Voting Expenses"/>
        <s v="Ex Gratia Payment"/>
        <s v="Insurance Premium in Group Gratuity"/>
        <s v="Excise Aud Para Expenses"/>
        <s v="Exempted Ag.Chemical Purchase"/>
        <s v="Export Expenses for Clearing &amp; Forwarding"/>
        <s v="EXPORT SALE"/>
        <s v="Factory Cleaning Charges"/>
        <s v="Factory Misc Expenses"/>
        <s v="Factory Power &amp; Electricity Charges"/>
        <s v="Factory Tea &amp; Other Expenses"/>
        <s v="Fees To Registrar"/>
        <s v="Finished Goods Expenses"/>
        <s v="Finished Goods Packing &amp; Allied Charges"/>
        <s v="Finished Goods Packing &amp; Allied Payable"/>
        <s v="First Flight Couriers Ltd."/>
        <s v="Flexible Abrasives Pvt.Ltd., Ar'bad"/>
        <s v="For B G Rs.58000/- (AC 325726636355)"/>
        <s v="For BG 350000 for WCL :A/c 34928264708"/>
        <s v="For BG[MSEB] 12.50 LAC :A/c 35633066338"/>
        <s v="Foreign Exchange Fluctuation"/>
        <s v="Franking Charges for Import O.C.C."/>
        <s v="Franking Charges Payable Ag Import OCC"/>
        <s v="Freehold Land"/>
        <s v="FREIGHT ( SALES)"/>
        <s v="Furniture &amp; Fixture"/>
        <s v="Ganga Iron &amp; Steel Trading Co.Ltd."/>
        <s v="Ganpat Steel Industries"/>
        <s v="General Reserves"/>
        <s v="Globe Engineering Company"/>
        <s v="Gratuity To Staff"/>
        <s v="Green Agro Industries"/>
        <s v="Haitek Industrial Fabrics Pvt. Ltd., Haryana"/>
        <s v="GST Annual Filing Chgs. FY 17-18"/>
        <s v="GST Audit Fees"/>
        <s v="GST ANNUAL FEES F.Y. 2021-22"/>
        <s v="GST Audit"/>
        <s v="GST Audit Fees A. Y. 2019-2020"/>
        <s v="GST Audit Fees F.Y.2018-19"/>
        <s v="GST Audit Fees (Shah Baheti Chandak)"/>
        <s v="GST Audit Fees Payable"/>
        <s v="Payable to GST Annual Fees F.Y.21-22"/>
        <s v="GST E-Return Charges"/>
        <s v="Gujrat Ambuja Exports Ltd.,"/>
        <s v="Gupta Machinery Stores, Nagpur"/>
        <s v="Hazelkaur Manindersingh Saini"/>
        <s v="Hemant Mahure"/>
        <s v="Hindustan Mill Stores, Nagpur"/>
        <s v="HORIZON PACKS PVT. LTD."/>
        <s v="SHIVA PACKAGING INDUSTRIES"/>
        <s v="HORIZON PACKS PVT.LTD.(KHAMGAON)"/>
        <s v="House Rent"/>
        <s v="IGST Payable ( F. Y. 2018-19)"/>
        <s v="IGST @12 % on Other Purchase"/>
        <s v="IGST @12% on Transport"/>
        <s v="IGST @ 12 % SALES"/>
        <s v="IGST @ 18% on Chemical"/>
        <s v="IGST @ 18%  on Other Purchase"/>
        <s v="IGST @ 18 % On Packing Purchase"/>
        <s v="IGST @5 % ON IMPORT Occ"/>
        <s v="IGST @ 5% on Waste Paper"/>
        <s v="IGST Payable ( F. Y. 2019-20 )"/>
        <s v="IGST Receivable F.Y. 2020-21"/>
        <s v="IGST Payable (F.Y. 2017-18)"/>
        <s v="IKP Industries Pvt. Ltd."/>
        <s v="Import Waste Paper Purchase"/>
        <s v="Incentive/ Bonus Payable"/>
        <s v="Incentive/ Bonus to Staff"/>
        <s v="Inder Trade &amp; Industry, Bikaner"/>
        <s v="Indocast Industries"/>
        <s v="INDRAYANI PAPER PORD. PVT. LTD."/>
        <s v="Innovative Solutions &amp; System"/>
        <s v="Insurance Charges For Marine"/>
        <s v="Insurance Charges for Marine Export"/>
        <s v="Insurance Charges To Other"/>
        <s v="Insurance Claim Receivable( Accident Claim)"/>
        <s v="Insurance Pre-Paid"/>
        <s v="Interest Receivable on Power"/>
        <s v="Interest  From Bank (F.D.)"/>
        <s v="Purchase Compensation"/>
        <s v="Provision of Earlier Year"/>
        <s v="Interest  on Excise Duty"/>
        <s v="Interest Accured On Deposit"/>
        <s v="Interest for Car Loan to Sundaram Finance"/>
        <s v="Interest For Forklift to Sundaram Finance"/>
        <s v="Interest For Tractor to Sundaram Finance"/>
        <s v="Interest on Add.T/L (1.5Cr)...6669"/>
        <s v="Interest on Bank Term Loan ( 2 Cr.)...0563"/>
        <s v="Interest on CGST"/>
        <s v="Interest On Custom Duty"/>
        <s v="Interest On IGST"/>
        <s v="Interest on Income Tax"/>
        <s v="GST  Paid Expenses"/>
        <s v="INTEREST ON PROFESSIONAL TAX"/>
        <s v="Interest on Provident Fund"/>
        <s v="Interest On Sales Tax"/>
        <s v="Interest on SGST"/>
        <s v="Interest On Tds"/>
        <s v="Interest on VAT A.Y. 14-15"/>
        <s v="Interest on Vat F.Y. 2015-16"/>
        <s v="Interest Payable"/>
        <s v="Interest To Bank"/>
        <s v="Interest to Bank on T/L (1.5 Cr.).....3547"/>
        <s v="Interest to Bank on T/L (4 Cr.)....80072"/>
        <s v="Interest To Others"/>
        <s v="Internal Audit Fees (Khandelwal)"/>
        <s v="INTRATECH"/>
        <s v="J.S.M. Marketing, Nagpur"/>
        <s v="SHREE ENTERPRISES [ URD]"/>
        <s v="SHREE ENTERPRISES [WP]"/>
        <s v="JAGPIN BREWERIES LTD."/>
        <s v="JAI MAHALAXMI ENTERPRISES"/>
        <s v="Jai Mata Di Waste Paper"/>
        <s v="Jainam Multi-Product (India) Pvt Ltd"/>
        <s v="JANAKSONS &amp; COMPANY"/>
        <s v="Span Communications"/>
        <s v="Supreme Elmech Pvt. Ltd."/>
        <s v="Jarnailsingh Saini (Loan A/c)"/>
        <s v="JB Lightings"/>
        <s v="Jenson International"/>
        <s v="Jenson Trading Corporation"/>
        <s v="JIGAR TRADING COMPANY"/>
        <s v="JINDAL MEDICOSE, NAGPUR"/>
        <s v="Jitendra Nikhare"/>
        <s v="Jus Enterprises"/>
        <s v="K.R.V. Express"/>
        <s v="Kailash Kaur Jarnailsingh Saini"/>
        <s v="KARAN ENTERPRISES (WP)"/>
        <s v="KEDAR PAPER CONVERSIONS"/>
        <s v="Kunal Jain"/>
        <s v="L. A. Trading Company"/>
        <s v="L.I.C. Payable"/>
        <s v="Labour Welfare Fund"/>
        <s v="LAKHOTIYA TRADERS PVT. LTD."/>
        <s v="Lakhotiya Traders Pvt. Ltd. (Sale)"/>
        <s v="TAWAKKAL SCRAP"/>
        <s v="Lark Dyechem"/>
        <s v="Late Fee"/>
        <s v="Lc Charges"/>
        <s v="Leave Encashment"/>
        <s v="Leave Encashment Payable"/>
        <s v="Legal &amp; Proffessional  Charges"/>
        <s v="Lusha Print N Pack"/>
        <s v="Maa Tarini Traders"/>
        <s v="Machinery Exp for Boiler Material BED"/>
        <s v="Machinery Repair &amp; Maint Diesel Exp."/>
        <s v="Machinery Repair &amp; Maint To Electrical"/>
        <s v="Machinery Repair &amp; Maintenance"/>
        <s v="Mahalaxmi Fire Services, Nagpur"/>
        <s v="Maharashtra State Mining Corp. Ltd."/>
        <s v="Mahesh Mirashe"/>
        <s v="Makharia Machineries Pvt. Ltd."/>
        <s v="Manish Computer"/>
        <s v="Manohar Rewatkar"/>
        <s v="Manoj Gore"/>
        <s v="MAT Credit Entitlement (A.Y. 14-15)"/>
        <s v="Mat Credit Entitlement (A.Y. 2012-13)"/>
        <s v="MAT Credit Entitlement A.Y. 15-16"/>
        <s v="Mat Credit Entitlement A.Y.2018-19"/>
        <s v="MAT Credit Entitlement A.Y. 2019-2020"/>
        <s v="MAT Utilised (A.Y.13-14)"/>
        <s v="MCS Share Tranfer Agent Limited"/>
        <s v="Medical Aids To Staff"/>
        <s v="Membership &amp; Subscription"/>
        <s v="Metropolitan Stock Exchange of India(MSEI)"/>
        <s v="Mohd. Anish Abdul Aziz"/>
        <s v="MOHIT PAPER PACKAGING INDUSTRY"/>
        <s v="MSC Agency (India) Pvt. Ltd."/>
        <s v="MSC Mediterranean Shipping Company S.A."/>
        <s v="Nagpur Telangana Roadways"/>
        <s v="Narayan Auto Part Service"/>
        <s v="Narayan Prasad Warthi"/>
        <s v="NEWPORT CH INTERNATIONAL LLC"/>
        <s v="Nilkanth Nikhare"/>
        <s v="NINGBO KIN-LINK FRICTION CO. LTD.(Export)"/>
        <s v="Niraj Engineering Co. Pvt. Ltd"/>
        <s v="Niranjan Koche"/>
        <s v="Non -Eligible GST (Disallowed)"/>
        <s v="Non Receivable GST Prior Expenses"/>
        <s v="Non-Receivable Excise Expenses"/>
        <s v="Office Cleaning Charges"/>
        <s v="Office Electricity Charges"/>
        <s v="Office Electricity Payable"/>
        <s v="Office Equipment"/>
        <s v="Office Misc. Expenses"/>
        <s v="Office Rent"/>
        <s v="Office Tea &amp; Other Exp."/>
        <s v="OM SAI ENGINEERING"/>
        <s v="Opening Stock"/>
        <s v="ORIENTAL TRADING COMPANY"/>
        <s v="ORIGAMI CELLULO PVT.LTD."/>
        <s v="Other Charges : Chemical"/>
        <s v="Other Charges : Chemical (NON-GST)"/>
        <s v="Other Charges : Coal"/>
        <s v="Other Charges : M/c Repair &amp; Maint."/>
        <s v="Other Charges : Packing (Non-GST)"/>
        <s v="Other Charges : Packing Material"/>
        <s v="Other Charges :- Repair &amp; Maint Building"/>
        <s v="Other Charges : Vehicle Repair &amp; Maint."/>
        <s v="Other Import OCC Expenses"/>
        <s v="Other Professional Fees (Darak)"/>
        <s v="Other Professional Fees : (Shah Baheti)"/>
        <s v="Other Professional Fees : (Walter)"/>
        <s v="PACKING CHARGES"/>
        <s v="Packing Material Purchase"/>
        <s v="PACKSAFE"/>
        <s v="PANCHSHEEL TRADING CORPN., NAGPUR"/>
        <s v="Payable to Boiler Fireman Charges"/>
        <s v="Payable To Raw Material Sorting"/>
        <s v="Payable Waste Paper Feeding Charges"/>
        <s v="PENALTY ON CGST"/>
        <s v="Penalty on Custom Duty"/>
        <s v="Penalty on Excise Duty"/>
        <s v="PENALTY ON SGST"/>
        <s v="Penalty to Compliance (MSEI)"/>
        <s v="Plant &amp; Machinery"/>
        <s v="Pooja Atul Hurkat"/>
        <s v="Pooja Expenses"/>
        <s v="Power &amp; Electricity Payable"/>
        <s v="Power Incentive Received"/>
        <s v="PR GLOBAL RESOURCES INDIA PRIVATE  LIMITED"/>
        <s v="Pragathi Bearing Company"/>
        <s v="Prakash Chaple"/>
        <s v="PRANSHU PAPER PVT. LTD."/>
        <s v="Prayag Industries"/>
        <s v="Premier India Road Service, Nagpur"/>
        <s v="Pre-Paid Renewal &amp; Registration"/>
        <s v="Interest Receivable"/>
        <s v="PRIYANKA TECHNOPACK PVT. LTD."/>
        <s v="Professional Fees"/>
        <s v="Professional Tax"/>
        <s v="Profit &amp; Loss A/C"/>
        <s v="Other Comprehensive Income"/>
        <s v="Profit on Sale of Asset"/>
        <s v="Profit on Sales Tax Under P.S.I.Scheme"/>
        <s v="Provident Fund Contribution Exp."/>
        <s v="Provision for Acturial Gratuity"/>
        <s v="Provision for Depreciation Building"/>
        <s v="Provision For Depreciation Computer"/>
        <s v="Provision For Depreciation Electrical Installation"/>
        <s v="Provision for Depreciation Factory Building"/>
        <s v="Provision For Depreciation Furniture &amp; Fixture"/>
        <s v="Provision For Depreciation Office Equipment"/>
        <s v="Provision For Depreciation Plant &amp; Machinery"/>
        <s v="Provision For Depreciation Vehicle"/>
        <s v="Provision for I.T, A.Y.2017-18"/>
        <s v="Advance Income Tax (A.Y.2022-23)"/>
        <s v="Income Tax Receivable (Refund)"/>
        <s v="Interest on I.T. Refund A.Y. 2020-21"/>
        <s v="Provision For I.T. A.Y, 2005-06"/>
        <s v="Income Tax Refunf A.Y. 2020-21"/>
        <s v="Provision for I.T. A.Y, 2013-14"/>
        <s v="Provision for I.T. A.Y. 2008-09"/>
        <s v="Income Tax Receivable AY 2020-21"/>
        <s v="Provision for Income Tax (A.Y.2019-20)"/>
        <s v="Remuneration Payable"/>
        <s v="Provisions For Gratuity Payable"/>
        <s v="CSR Expenses payable"/>
        <s v="PSI Under Sales Tax Deferal Receivable"/>
        <s v="Punamchand &amp; Sons ( Jaliwala)"/>
        <s v="Punjab Machine Tools"/>
        <s v="Purchase Expenses : Chemical"/>
        <s v="Purchase Expenses : Coal"/>
        <s v="Purchase Expenses : Occ"/>
        <s v="Purchase Expenses : Packing Material"/>
        <s v="Purchase Expenses : Waste Paper"/>
        <s v="Purchase Import in Transit"/>
        <s v="Purchase Of Store"/>
        <s v="R &amp; Y LOGISTICS PVT. LTD"/>
        <s v="Agrawal Sales Corporation"/>
        <s v="R. R. Controls"/>
        <s v="R.A. KRAFT PAPERS LIMITED,"/>
        <s v="R.C.CORRUPACK PVT. LTD."/>
        <s v="R.S. Kraft Papers Ltd"/>
        <s v="Raghav Enterprises"/>
        <s v="Raghuvir Parmar"/>
        <s v="Rajesh Gas Agencies"/>
        <s v="RAMKRISHNA PAPER MART"/>
        <s v="Rate Difference : Coal Purchase"/>
        <s v="Rates &amp; Taxes"/>
        <s v="Ravi Trading Company"/>
        <s v="Ravindra Kumbhare"/>
        <s v="Raw Material Sorting Charges"/>
        <s v="RCM CGST PAYABLE"/>
        <s v="RCM IGST PAYABLE"/>
        <s v="RCM on IGST  (Inward Supply)"/>
        <s v="INPUT RCM ON CGST"/>
        <s v="INPUT RCM on IGST"/>
        <s v="RCM SGST PAYABLE"/>
        <s v="CGST @ 9% on OCC Expenses"/>
        <s v="INPUT RCM ON SGST"/>
        <s v="SGST @ 9% on OCC Expenses"/>
        <s v="Relief Lab Pvt. Ltd."/>
        <s v="KAILASH CHAND AGRAWAL(REMUNERATION)"/>
        <s v="Remuneration To Directors"/>
        <s v="Renewal &amp; Registration Expenses"/>
        <s v="Repair &amp; Maint. To Building"/>
        <s v="Repair &amp; Maintenance to Other Assets"/>
        <s v="Revaluation Reserve"/>
        <s v="ROC Filing Charges"/>
        <s v="ROUNAK STEEL"/>
        <s v="Round Offf"/>
        <s v="S.B.I. Dividend A/c 2011-12 [ A/C.NO. 32572411218]"/>
        <s v="S.B.I. Indl.Fin.Br. Trustee HPML Empl.G.G.Scheme"/>
        <s v="S.B.I. Term Loan ( 2 Cr) No. 35531440563"/>
        <s v="S.B.I. Term Loan A/c (033517180072)  4 Cr"/>
        <s v="S.B.I. Term Loan Additional (A/cNo.35294966669) 1.5"/>
        <s v="S.B.I. Term Loan New A/c (34484493547) 1.5 Cr"/>
        <s v="S.K.Gupta (P) Ltd,Nagpur"/>
        <s v="Sachin Dehankar"/>
        <s v="Safety Packagers (P) Ltd."/>
        <s v="Safexpress Pvt. Ltd."/>
        <s v="Saini Transport Co."/>
        <s v="Salary Payable"/>
        <s v="Salary to Company Secretary"/>
        <s v="Salary to G M (Gaurav Lakhotiya)"/>
        <s v="Salary To Factory Adm. Staff"/>
        <s v="Salary To Office Staff"/>
        <s v="Salary To Other Factory Staff"/>
        <s v="Sale Transit Insurance @0.30%"/>
        <s v="SALES A/C GST"/>
        <s v="Sales Return Account (GST Sales)"/>
        <s v="SALES TAX ASSESSMENT 2012-13"/>
        <s v="Sanjamkaur Saini"/>
        <s v="Sanjay Fulzele"/>
        <s v="Sanjay Tiwari"/>
        <s v="Saraswati General Stores, Nagpur"/>
        <s v="Sartaj Manindersingh Saini"/>
        <s v="Saurashtra Marketing Corporation"/>
        <s v="Securities Premium (351165@25)"/>
        <s v="Security Service Charges"/>
        <s v="SEZ SALE (SPECIAL ECONOMIC ZONE)"/>
        <s v="SGST @ 9% ON OTHER PURCHASE"/>
        <s v="SGST Payable ( F. Y. 2018-19)"/>
        <s v="SGST Payable ( F. Y. 2019-20 )"/>
        <s v="SGST PAYABLE (F.Y. 2017-18)"/>
        <s v="Shah Baheti Chandak &amp; Co."/>
        <s v="Shahnawaj Khan"/>
        <s v="Shalimar Wire Industries Limited"/>
        <s v="Shankar Traders (Sale)"/>
        <s v="Shankar Trading Company"/>
        <s v="SHARADCHANDRA P. SHAH AGENCY PVT. LTD. , MUMBAI"/>
        <s v="SHARP GRAPHICS"/>
        <s v="Shiba Sambhu Traders Odisha"/>
        <s v="SHIVAM TRADERS, NAGPUR"/>
        <s v="Short Provision Against Insu. Claim"/>
        <s v="Short Provision of Incentive/Bonus"/>
        <s v="SHREE FLEX PRINT PVT.LTD."/>
        <s v="SHREE INDUSTRIES"/>
        <s v="Shree Trade Links (Pkg)"/>
        <s v="Shri Balaji Tradelink"/>
        <s v="SHRI SIDDHIVINAYAKA ENTERPRISES(Comm)"/>
        <s v="Shriram Packers"/>
        <s v="SHUBH PACK"/>
        <s v="SHUBHAM ENTERPRISES"/>
        <s v="Site Development Expenses (Gardening)"/>
        <s v="SIZE REBATE"/>
        <s v="Snehlata A. Lakhotiya"/>
        <s v="Somani Packers"/>
        <s v="SREERAM PACKING INDUSTRIES"/>
        <s v="Staff Profession Tax Payable"/>
        <s v="Staff Welfare Expenses"/>
        <s v="State Bank Of India C.C.,Sme Br."/>
        <s v="State Compensation on Cess"/>
        <s v="Stationery &amp; Printing Charges"/>
        <s v="Statutory Audit Fees (Darak &amp; Asso)"/>
        <s v="Stock Audit Bank Charges"/>
        <s v="Sumed Borkar"/>
        <s v="Summit Agencies"/>
        <s v="SUNDARAM FINANCE LTD : N006700059(CAR Loan)"/>
        <s v="SUNDARAM FINANCE LTD :N006700064 (ForkLift)"/>
        <s v="SUNDARAM FINANCE LTD :N036300010 (Tractor)"/>
        <s v="SUNDER NAMKEEN"/>
        <s v="Sundry Balance W/Off"/>
        <s v="Sunil Enterprises (SALE)"/>
        <s v="Sunil Nate"/>
        <s v="Suryakant Sadawarti"/>
        <s v="SWASTIK PAPER BOX"/>
        <s v="Tanisha Resins P. Ltd., Nagpur"/>
        <s v="TDS  (A. Y. 2019-20)"/>
        <s v="Tds  Payable On  Professional"/>
        <s v="TCS Payable ON SALES ( 6 CR)"/>
        <s v="TDS (A. Y. 2020-21)"/>
        <s v="T.C.S. (A.Y.2020-21)"/>
        <s v="T C S F.Y. 2020-21"/>
        <s v="TCS on  CHEMICAL"/>
        <s v="TCS ON WP"/>
        <s v="TDS Excess Paid"/>
        <s v="TDS Excess Paid FY 15-16"/>
        <s v="Tds Payable  On Office Rent"/>
        <s v="TDS Payable Dealers Commission"/>
        <s v="TDS Payable on Commission"/>
        <s v="Tds Payable On Contractors"/>
        <s v="Tds Payable On Interest"/>
        <s v="Tds Payable On Salary"/>
        <s v="TDS Payable on Transporter"/>
        <s v="TDSPAYABLE ON REMUNERATION"/>
        <s v="Telephone Charges"/>
        <s v="Telephone Charges Payable"/>
        <s v="Testing &amp; Inspection Fees"/>
        <s v="Thakkar Agencies"/>
        <s v="Tilakraj Inderpal, Nagpur"/>
        <s v="Trade Discount"/>
        <s v="Travelling Expenses"/>
        <s v="Unipack"/>
        <s v="UNIPACK (SALE)"/>
        <s v="Urd Purchase  On Waste Paper"/>
        <s v="URD Purchase of Chemical"/>
        <s v="Ari Armaturen Steamline LLP,Pune"/>
        <s v="ARYAN PACKAGING INDUSTRIES"/>
        <s v="Balaji Medical Stores"/>
        <s v="CARRIAGE OUTWARD (SALE)"/>
        <s v="CGST @ 9% ON LOCAL WASTE PIPE"/>
        <s v="CGST PAYABLE (F.Y. 2021-22)"/>
        <s v="CGST RECEIVABLE (F.Y. 2021-2022)"/>
        <s v="Chaitanya Constructions"/>
        <s v="Choudhary Trading Company"/>
        <s v="Commission on Sales"/>
        <s v="Conquest Enterprises"/>
        <s v="CSR F.Y. 2019-20"/>
        <s v="CUSTOM DUTY A/C."/>
        <s v="Discount &amp; Billing Diff. On Sales"/>
        <s v="DP Papertech, Pune"/>
        <s v="Earlier Tax Paid"/>
        <s v="ELE+MECH ENGINEERING SOLUTIONS"/>
        <s v="For Addl.FD[MSEB] 2.5Lac: A/c 40198297304"/>
        <s v="FREIGHT CHARGES"/>
        <s v="Gaurav Lakhotiya (Loan A/c)"/>
        <s v="Global Technologies"/>
        <s v="Highrise Transformer"/>
        <s v="I G S T PAYABLE ( F. Y. 2021-22 )"/>
        <s v="I G S T RECEIVABLE ( F.Y. 2021-22 )"/>
        <s v="I-Kcal Systems Engineering LLP"/>
        <s v="Incentive/ Bonus to Contractor"/>
        <s v="Indian Machinery Store"/>
        <s v="Indian Traders"/>
        <s v="Insurance Claim Receivable"/>
        <s v="Interest On Local Body Tax"/>
        <s v="Interest to Bank on T/L ( 73 Lakhs)....9457"/>
        <s v="LAKHOTIYA TRADERS [WP]"/>
        <s v="NARESH CHARDE"/>
        <s v="Novelty Stores"/>
        <s v="OSWAL UDHYOG"/>
        <s v="Other Professional Fees : (AKRG)"/>
        <s v="Paharpur Cooling Towers Limited"/>
        <s v="Polypick Engineers Pvt. Ltd., Indore"/>
        <s v="Prakash Kupale"/>
        <s v="Pre-Operative Expenses on Elect Installation"/>
        <s v="Pre-Operative Exp. on Machinery"/>
        <s v="Pre-Operative (Intt &amp; Other ) Expenses"/>
        <s v="Pre-Operative Travelling Expenses"/>
        <s v="Provision for Income Tax (A.Y. 2021-22)"/>
        <s v="PURCHASE  OF HUSK"/>
        <s v="Rishi Kumar Yadav"/>
        <s v="RoDTEP (Export Incentive Scheme) Claim Receivable"/>
        <s v="R.S.KRAFT PAPERS PVT LTD"/>
        <s v="Satish Kalbande"/>
        <s v="S.B.I. ( COVID) A/C. 40590939457 (GECL30%) 73 Lakh"/>
        <s v="S. B I. TERM LOAN  ( 7.75 Cr) A/c 40667225452"/>
        <s v="Seema Enterprises [WP]"/>
        <s v="SGST @ 9 % ON LOCAL WASTE PIPE"/>
        <s v="SGST PAYABLE (F.Y.2021-22)"/>
        <s v="SGST RECEIVABLE (F.Y. 2021-22)"/>
        <s v="Short Paid Ag. Incentive Provision"/>
        <s v="SHRINIWAS ENTERPRISES"/>
        <s v="SHRI RAM PACKERS"/>
        <s v="S S Controls"/>
        <s v="Stamp Paper &amp; Notary Charges"/>
        <s v="Subhash Shirsagar"/>
        <s v="Sunil Nagose"/>
        <s v="T C S F. Y. 2021-22"/>
        <s v="TDS ( A.Y. 2022-23)"/>
        <s v="TDS Payable on Purchase (194Q)"/>
        <s v="Tds Receivable F.Y. 2021-22"/>
        <s v="VIJAY TRADERS WP"/>
        <s v="Vimta Labs Limited"/>
        <s v="W-I-P ELECTRICAL INSTALLATION"/>
        <s v="W - I - P Power Plant"/>
        <s v="Urd Purchase On Packing Material"/>
        <s v="UTSAV PAPER PRODUCTS"/>
        <s v="Uttam Shetty &amp; Co"/>
        <s v="Vaibhav Enterprises"/>
        <s v="Varuna Industries, Nagpur"/>
        <s v="VAT (Earlier Tax Paid ) F.Y. 16-17"/>
        <s v="VAT (Earlier Tax Paid ) F.Y. 17-18"/>
        <s v="VAT Tax Expenses"/>
        <s v="VAT Assessment Order 2014-15"/>
        <s v="VAT Audit Fees : (Shah Baheti)"/>
        <s v="Air Fans, Pune"/>
        <s v="Bank Inspection Charges"/>
        <s v="Bhupinder Singh Coal Depot"/>
        <s v="Butterfly"/>
        <s v="CGST PAYABLE ( F.Y. 2020-2021)"/>
        <s v="Dashmesh Dhaba (Kondhali Restaurnt)"/>
        <s v="D. V. &amp; Associates"/>
        <s v="Girish Murarka &amp; Co., Mumbai"/>
        <s v="IGST PAYABLE (F.Y. 2020- 2021)"/>
        <s v="Interest on GECLBank T/L (1.46 Cr).....1281"/>
        <s v="Jai Hanuman Industries, Nagpur"/>
        <s v="JAYSHREE INDUSTRIES"/>
        <s v="Lathia Rubber Mfg Co Pvt Ltd [Unit : Vapi]"/>
        <s v="MAERSK LINE INDIA PVT LTD"/>
        <s v="MODI INDUSTRIES"/>
        <s v="Monk Automation P. Ltd., Nashik"/>
        <s v="NAGPUR AUTO SERVICES"/>
        <s v="Provision for Income Tax (A.Y. 2020-21)"/>
        <s v="R.D. PATEL TABACCO BIDI WORKS PVT.LTD."/>
        <s v="S.A. ENTERPRISES"/>
        <s v="SATTIK PACKAGING PVT .LTD."/>
        <s v="S.B.I. ( GECL)  Term Loan A/c 39366011281(1.46 Cr)"/>
        <s v="SGST PAYABLE ( F.Y. 2019-20)"/>
        <s v="SGST RECEIVABLE F.Y. 2020-21"/>
        <s v="SGST PAYABLE (F.Y.2020-2021)"/>
        <s v="SHREE LAKSHMI PAPER TRADING"/>
        <s v="Vat for F. Y. 2015-16"/>
        <s v="VAT Payable ( F.Y. 16-17 )"/>
        <s v="VAT Payable (F.Y. 2017-18)"/>
        <s v="VAT Receivable  (F.Y. 14-15)"/>
        <s v="VEENA INDUSTRIES"/>
        <s v="Vehicle"/>
        <s v="Vehicle Diesel Expenses"/>
        <s v="Vehicle Repair &amp; Maintenance"/>
        <s v="Vertex Films Pvt. Ltd."/>
        <s v="Vidarbha Bearing &amp; Belting Co. P. Ltd."/>
        <s v="Vidhanis Tradelink Pvt. Ltd."/>
        <s v="Village Computer System, Nagpur"/>
        <s v="Visy Recycling"/>
        <s v="Voith Paper Fabrics India Ltd."/>
        <s v="Walkover Industries"/>
        <s v="Walter &amp; Associates, Mumbai"/>
        <s v="Waste Desposable Expenses"/>
        <s v="Waste Desposable Expenses(Plastic Dispose)"/>
        <s v="Waste Paper Feeding  Charges"/>
        <s v="Waste Paper Purchase"/>
        <s v="Western Coal Fields Ltd."/>
        <s v="W-I-P Building"/>
        <s v="W-I-P Plant &amp; Machinery"/>
        <s v="Worlds Window Wardha Infrastructure Pvt Ltd"/>
        <s v="Xerox Charges"/>
        <s v="Yadav Engineering"/>
        <s v="SUHANI ENTERPRISES"/>
        <s v="YASH COMMERCIALS"/>
        <s v="Kessels Engineering Works Pvt. Ltd."/>
        <s v="AAR Tech Engineering"/>
        <s v="Yash Electric Co."/>
        <s v="Zibo Huacheng Imp And Exp. Co. Ltd."/>
      </sharedItems>
    </cacheField>
    <cacheField name="Note" numFmtId="171">
      <sharedItems containsString="0" containsBlank="1" containsNumber="1" containsInteger="1" minValue="2" maxValue="27" count="27">
        <n v="17"/>
        <n v="6"/>
        <n v="4"/>
        <n v="11"/>
        <n v="27"/>
        <n v="10"/>
        <n v="9"/>
        <n v="13"/>
        <m/>
        <n v="22"/>
        <n v="26"/>
        <n v="2"/>
        <n v="12"/>
        <n v="7"/>
        <n v="19"/>
        <n v="23"/>
        <n v="15"/>
        <n v="3"/>
        <n v="14"/>
        <n v="25"/>
        <n v="21"/>
        <n v="20"/>
        <n v="18"/>
        <n v="8"/>
        <n v="16"/>
        <n v="5" u="1"/>
        <n v="24" u="1"/>
      </sharedItems>
    </cacheField>
    <cacheField name="BS Main Head" numFmtId="43">
      <sharedItems count="35">
        <s v="Trade Payables"/>
        <s v="Financial Assets"/>
        <s v="Other Non Current Assets"/>
        <s v="Current Tax Assets"/>
        <s v="Other - Selling &amp; Distribution Expenses"/>
        <s v="Other Current Assets"/>
        <s v="Other Financial Assets"/>
        <s v="Long Term Borrowings"/>
        <s v="Other - Establishment Expenses"/>
        <s v="Other Current Liabilities"/>
        <s v="Other Income"/>
        <s v="Finance Costs"/>
        <s v="Other - Manufacturing Expenses"/>
        <s v="Property, Plant and Equipment"/>
        <s v="Reserves &amp; Surplus"/>
        <s v="Cash and cash Equivalents"/>
        <s v="Raw Material Consumed"/>
        <s v="Deferred Tax Liabilities "/>
        <s v="Other Financial Assets - Non Current"/>
        <s v="Non Current - Provisions"/>
        <s v="Depreciation &amp; Amortisation"/>
        <s v="Employee Benefit Expenses"/>
        <s v="Revenue From Operations"/>
        <s v="Share Capital"/>
        <s v="Short Term Provisions"/>
        <s v="Other Financial Liabilities - Current"/>
        <s v="Long Term Loans &amp; Advances"/>
        <s v="opening stock"/>
        <s v="Short Term Provision"/>
        <s v="Short Term Borrowings"/>
        <s v="Other Expenses" u="1"/>
        <s v="Cash And Bank Balances" u="1"/>
        <s v="Fixed Assets" u="1"/>
        <s v="Trade Receivables" u="1"/>
        <s v="Short Term Loans &amp; Advances" u="1"/>
      </sharedItems>
    </cacheField>
    <cacheField name="BS Sub Head" numFmtId="43">
      <sharedItems count="124">
        <s v="Trade Payables - Others"/>
        <s v="Trade Payables"/>
        <s v="Trade Receivables"/>
        <s v="Advance For Capital Goods"/>
        <s v="Advance Income Tax"/>
        <s v="Advertisement Expenses"/>
        <s v="Advance to Suppliers"/>
        <s v="Loans and Advances to Employees"/>
        <s v="Unsecured-From Related Party"/>
        <s v="General Expenses"/>
        <s v="Listing Expenses"/>
        <s v="Trade Payables for capital goods"/>
        <s v="Assessment Refund"/>
        <s v="Audit Expenses"/>
        <s v="Scrape Sale"/>
        <s v="Bad Debts"/>
        <s v="Bank Commission &amp; Charges"/>
        <s v="CSR Expenses"/>
        <s v="Discount &amp; Commission"/>
        <s v="Other Borrowing Costs"/>
        <s v="Factory Expenses"/>
        <s v="Office Expenses"/>
        <s v="Tangible Asset"/>
        <s v="Capital Reserve"/>
        <s v="Rates &amp; Taxes"/>
        <s v="Repairs &amp; Maintainence - Machinery"/>
        <s v="Cash On Hand"/>
        <s v="GST"/>
        <s v="Raw Material Purchase"/>
        <s v="Power and Fuel"/>
        <s v="Legal and Professional Charges"/>
        <s v="Statutory Dues"/>
        <s v="Travelling and Conveyance Expense"/>
        <s v="Balance with Government Authorities"/>
        <s v="Deferred Tax Liability"/>
        <s v="Deposits"/>
        <s v="Long Term Deposits"/>
        <s v="Balance with Bank in Deposit Accounts"/>
        <s v="Provision for Employee Benefit"/>
        <s v="Depreciation"/>
        <s v="Salary &amp; Wages"/>
        <s v="Sale of Goods - Manufacturing Sales"/>
        <s v="Dividend Payable"/>
        <s v="Donation"/>
        <s v="Issued, Subscribed &amp; Paid Up"/>
        <s v="Contribution to Funds"/>
        <s v="Clearing &amp; Forwarding Expenses"/>
        <s v="Finished Goods Packing and Allied Charges"/>
        <s v="Foreign Exchange Fluctuation Gain on RM"/>
        <s v="General Reserve"/>
        <s v="Rent Expense"/>
        <s v="Insurance on Sales"/>
        <s v="Insurance Charges"/>
        <s v="Insurance claim Receivable"/>
        <s v="Prepaid Expenses"/>
        <s v="Interest Received"/>
        <s v="Earlier Year Taxes"/>
        <s v="Other Income"/>
        <s v="Interest Expenses"/>
        <s v="Interest Accrued but not due on Term Loans"/>
        <s v="Internal Audit Fees"/>
        <s v="MAT Credit Entitlement"/>
        <s v="Staff Welfare Expenses"/>
        <s v="opening stock"/>
        <s v="Packing Material Purchase"/>
        <s v="Repairs &amp; Maintainence - Others"/>
        <s v="Surplus"/>
        <s v="Profit on Sale of Asset"/>
        <s v="PSI Subsidy"/>
        <s v="Tangible Asset - PFD"/>
        <s v="CSR Expenses  Payable"/>
        <s v="Stores &amp; Spares Consumed"/>
        <s v="Raw Material Sorting Charges"/>
        <s v="Repairs &amp; Maintainence - Building"/>
        <s v="Balance With Bank - Other Bank Balance"/>
        <s v="Balance With Bank - Current A/c"/>
        <s v="Secured - From Banks - Term Loan"/>
        <s v="Employee Payables"/>
        <s v="Securities Premium"/>
        <s v="Security Service Charges"/>
        <s v="Secured - From Banks - Working Capital Loan"/>
        <s v="Printing &amp; Stationery"/>
        <s v="Statutory Audit Fees"/>
        <s v="Secured - From Other - Term Loan"/>
        <s v="Telephone Expenses"/>
        <s v="Freight on Sales"/>
        <s v="Commission on Sales"/>
        <s v="Capital WIP"/>
        <s v="Import Claim Receivable"/>
        <s v="Repairs &amp; Maintainence - Vehicle"/>
        <s v="Waste Paper Feeding Charges"/>
        <s v="Manufacturing Expenses - Security Service Charges" u="1"/>
        <s v="Other Debts - Export" u="1"/>
        <s v="Establishment Expenses-Printing &amp; Stationery" u="1"/>
        <s v="Selling &amp; Dist.-Advertisement Expenses" u="1"/>
        <s v="Other Current Liabilities" u="1"/>
        <s v="Manufacturin Expenses - FG Packing &amp; Allied Chgs" u="1"/>
        <s v="Manufacturing Expenses - Waste Paper Feeding Chgs" u="1"/>
        <s v="Manufacturin Expenses - RM Sorting Charges" u="1"/>
        <s v="Selling &amp; Dist.-Discount &amp; Commission" u="1"/>
        <s v="Manufacturing Expenses-Repairs &amp; Maintainence Machinery" u="1"/>
        <s v="Manufacturing Expenses - Power &amp; Fuel Consumed" u="1"/>
        <s v="Establishment Expenses-Legal &amp; Professional Charges" u="1"/>
        <s v="Other Debts" u="1"/>
        <s v="Manufacturing Expenses-Repairs &amp; Maintainence Building" u="1"/>
        <s v="Selling &amp; Dist.-Clearing &amp; Forwarding" u="1"/>
        <s v="Establishment Expenses-Rep. &amp; Maint. Vehicle" u="1"/>
        <s v="Establishment Expenses-CSR" u="1"/>
        <s v="Establishment Expenses-Bank Charges" u="1"/>
        <s v="Establishment Expenses-Auditors Remuneration" u="1"/>
        <s v="Establishment Expenses-Listing Expense" u="1"/>
        <s v="Establishment Expenses-General Expenses" u="1"/>
        <s v="Manufacturing Expenses - Factory Expenses" u="1"/>
        <s v="Interest Receivable" u="1"/>
        <s v="Establishment Expenses-Rep. &amp; Maint. Others" u="1"/>
        <s v="Establishment Expenses-Office Expenses" u="1"/>
        <s v="Manufacturing Expenses - Stores &amp; Spares Consumed" u="1"/>
        <s v="Establishment Expenses-Rent" u="1"/>
        <s v="Establishment Expenses-Insurance Charges" u="1"/>
        <s v="Establishment Expenses-Telephone Charges" u="1"/>
        <s v="Manufacturing Expenses - Packing Material Consumed" u="1"/>
        <s v="Selling &amp; Dist.-Insurance on Sales" u="1"/>
        <s v="Establishment Expenses-Travelling &amp; Conveyance" u="1"/>
        <s v="Establishment Expenses-Rates &amp; Taxes" u="1"/>
      </sharedItems>
    </cacheField>
    <cacheField name="Dr." numFmtId="43">
      <sharedItems containsSemiMixedTypes="0" containsString="0" containsNumber="1" minValue="0" maxValue="637901422.5"/>
    </cacheField>
    <cacheField name="Adj" numFmtId="43">
      <sharedItems containsSemiMixedTypes="0" containsString="0" containsNumber="1" containsInteger="1" minValue="0" maxValue="0"/>
    </cacheField>
    <cacheField name="Dr. Final 21-22" numFmtId="43">
      <sharedItems containsSemiMixedTypes="0" containsString="0" containsNumber="1" minValue="0" maxValue="637901422.5"/>
    </cacheField>
    <cacheField name="Cr." numFmtId="43">
      <sharedItems containsSemiMixedTypes="0" containsString="0" containsNumber="1" minValue="0" maxValue="996978842.14999998"/>
    </cacheField>
    <cacheField name="Adj2" numFmtId="43">
      <sharedItems containsSemiMixedTypes="0" containsString="0" containsNumber="1" containsInteger="1" minValue="0" maxValue="0"/>
    </cacheField>
    <cacheField name="Cr. Final 21-22" numFmtId="43">
      <sharedItems containsSemiMixedTypes="0" containsString="0" containsNumber="1" minValue="0" maxValue="996978842.14999998"/>
    </cacheField>
    <cacheField name="Dr. 2020-21" numFmtId="43">
      <sharedItems containsString="0" containsBlank="1" containsNumber="1" minValue="0" maxValue="384685059"/>
    </cacheField>
    <cacheField name="Adj3" numFmtId="43">
      <sharedItems containsString="0" containsBlank="1" containsNumber="1" containsInteger="1" minValue="-1255580" maxValue="280877"/>
    </cacheField>
    <cacheField name="Dr. Final 2020-21" numFmtId="43">
      <sharedItems containsString="0" containsBlank="1" containsNumber="1" minValue="-333919" maxValue="384685059"/>
    </cacheField>
    <cacheField name="Cr. 2020-21" numFmtId="43">
      <sharedItems containsString="0" containsBlank="1" containsNumber="1" minValue="0" maxValue="714551552.14999998"/>
    </cacheField>
    <cacheField name="Adj4" numFmtId="43">
      <sharedItems containsString="0" containsBlank="1" containsNumber="1" containsInteger="1" minValue="-1255580" maxValue="280877"/>
    </cacheField>
    <cacheField name="Cr. Final 2020-21" numFmtId="43">
      <sharedItems containsString="0" containsBlank="1" containsNumber="1" minValue="0" maxValue="714551552.149999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5">
  <r>
    <x v="0"/>
    <x v="0"/>
    <x v="0"/>
    <x v="0"/>
    <n v="0"/>
    <n v="0"/>
    <n v="0"/>
    <n v="63720"/>
    <n v="0"/>
    <n v="63720"/>
    <n v="0"/>
    <m/>
    <n v="0"/>
    <n v="156125"/>
    <m/>
    <n v="156125"/>
  </r>
  <r>
    <x v="1"/>
    <x v="0"/>
    <x v="0"/>
    <x v="0"/>
    <n v="0"/>
    <n v="0"/>
    <n v="0"/>
    <n v="0"/>
    <n v="0"/>
    <n v="0"/>
    <n v="0"/>
    <m/>
    <n v="0"/>
    <n v="247500"/>
    <m/>
    <n v="247500"/>
  </r>
  <r>
    <x v="2"/>
    <x v="0"/>
    <x v="0"/>
    <x v="1"/>
    <n v="0"/>
    <n v="0"/>
    <n v="0"/>
    <n v="0"/>
    <n v="0"/>
    <n v="0"/>
    <n v="0"/>
    <m/>
    <n v="0"/>
    <n v="0"/>
    <m/>
    <n v="0"/>
  </r>
  <r>
    <x v="3"/>
    <x v="0"/>
    <x v="0"/>
    <x v="1"/>
    <n v="0"/>
    <n v="0"/>
    <n v="0"/>
    <n v="0"/>
    <n v="0"/>
    <n v="0"/>
    <n v="0"/>
    <m/>
    <n v="0"/>
    <n v="4370857"/>
    <m/>
    <n v="4370857"/>
  </r>
  <r>
    <x v="4"/>
    <x v="0"/>
    <x v="0"/>
    <x v="1"/>
    <n v="0"/>
    <n v="0"/>
    <n v="0"/>
    <n v="377600"/>
    <n v="0"/>
    <n v="377600"/>
    <n v="0"/>
    <m/>
    <n v="0"/>
    <n v="377600"/>
    <m/>
    <n v="377600"/>
  </r>
  <r>
    <x v="5"/>
    <x v="0"/>
    <x v="0"/>
    <x v="0"/>
    <n v="0"/>
    <n v="0"/>
    <n v="0"/>
    <n v="0"/>
    <n v="0"/>
    <n v="0"/>
    <n v="20183"/>
    <m/>
    <n v="20183"/>
    <n v="0"/>
    <m/>
    <n v="0"/>
  </r>
  <r>
    <x v="6"/>
    <x v="0"/>
    <x v="0"/>
    <x v="0"/>
    <n v="0"/>
    <n v="0"/>
    <n v="0"/>
    <n v="0"/>
    <n v="0"/>
    <n v="0"/>
    <n v="0"/>
    <m/>
    <n v="0"/>
    <n v="25470"/>
    <m/>
    <n v="25470"/>
  </r>
  <r>
    <x v="7"/>
    <x v="0"/>
    <x v="0"/>
    <x v="0"/>
    <n v="0"/>
    <n v="0"/>
    <n v="0"/>
    <n v="14868"/>
    <n v="0"/>
    <n v="14868"/>
    <n v="0"/>
    <m/>
    <m/>
    <m/>
    <m/>
    <m/>
  </r>
  <r>
    <x v="8"/>
    <x v="0"/>
    <x v="0"/>
    <x v="0"/>
    <n v="0"/>
    <n v="0"/>
    <n v="0"/>
    <n v="0"/>
    <n v="0"/>
    <n v="0"/>
    <n v="0"/>
    <m/>
    <n v="0"/>
    <n v="2195"/>
    <m/>
    <n v="2195"/>
  </r>
  <r>
    <x v="9"/>
    <x v="1"/>
    <x v="1"/>
    <x v="2"/>
    <n v="1958488"/>
    <n v="0"/>
    <n v="1958488"/>
    <n v="0"/>
    <n v="0"/>
    <n v="0"/>
    <n v="173031"/>
    <m/>
    <n v="173031"/>
    <n v="0"/>
    <m/>
    <n v="0"/>
  </r>
  <r>
    <x v="10"/>
    <x v="1"/>
    <x v="1"/>
    <x v="2"/>
    <n v="10176297"/>
    <n v="0"/>
    <n v="10176297"/>
    <n v="0"/>
    <n v="0"/>
    <n v="0"/>
    <m/>
    <m/>
    <m/>
    <m/>
    <m/>
    <m/>
  </r>
  <r>
    <x v="11"/>
    <x v="0"/>
    <x v="0"/>
    <x v="1"/>
    <n v="0"/>
    <n v="0"/>
    <n v="0"/>
    <n v="0"/>
    <n v="0"/>
    <n v="0"/>
    <n v="0"/>
    <m/>
    <n v="0"/>
    <n v="0"/>
    <m/>
    <n v="0"/>
  </r>
  <r>
    <x v="12"/>
    <x v="0"/>
    <x v="0"/>
    <x v="1"/>
    <n v="0"/>
    <n v="0"/>
    <n v="0"/>
    <n v="0"/>
    <n v="0"/>
    <n v="0"/>
    <n v="0"/>
    <m/>
    <n v="0"/>
    <n v="401154"/>
    <m/>
    <n v="401154"/>
  </r>
  <r>
    <x v="13"/>
    <x v="0"/>
    <x v="0"/>
    <x v="1"/>
    <n v="0"/>
    <n v="0"/>
    <n v="0"/>
    <n v="85432"/>
    <n v="0"/>
    <n v="85432"/>
    <n v="0"/>
    <m/>
    <n v="0"/>
    <n v="204940"/>
    <m/>
    <n v="204940"/>
  </r>
  <r>
    <x v="14"/>
    <x v="0"/>
    <x v="0"/>
    <x v="1"/>
    <n v="0"/>
    <n v="0"/>
    <n v="0"/>
    <n v="2844884"/>
    <n v="0"/>
    <n v="2844884"/>
    <n v="0"/>
    <m/>
    <n v="0"/>
    <n v="1343333"/>
    <m/>
    <n v="1343333"/>
  </r>
  <r>
    <x v="15"/>
    <x v="0"/>
    <x v="0"/>
    <x v="1"/>
    <n v="0"/>
    <n v="0"/>
    <n v="0"/>
    <n v="782311"/>
    <n v="0"/>
    <n v="782311"/>
    <m/>
    <m/>
    <m/>
    <m/>
    <m/>
    <m/>
  </r>
  <r>
    <x v="16"/>
    <x v="0"/>
    <x v="0"/>
    <x v="1"/>
    <n v="0"/>
    <n v="0"/>
    <n v="0"/>
    <n v="0"/>
    <n v="0"/>
    <n v="0"/>
    <n v="0"/>
    <m/>
    <n v="0"/>
    <n v="379282"/>
    <m/>
    <n v="379282"/>
  </r>
  <r>
    <x v="17"/>
    <x v="0"/>
    <x v="0"/>
    <x v="1"/>
    <n v="0"/>
    <n v="0"/>
    <n v="0"/>
    <n v="4974989"/>
    <n v="0"/>
    <n v="4974989"/>
    <n v="0"/>
    <m/>
    <n v="0"/>
    <n v="2568965"/>
    <m/>
    <n v="2568965"/>
  </r>
  <r>
    <x v="18"/>
    <x v="0"/>
    <x v="0"/>
    <x v="1"/>
    <n v="0"/>
    <n v="0"/>
    <n v="0"/>
    <n v="0"/>
    <n v="0"/>
    <n v="0"/>
    <n v="0"/>
    <m/>
    <n v="0"/>
    <n v="334448"/>
    <m/>
    <n v="334448"/>
  </r>
  <r>
    <x v="19"/>
    <x v="0"/>
    <x v="0"/>
    <x v="0"/>
    <n v="0"/>
    <n v="0"/>
    <n v="0"/>
    <n v="0"/>
    <n v="0"/>
    <n v="0"/>
    <n v="10000"/>
    <m/>
    <n v="10000"/>
    <n v="0"/>
    <m/>
    <n v="0"/>
  </r>
  <r>
    <x v="20"/>
    <x v="0"/>
    <x v="0"/>
    <x v="0"/>
    <n v="0"/>
    <n v="0"/>
    <n v="0"/>
    <n v="0"/>
    <n v="0"/>
    <n v="0"/>
    <n v="0"/>
    <m/>
    <n v="0"/>
    <n v="0"/>
    <m/>
    <n v="0"/>
  </r>
  <r>
    <x v="21"/>
    <x v="0"/>
    <x v="0"/>
    <x v="0"/>
    <n v="0"/>
    <n v="0"/>
    <n v="0"/>
    <n v="0"/>
    <n v="0"/>
    <n v="0"/>
    <n v="0"/>
    <m/>
    <n v="0"/>
    <n v="50553"/>
    <m/>
    <n v="50553"/>
  </r>
  <r>
    <x v="22"/>
    <x v="0"/>
    <x v="0"/>
    <x v="0"/>
    <n v="0"/>
    <n v="0"/>
    <n v="0"/>
    <n v="0"/>
    <n v="0"/>
    <n v="0"/>
    <n v="0"/>
    <m/>
    <n v="0"/>
    <n v="0"/>
    <m/>
    <n v="0"/>
  </r>
  <r>
    <x v="23"/>
    <x v="2"/>
    <x v="2"/>
    <x v="3"/>
    <n v="1389464"/>
    <n v="0"/>
    <n v="1389464"/>
    <n v="0"/>
    <n v="0"/>
    <n v="0"/>
    <n v="0"/>
    <m/>
    <n v="0"/>
    <n v="0"/>
    <m/>
    <n v="0"/>
  </r>
  <r>
    <x v="24"/>
    <x v="0"/>
    <x v="0"/>
    <x v="0"/>
    <n v="0"/>
    <n v="0"/>
    <n v="0"/>
    <n v="0"/>
    <n v="0"/>
    <n v="0"/>
    <n v="0"/>
    <m/>
    <n v="0"/>
    <n v="82125"/>
    <m/>
    <n v="82125"/>
  </r>
  <r>
    <x v="25"/>
    <x v="0"/>
    <x v="0"/>
    <x v="0"/>
    <n v="0"/>
    <n v="0"/>
    <n v="0"/>
    <n v="0"/>
    <n v="0"/>
    <n v="0"/>
    <n v="0"/>
    <m/>
    <n v="0"/>
    <n v="3244"/>
    <m/>
    <n v="3244"/>
  </r>
  <r>
    <x v="26"/>
    <x v="0"/>
    <x v="0"/>
    <x v="0"/>
    <n v="0"/>
    <n v="0"/>
    <n v="0"/>
    <n v="0"/>
    <n v="0"/>
    <n v="0"/>
    <n v="0"/>
    <m/>
    <n v="0"/>
    <n v="117270"/>
    <m/>
    <n v="117270"/>
  </r>
  <r>
    <x v="27"/>
    <x v="0"/>
    <x v="0"/>
    <x v="0"/>
    <n v="0"/>
    <n v="0"/>
    <n v="0"/>
    <n v="0"/>
    <n v="0"/>
    <n v="0"/>
    <n v="0"/>
    <m/>
    <n v="0"/>
    <n v="0"/>
    <m/>
    <n v="0"/>
  </r>
  <r>
    <x v="28"/>
    <x v="0"/>
    <x v="0"/>
    <x v="0"/>
    <n v="0"/>
    <n v="0"/>
    <n v="0"/>
    <n v="0"/>
    <n v="0"/>
    <n v="0"/>
    <n v="0"/>
    <m/>
    <n v="0"/>
    <n v="32332"/>
    <m/>
    <n v="32332"/>
  </r>
  <r>
    <x v="29"/>
    <x v="0"/>
    <x v="0"/>
    <x v="0"/>
    <n v="0"/>
    <n v="0"/>
    <n v="0"/>
    <n v="0"/>
    <n v="0"/>
    <n v="0"/>
    <n v="0"/>
    <m/>
    <n v="0"/>
    <n v="4520"/>
    <m/>
    <n v="4520"/>
  </r>
  <r>
    <x v="30"/>
    <x v="3"/>
    <x v="3"/>
    <x v="4"/>
    <n v="0"/>
    <n v="0"/>
    <n v="0"/>
    <n v="0"/>
    <n v="0"/>
    <n v="0"/>
    <n v="0"/>
    <m/>
    <n v="0"/>
    <n v="0"/>
    <m/>
    <n v="0"/>
  </r>
  <r>
    <x v="31"/>
    <x v="3"/>
    <x v="3"/>
    <x v="4"/>
    <n v="0"/>
    <n v="0"/>
    <n v="0"/>
    <n v="0"/>
    <n v="0"/>
    <n v="0"/>
    <n v="12349"/>
    <m/>
    <n v="12349"/>
    <n v="0"/>
    <m/>
    <n v="0"/>
  </r>
  <r>
    <x v="32"/>
    <x v="3"/>
    <x v="3"/>
    <x v="4"/>
    <n v="0"/>
    <n v="0"/>
    <n v="0"/>
    <n v="0"/>
    <n v="0"/>
    <n v="0"/>
    <n v="0"/>
    <m/>
    <n v="0"/>
    <n v="0"/>
    <m/>
    <n v="0"/>
  </r>
  <r>
    <x v="33"/>
    <x v="3"/>
    <x v="3"/>
    <x v="4"/>
    <n v="0"/>
    <n v="0"/>
    <n v="0"/>
    <n v="0"/>
    <n v="0"/>
    <n v="0"/>
    <n v="13000000"/>
    <m/>
    <n v="13000000"/>
    <n v="0"/>
    <m/>
    <n v="0"/>
  </r>
  <r>
    <x v="34"/>
    <x v="4"/>
    <x v="4"/>
    <x v="5"/>
    <n v="125580"/>
    <n v="0"/>
    <n v="125580"/>
    <n v="0"/>
    <n v="0"/>
    <n v="0"/>
    <n v="69186"/>
    <m/>
    <n v="69186"/>
    <n v="0"/>
    <m/>
    <n v="0"/>
  </r>
  <r>
    <x v="35"/>
    <x v="1"/>
    <x v="1"/>
    <x v="2"/>
    <n v="1519590"/>
    <n v="0"/>
    <n v="1519590"/>
    <n v="0"/>
    <n v="0"/>
    <n v="0"/>
    <n v="3825310"/>
    <m/>
    <n v="3825310"/>
    <n v="0"/>
    <m/>
    <n v="0"/>
  </r>
  <r>
    <x v="36"/>
    <x v="1"/>
    <x v="1"/>
    <x v="2"/>
    <n v="451631"/>
    <n v="0"/>
    <n v="451631"/>
    <n v="0"/>
    <n v="0"/>
    <n v="0"/>
    <n v="3825310"/>
    <m/>
    <m/>
    <m/>
    <m/>
    <m/>
  </r>
  <r>
    <x v="37"/>
    <x v="0"/>
    <x v="0"/>
    <x v="0"/>
    <n v="0"/>
    <n v="0"/>
    <n v="0"/>
    <n v="0"/>
    <n v="0"/>
    <n v="0"/>
    <n v="0"/>
    <m/>
    <n v="0"/>
    <n v="0"/>
    <m/>
    <n v="0"/>
  </r>
  <r>
    <x v="38"/>
    <x v="1"/>
    <x v="1"/>
    <x v="2"/>
    <n v="0"/>
    <n v="0"/>
    <n v="0"/>
    <n v="0"/>
    <n v="0"/>
    <n v="0"/>
    <n v="3124400"/>
    <m/>
    <n v="3124400"/>
    <n v="0"/>
    <m/>
    <n v="0"/>
  </r>
  <r>
    <x v="39"/>
    <x v="1"/>
    <x v="1"/>
    <x v="2"/>
    <n v="5363383.43"/>
    <n v="0"/>
    <n v="5363383.43"/>
    <n v="0"/>
    <n v="0"/>
    <n v="0"/>
    <n v="7858026.4299999997"/>
    <m/>
    <n v="7858026.4299999997"/>
    <n v="0"/>
    <m/>
    <n v="0"/>
  </r>
  <r>
    <x v="40"/>
    <x v="5"/>
    <x v="5"/>
    <x v="6"/>
    <n v="0"/>
    <n v="0"/>
    <n v="0"/>
    <n v="0"/>
    <n v="0"/>
    <n v="0"/>
    <n v="0"/>
    <m/>
    <n v="0"/>
    <n v="0"/>
    <m/>
    <n v="0"/>
  </r>
  <r>
    <x v="41"/>
    <x v="0"/>
    <x v="0"/>
    <x v="0"/>
    <n v="0"/>
    <n v="0"/>
    <n v="0"/>
    <n v="0"/>
    <n v="0"/>
    <n v="0"/>
    <n v="0"/>
    <m/>
    <n v="0"/>
    <n v="33750"/>
    <m/>
    <n v="33750"/>
  </r>
  <r>
    <x v="42"/>
    <x v="5"/>
    <x v="5"/>
    <x v="6"/>
    <n v="0"/>
    <n v="0"/>
    <n v="0"/>
    <n v="0"/>
    <n v="0"/>
    <n v="0"/>
    <n v="0"/>
    <m/>
    <n v="0"/>
    <n v="0"/>
    <m/>
    <n v="0"/>
  </r>
  <r>
    <x v="43"/>
    <x v="0"/>
    <x v="0"/>
    <x v="1"/>
    <n v="0"/>
    <n v="0"/>
    <n v="0"/>
    <n v="0"/>
    <n v="0"/>
    <n v="0"/>
    <n v="0"/>
    <m/>
    <n v="0"/>
    <n v="0"/>
    <m/>
    <n v="0"/>
  </r>
  <r>
    <x v="44"/>
    <x v="6"/>
    <x v="6"/>
    <x v="7"/>
    <n v="0"/>
    <n v="0"/>
    <n v="0"/>
    <n v="0"/>
    <n v="0"/>
    <n v="0"/>
    <n v="11000"/>
    <m/>
    <n v="11000"/>
    <n v="0"/>
    <m/>
    <n v="0"/>
  </r>
  <r>
    <x v="45"/>
    <x v="6"/>
    <x v="6"/>
    <x v="7"/>
    <n v="0"/>
    <n v="0"/>
    <n v="0"/>
    <n v="0"/>
    <n v="0"/>
    <n v="0"/>
    <n v="5000"/>
    <m/>
    <n v="5000"/>
    <n v="0"/>
    <m/>
    <n v="0"/>
  </r>
  <r>
    <x v="46"/>
    <x v="6"/>
    <x v="6"/>
    <x v="7"/>
    <n v="1500"/>
    <n v="0"/>
    <n v="1500"/>
    <n v="0"/>
    <n v="0"/>
    <n v="0"/>
    <n v="2500"/>
    <m/>
    <n v="2500"/>
    <n v="0"/>
    <m/>
    <n v="0"/>
  </r>
  <r>
    <x v="47"/>
    <x v="6"/>
    <x v="6"/>
    <x v="7"/>
    <n v="0"/>
    <n v="0"/>
    <n v="0"/>
    <n v="0"/>
    <n v="0"/>
    <n v="0"/>
    <n v="4500"/>
    <m/>
    <n v="4500"/>
    <n v="0"/>
    <m/>
    <n v="0"/>
  </r>
  <r>
    <x v="48"/>
    <x v="6"/>
    <x v="6"/>
    <x v="7"/>
    <n v="62000"/>
    <n v="0"/>
    <n v="62000"/>
    <n v="0"/>
    <n v="0"/>
    <n v="0"/>
    <n v="12000"/>
    <m/>
    <n v="12000"/>
    <n v="0"/>
    <m/>
    <n v="0"/>
  </r>
  <r>
    <x v="49"/>
    <x v="6"/>
    <x v="6"/>
    <x v="7"/>
    <n v="0"/>
    <n v="0"/>
    <n v="0"/>
    <n v="0"/>
    <n v="0"/>
    <n v="0"/>
    <n v="1000"/>
    <m/>
    <n v="1000"/>
    <n v="0"/>
    <m/>
    <n v="0"/>
  </r>
  <r>
    <x v="50"/>
    <x v="6"/>
    <x v="6"/>
    <x v="7"/>
    <n v="0"/>
    <n v="0"/>
    <n v="0"/>
    <n v="0"/>
    <n v="0"/>
    <n v="0"/>
    <n v="0"/>
    <m/>
    <n v="0"/>
    <n v="0"/>
    <m/>
    <n v="0"/>
  </r>
  <r>
    <x v="51"/>
    <x v="6"/>
    <x v="6"/>
    <x v="7"/>
    <n v="0"/>
    <n v="0"/>
    <n v="0"/>
    <n v="0"/>
    <n v="0"/>
    <n v="0"/>
    <n v="0"/>
    <m/>
    <n v="0"/>
    <n v="0"/>
    <m/>
    <n v="0"/>
  </r>
  <r>
    <x v="52"/>
    <x v="0"/>
    <x v="0"/>
    <x v="1"/>
    <n v="0"/>
    <n v="0"/>
    <n v="0"/>
    <n v="0"/>
    <n v="0"/>
    <n v="0"/>
    <n v="0"/>
    <m/>
    <n v="0"/>
    <n v="0"/>
    <m/>
    <n v="0"/>
  </r>
  <r>
    <x v="53"/>
    <x v="0"/>
    <x v="0"/>
    <x v="1"/>
    <n v="0"/>
    <n v="0"/>
    <n v="0"/>
    <n v="0"/>
    <n v="0"/>
    <n v="0"/>
    <n v="0"/>
    <m/>
    <n v="0"/>
    <n v="0"/>
    <m/>
    <n v="0"/>
  </r>
  <r>
    <x v="54"/>
    <x v="0"/>
    <x v="0"/>
    <x v="1"/>
    <n v="0"/>
    <n v="0"/>
    <n v="0"/>
    <n v="141516"/>
    <n v="0"/>
    <n v="141516"/>
    <n v="0"/>
    <m/>
    <n v="0"/>
    <n v="68388"/>
    <m/>
    <n v="68388"/>
  </r>
  <r>
    <x v="55"/>
    <x v="0"/>
    <x v="0"/>
    <x v="1"/>
    <n v="0"/>
    <n v="0"/>
    <n v="0"/>
    <n v="0"/>
    <n v="0"/>
    <n v="0"/>
    <n v="6461"/>
    <m/>
    <n v="6461"/>
    <n v="0"/>
    <m/>
    <n v="0"/>
  </r>
  <r>
    <x v="56"/>
    <x v="0"/>
    <x v="0"/>
    <x v="1"/>
    <n v="0"/>
    <n v="0"/>
    <n v="0"/>
    <n v="0"/>
    <n v="0"/>
    <n v="0"/>
    <n v="0"/>
    <m/>
    <n v="0"/>
    <n v="0"/>
    <m/>
    <n v="0"/>
  </r>
  <r>
    <x v="57"/>
    <x v="1"/>
    <x v="1"/>
    <x v="2"/>
    <n v="0"/>
    <n v="0"/>
    <n v="0"/>
    <n v="0"/>
    <n v="0"/>
    <n v="0"/>
    <n v="0"/>
    <m/>
    <n v="0"/>
    <n v="0"/>
    <m/>
    <n v="0"/>
  </r>
  <r>
    <x v="58"/>
    <x v="1"/>
    <x v="1"/>
    <x v="2"/>
    <n v="0"/>
    <n v="0"/>
    <n v="0"/>
    <n v="0"/>
    <n v="0"/>
    <n v="0"/>
    <n v="0"/>
    <m/>
    <n v="0"/>
    <n v="0"/>
    <m/>
    <n v="0"/>
  </r>
  <r>
    <x v="59"/>
    <x v="1"/>
    <x v="1"/>
    <x v="2"/>
    <n v="0"/>
    <n v="0"/>
    <n v="0"/>
    <n v="0"/>
    <n v="0"/>
    <n v="0"/>
    <n v="0"/>
    <m/>
    <n v="0"/>
    <n v="0"/>
    <m/>
    <n v="0"/>
  </r>
  <r>
    <x v="60"/>
    <x v="1"/>
    <x v="1"/>
    <x v="2"/>
    <n v="0"/>
    <n v="0"/>
    <n v="0"/>
    <n v="0"/>
    <n v="0"/>
    <n v="0"/>
    <n v="0"/>
    <m/>
    <n v="0"/>
    <n v="34754"/>
    <m/>
    <n v="34754"/>
  </r>
  <r>
    <x v="61"/>
    <x v="1"/>
    <x v="1"/>
    <x v="2"/>
    <n v="1231667"/>
    <n v="0"/>
    <n v="1231667"/>
    <n v="0"/>
    <n v="0"/>
    <n v="0"/>
    <n v="0"/>
    <m/>
    <n v="0"/>
    <n v="0"/>
    <m/>
    <n v="0"/>
  </r>
  <r>
    <x v="62"/>
    <x v="1"/>
    <x v="1"/>
    <x v="2"/>
    <n v="0"/>
    <n v="0"/>
    <n v="0"/>
    <n v="0"/>
    <n v="0"/>
    <n v="0"/>
    <n v="3430"/>
    <m/>
    <n v="3430"/>
    <n v="0"/>
    <m/>
    <n v="0"/>
  </r>
  <r>
    <x v="63"/>
    <x v="1"/>
    <x v="1"/>
    <x v="2"/>
    <n v="0"/>
    <n v="0"/>
    <n v="0"/>
    <n v="0"/>
    <n v="0"/>
    <n v="0"/>
    <n v="890949"/>
    <m/>
    <n v="890949"/>
    <n v="0"/>
    <m/>
    <n v="0"/>
  </r>
  <r>
    <x v="64"/>
    <x v="0"/>
    <x v="0"/>
    <x v="0"/>
    <n v="0"/>
    <n v="0"/>
    <n v="0"/>
    <n v="41913"/>
    <n v="0"/>
    <n v="41913"/>
    <n v="0"/>
    <m/>
    <n v="0"/>
    <n v="0"/>
    <m/>
    <n v="0"/>
  </r>
  <r>
    <x v="65"/>
    <x v="0"/>
    <x v="0"/>
    <x v="0"/>
    <n v="0"/>
    <n v="0"/>
    <n v="0"/>
    <n v="0"/>
    <n v="0"/>
    <n v="0"/>
    <n v="0"/>
    <m/>
    <n v="0"/>
    <n v="0"/>
    <m/>
    <n v="0"/>
  </r>
  <r>
    <x v="66"/>
    <x v="0"/>
    <x v="0"/>
    <x v="0"/>
    <n v="0"/>
    <n v="0"/>
    <n v="0"/>
    <n v="0"/>
    <n v="0"/>
    <n v="0"/>
    <n v="0"/>
    <m/>
    <n v="0"/>
    <n v="58240"/>
    <m/>
    <n v="58240"/>
  </r>
  <r>
    <x v="67"/>
    <x v="0"/>
    <x v="0"/>
    <x v="0"/>
    <n v="0"/>
    <n v="0"/>
    <n v="0"/>
    <n v="0"/>
    <n v="0"/>
    <n v="0"/>
    <n v="0"/>
    <m/>
    <n v="0"/>
    <n v="0"/>
    <m/>
    <n v="0"/>
  </r>
  <r>
    <x v="68"/>
    <x v="5"/>
    <x v="5"/>
    <x v="6"/>
    <n v="0"/>
    <n v="0"/>
    <n v="0"/>
    <n v="0"/>
    <n v="0"/>
    <n v="0"/>
    <n v="0"/>
    <m/>
    <n v="0"/>
    <n v="0"/>
    <m/>
    <n v="0"/>
  </r>
  <r>
    <x v="69"/>
    <x v="0"/>
    <x v="0"/>
    <x v="0"/>
    <n v="0"/>
    <n v="0"/>
    <n v="0"/>
    <n v="0"/>
    <n v="0"/>
    <n v="0"/>
    <n v="0"/>
    <m/>
    <n v="0"/>
    <n v="0"/>
    <m/>
    <n v="0"/>
  </r>
  <r>
    <x v="70"/>
    <x v="0"/>
    <x v="0"/>
    <x v="0"/>
    <n v="0"/>
    <n v="0"/>
    <n v="0"/>
    <n v="0"/>
    <n v="0"/>
    <n v="0"/>
    <n v="0"/>
    <m/>
    <n v="0"/>
    <n v="0"/>
    <m/>
    <n v="0"/>
  </r>
  <r>
    <x v="71"/>
    <x v="7"/>
    <x v="7"/>
    <x v="8"/>
    <n v="0"/>
    <n v="0"/>
    <n v="0"/>
    <n v="2535850"/>
    <n v="0"/>
    <n v="2535850"/>
    <n v="0"/>
    <m/>
    <n v="0"/>
    <n v="2353055"/>
    <m/>
    <n v="2353055"/>
  </r>
  <r>
    <x v="72"/>
    <x v="0"/>
    <x v="0"/>
    <x v="0"/>
    <n v="0"/>
    <n v="0"/>
    <n v="0"/>
    <n v="0"/>
    <n v="0"/>
    <n v="0"/>
    <n v="0"/>
    <m/>
    <n v="0"/>
    <n v="0"/>
    <m/>
    <n v="0"/>
  </r>
  <r>
    <x v="73"/>
    <x v="7"/>
    <x v="7"/>
    <x v="8"/>
    <n v="0"/>
    <n v="0"/>
    <n v="0"/>
    <n v="1010842"/>
    <n v="0"/>
    <n v="1010842"/>
    <n v="0"/>
    <m/>
    <n v="0"/>
    <n v="941222"/>
    <m/>
    <n v="941222"/>
  </r>
  <r>
    <x v="74"/>
    <x v="0"/>
    <x v="0"/>
    <x v="1"/>
    <n v="0"/>
    <n v="0"/>
    <n v="0"/>
    <n v="0"/>
    <n v="0"/>
    <n v="0"/>
    <n v="0"/>
    <m/>
    <n v="0"/>
    <n v="0"/>
    <m/>
    <n v="0"/>
  </r>
  <r>
    <x v="75"/>
    <x v="4"/>
    <x v="8"/>
    <x v="9"/>
    <n v="148357"/>
    <n v="0"/>
    <n v="148357"/>
    <n v="0"/>
    <n v="0"/>
    <n v="0"/>
    <n v="116330"/>
    <m/>
    <n v="116330"/>
    <n v="0"/>
    <m/>
    <n v="0"/>
  </r>
  <r>
    <x v="76"/>
    <x v="4"/>
    <x v="8"/>
    <x v="9"/>
    <n v="0"/>
    <n v="0"/>
    <n v="0"/>
    <n v="0"/>
    <n v="0"/>
    <n v="0"/>
    <n v="1353054"/>
    <m/>
    <n v="1353054"/>
    <n v="0"/>
    <m/>
    <n v="0"/>
  </r>
  <r>
    <x v="77"/>
    <x v="4"/>
    <x v="8"/>
    <x v="9"/>
    <n v="0"/>
    <n v="0"/>
    <n v="0"/>
    <n v="0"/>
    <n v="0"/>
    <n v="0"/>
    <n v="31846"/>
    <m/>
    <n v="31846"/>
    <n v="0"/>
    <m/>
    <n v="0"/>
  </r>
  <r>
    <x v="78"/>
    <x v="4"/>
    <x v="8"/>
    <x v="9"/>
    <n v="0"/>
    <n v="0"/>
    <n v="0"/>
    <n v="0"/>
    <n v="0"/>
    <n v="0"/>
    <n v="0"/>
    <m/>
    <n v="0"/>
    <n v="0"/>
    <m/>
    <n v="0"/>
  </r>
  <r>
    <x v="79"/>
    <x v="4"/>
    <x v="8"/>
    <x v="9"/>
    <n v="12424"/>
    <n v="0"/>
    <n v="12424"/>
    <n v="0"/>
    <n v="0"/>
    <n v="0"/>
    <n v="19000"/>
    <m/>
    <n v="19000"/>
    <n v="0"/>
    <m/>
    <n v="0"/>
  </r>
  <r>
    <x v="80"/>
    <x v="4"/>
    <x v="8"/>
    <x v="10"/>
    <n v="55000"/>
    <n v="0"/>
    <n v="55000"/>
    <n v="0"/>
    <n v="0"/>
    <n v="0"/>
    <n v="9000"/>
    <m/>
    <n v="9000"/>
    <n v="0"/>
    <m/>
    <n v="0"/>
  </r>
  <r>
    <x v="81"/>
    <x v="4"/>
    <x v="8"/>
    <x v="10"/>
    <n v="48000"/>
    <n v="0"/>
    <n v="48000"/>
    <n v="0"/>
    <n v="0"/>
    <n v="0"/>
    <n v="0"/>
    <m/>
    <n v="0"/>
    <n v="0"/>
    <m/>
    <n v="0"/>
  </r>
  <r>
    <x v="82"/>
    <x v="8"/>
    <x v="9"/>
    <x v="11"/>
    <n v="0"/>
    <n v="0"/>
    <n v="0"/>
    <n v="0"/>
    <n v="0"/>
    <n v="0"/>
    <n v="0"/>
    <m/>
    <n v="0"/>
    <n v="0"/>
    <m/>
    <n v="0"/>
  </r>
  <r>
    <x v="83"/>
    <x v="8"/>
    <x v="9"/>
    <x v="11"/>
    <n v="0"/>
    <n v="0"/>
    <n v="0"/>
    <n v="0"/>
    <n v="0"/>
    <n v="0"/>
    <n v="0"/>
    <m/>
    <n v="0"/>
    <n v="0"/>
    <m/>
    <n v="0"/>
  </r>
  <r>
    <x v="84"/>
    <x v="5"/>
    <x v="5"/>
    <x v="6"/>
    <n v="0"/>
    <n v="0"/>
    <n v="0"/>
    <n v="0"/>
    <n v="0"/>
    <n v="0"/>
    <n v="0"/>
    <m/>
    <n v="0"/>
    <n v="0"/>
    <m/>
    <n v="0"/>
  </r>
  <r>
    <x v="85"/>
    <x v="1"/>
    <x v="1"/>
    <x v="2"/>
    <n v="0"/>
    <n v="0"/>
    <n v="0"/>
    <n v="0"/>
    <n v="0"/>
    <n v="0"/>
    <n v="0"/>
    <m/>
    <n v="0"/>
    <n v="0"/>
    <m/>
    <n v="0"/>
  </r>
  <r>
    <x v="86"/>
    <x v="1"/>
    <x v="1"/>
    <x v="2"/>
    <n v="0"/>
    <n v="0"/>
    <n v="0"/>
    <n v="0"/>
    <n v="0"/>
    <n v="0"/>
    <n v="0"/>
    <m/>
    <n v="0"/>
    <n v="0"/>
    <m/>
    <n v="0"/>
  </r>
  <r>
    <x v="87"/>
    <x v="0"/>
    <x v="0"/>
    <x v="1"/>
    <n v="0"/>
    <n v="0"/>
    <n v="0"/>
    <n v="0"/>
    <n v="0"/>
    <n v="0"/>
    <n v="0"/>
    <m/>
    <n v="0"/>
    <n v="0"/>
    <m/>
    <n v="0"/>
  </r>
  <r>
    <x v="88"/>
    <x v="0"/>
    <x v="0"/>
    <x v="0"/>
    <n v="0"/>
    <n v="0"/>
    <n v="0"/>
    <n v="0"/>
    <n v="0"/>
    <n v="0"/>
    <n v="0"/>
    <m/>
    <n v="0"/>
    <n v="0"/>
    <m/>
    <n v="0"/>
  </r>
  <r>
    <x v="89"/>
    <x v="8"/>
    <x v="10"/>
    <x v="12"/>
    <n v="0"/>
    <n v="0"/>
    <n v="0"/>
    <n v="0"/>
    <n v="0"/>
    <n v="0"/>
    <n v="0"/>
    <m/>
    <n v="0"/>
    <n v="0"/>
    <m/>
    <n v="0"/>
  </r>
  <r>
    <x v="90"/>
    <x v="0"/>
    <x v="0"/>
    <x v="1"/>
    <n v="0"/>
    <n v="0"/>
    <n v="0"/>
    <n v="0"/>
    <n v="0"/>
    <n v="0"/>
    <n v="0"/>
    <m/>
    <n v="0"/>
    <n v="0"/>
    <m/>
    <n v="0"/>
  </r>
  <r>
    <x v="91"/>
    <x v="4"/>
    <x v="8"/>
    <x v="13"/>
    <n v="762"/>
    <n v="0"/>
    <n v="762"/>
    <n v="0"/>
    <n v="0"/>
    <n v="0"/>
    <n v="0"/>
    <m/>
    <n v="0"/>
    <n v="0"/>
    <m/>
    <n v="0"/>
  </r>
  <r>
    <x v="92"/>
    <x v="4"/>
    <x v="8"/>
    <x v="13"/>
    <n v="0"/>
    <n v="0"/>
    <n v="0"/>
    <n v="0"/>
    <n v="0"/>
    <n v="0"/>
    <n v="4000"/>
    <m/>
    <n v="4000"/>
    <n v="0"/>
    <m/>
    <n v="0"/>
  </r>
  <r>
    <x v="93"/>
    <x v="4"/>
    <x v="8"/>
    <x v="13"/>
    <n v="0"/>
    <n v="0"/>
    <n v="0"/>
    <n v="0"/>
    <n v="0"/>
    <n v="0"/>
    <n v="0"/>
    <m/>
    <n v="0"/>
    <n v="0"/>
    <m/>
    <n v="0"/>
  </r>
  <r>
    <x v="94"/>
    <x v="4"/>
    <x v="8"/>
    <x v="13"/>
    <n v="0"/>
    <n v="0"/>
    <n v="0"/>
    <n v="0"/>
    <n v="0"/>
    <n v="0"/>
    <n v="0"/>
    <m/>
    <n v="0"/>
    <n v="0"/>
    <m/>
    <n v="0"/>
  </r>
  <r>
    <x v="95"/>
    <x v="0"/>
    <x v="0"/>
    <x v="0"/>
    <n v="0"/>
    <n v="0"/>
    <n v="0"/>
    <n v="247500"/>
    <n v="0"/>
    <n v="247500"/>
    <n v="0"/>
    <m/>
    <n v="0"/>
    <n v="0"/>
    <m/>
    <n v="0"/>
  </r>
  <r>
    <x v="96"/>
    <x v="0"/>
    <x v="0"/>
    <x v="0"/>
    <n v="0"/>
    <n v="0"/>
    <n v="0"/>
    <n v="0"/>
    <n v="0"/>
    <n v="0"/>
    <n v="36037"/>
    <m/>
    <n v="36037"/>
    <n v="0"/>
    <m/>
    <n v="0"/>
  </r>
  <r>
    <x v="97"/>
    <x v="0"/>
    <x v="0"/>
    <x v="0"/>
    <n v="0"/>
    <n v="0"/>
    <n v="0"/>
    <n v="0"/>
    <n v="0"/>
    <n v="0"/>
    <n v="0"/>
    <m/>
    <n v="0"/>
    <n v="0"/>
    <m/>
    <n v="0"/>
  </r>
  <r>
    <x v="98"/>
    <x v="0"/>
    <x v="0"/>
    <x v="0"/>
    <n v="0"/>
    <n v="0"/>
    <n v="0"/>
    <n v="0"/>
    <n v="0"/>
    <n v="0"/>
    <n v="0"/>
    <m/>
    <n v="0"/>
    <n v="0"/>
    <m/>
    <n v="0"/>
  </r>
  <r>
    <x v="99"/>
    <x v="0"/>
    <x v="0"/>
    <x v="0"/>
    <n v="0"/>
    <n v="0"/>
    <n v="0"/>
    <n v="0"/>
    <n v="0"/>
    <n v="0"/>
    <n v="0"/>
    <m/>
    <n v="0"/>
    <n v="0"/>
    <m/>
    <n v="0"/>
  </r>
  <r>
    <x v="100"/>
    <x v="0"/>
    <x v="0"/>
    <x v="0"/>
    <n v="0"/>
    <n v="0"/>
    <n v="0"/>
    <n v="0"/>
    <n v="0"/>
    <n v="0"/>
    <n v="0"/>
    <m/>
    <n v="0"/>
    <n v="0"/>
    <m/>
    <n v="0"/>
  </r>
  <r>
    <x v="101"/>
    <x v="5"/>
    <x v="5"/>
    <x v="6"/>
    <n v="0"/>
    <n v="0"/>
    <n v="0"/>
    <n v="0"/>
    <n v="0"/>
    <n v="0"/>
    <n v="57713"/>
    <m/>
    <n v="57713"/>
    <n v="0"/>
    <m/>
    <n v="0"/>
  </r>
  <r>
    <x v="102"/>
    <x v="0"/>
    <x v="0"/>
    <x v="0"/>
    <n v="0"/>
    <n v="0"/>
    <n v="0"/>
    <n v="0"/>
    <n v="0"/>
    <n v="0"/>
    <n v="0"/>
    <m/>
    <n v="0"/>
    <n v="0"/>
    <m/>
    <n v="0"/>
  </r>
  <r>
    <x v="103"/>
    <x v="0"/>
    <x v="0"/>
    <x v="0"/>
    <n v="0"/>
    <n v="0"/>
    <n v="0"/>
    <n v="0"/>
    <n v="0"/>
    <n v="0"/>
    <n v="0"/>
    <m/>
    <n v="0"/>
    <n v="0"/>
    <m/>
    <n v="0"/>
  </r>
  <r>
    <x v="104"/>
    <x v="9"/>
    <x v="10"/>
    <x v="14"/>
    <n v="0"/>
    <n v="0"/>
    <n v="0"/>
    <n v="0"/>
    <n v="0"/>
    <n v="0"/>
    <n v="0"/>
    <m/>
    <n v="0"/>
    <n v="25865"/>
    <m/>
    <n v="25865"/>
  </r>
  <r>
    <x v="105"/>
    <x v="0"/>
    <x v="0"/>
    <x v="0"/>
    <n v="0"/>
    <n v="0"/>
    <n v="0"/>
    <n v="0"/>
    <n v="0"/>
    <n v="0"/>
    <n v="0"/>
    <m/>
    <n v="0"/>
    <n v="0"/>
    <m/>
    <n v="0"/>
  </r>
  <r>
    <x v="106"/>
    <x v="0"/>
    <x v="0"/>
    <x v="0"/>
    <n v="0"/>
    <n v="0"/>
    <n v="0"/>
    <n v="0"/>
    <n v="0"/>
    <n v="0"/>
    <n v="0"/>
    <m/>
    <n v="0"/>
    <n v="0"/>
    <m/>
    <n v="0"/>
  </r>
  <r>
    <x v="107"/>
    <x v="4"/>
    <x v="8"/>
    <x v="15"/>
    <n v="6461"/>
    <n v="0"/>
    <n v="6461"/>
    <n v="0"/>
    <n v="0"/>
    <n v="0"/>
    <n v="0"/>
    <m/>
    <n v="0"/>
    <n v="0"/>
    <m/>
    <n v="0"/>
  </r>
  <r>
    <x v="108"/>
    <x v="0"/>
    <x v="0"/>
    <x v="1"/>
    <n v="0"/>
    <n v="0"/>
    <n v="0"/>
    <n v="96676.08"/>
    <n v="0"/>
    <n v="96676.08"/>
    <n v="0"/>
    <m/>
    <n v="0"/>
    <n v="61249"/>
    <m/>
    <n v="61249"/>
  </r>
  <r>
    <x v="109"/>
    <x v="7"/>
    <x v="7"/>
    <x v="8"/>
    <n v="0"/>
    <n v="0"/>
    <n v="0"/>
    <n v="1263552"/>
    <n v="0"/>
    <n v="1263552"/>
    <n v="0"/>
    <m/>
    <n v="0"/>
    <n v="1176528"/>
    <m/>
    <n v="1176528"/>
  </r>
  <r>
    <x v="110"/>
    <x v="4"/>
    <x v="8"/>
    <x v="16"/>
    <n v="458584.8"/>
    <n v="0"/>
    <n v="458584.8"/>
    <n v="0"/>
    <n v="0"/>
    <n v="0"/>
    <n v="134911.04000000001"/>
    <m/>
    <n v="134911.04000000001"/>
    <n v="0"/>
    <m/>
    <n v="0"/>
  </r>
  <r>
    <x v="111"/>
    <x v="4"/>
    <x v="8"/>
    <x v="17"/>
    <n v="956688"/>
    <n v="0"/>
    <n v="956688"/>
    <n v="0"/>
    <n v="0"/>
    <n v="0"/>
    <n v="629000"/>
    <n v="280877"/>
    <n v="909877"/>
    <n v="0"/>
    <m/>
    <n v="0"/>
  </r>
  <r>
    <x v="112"/>
    <x v="4"/>
    <x v="4"/>
    <x v="18"/>
    <n v="0"/>
    <n v="0"/>
    <n v="0"/>
    <n v="0"/>
    <n v="0"/>
    <n v="0"/>
    <n v="313371"/>
    <m/>
    <n v="313371"/>
    <n v="0"/>
    <m/>
    <n v="0"/>
  </r>
  <r>
    <x v="113"/>
    <x v="4"/>
    <x v="8"/>
    <x v="16"/>
    <n v="56000"/>
    <n v="0"/>
    <n v="56000"/>
    <n v="0"/>
    <n v="0"/>
    <n v="0"/>
    <n v="91200"/>
    <m/>
    <n v="91200"/>
    <n v="0"/>
    <m/>
    <n v="0"/>
  </r>
  <r>
    <x v="114"/>
    <x v="10"/>
    <x v="11"/>
    <x v="19"/>
    <n v="243852"/>
    <n v="0"/>
    <n v="243852"/>
    <n v="0"/>
    <n v="0"/>
    <n v="0"/>
    <n v="97878"/>
    <m/>
    <n v="97878"/>
    <n v="0"/>
    <m/>
    <n v="0"/>
  </r>
  <r>
    <x v="115"/>
    <x v="10"/>
    <x v="11"/>
    <x v="19"/>
    <n v="0"/>
    <n v="0"/>
    <n v="0"/>
    <n v="0"/>
    <n v="0"/>
    <n v="0"/>
    <n v="274305"/>
    <m/>
    <n v="274305"/>
    <n v="0"/>
    <m/>
    <n v="0"/>
  </r>
  <r>
    <x v="116"/>
    <x v="0"/>
    <x v="0"/>
    <x v="1"/>
    <n v="0"/>
    <n v="0"/>
    <n v="0"/>
    <n v="0"/>
    <n v="0"/>
    <n v="0"/>
    <n v="0"/>
    <m/>
    <n v="0"/>
    <n v="262245"/>
    <m/>
    <n v="262245"/>
  </r>
  <r>
    <x v="117"/>
    <x v="0"/>
    <x v="0"/>
    <x v="1"/>
    <n v="0"/>
    <n v="0"/>
    <n v="0"/>
    <n v="57396"/>
    <n v="0"/>
    <n v="57396"/>
    <n v="0"/>
    <m/>
    <n v="0"/>
    <n v="209878"/>
    <m/>
    <n v="209878"/>
  </r>
  <r>
    <x v="118"/>
    <x v="0"/>
    <x v="0"/>
    <x v="1"/>
    <n v="0"/>
    <n v="0"/>
    <n v="0"/>
    <n v="0"/>
    <n v="0"/>
    <n v="0"/>
    <n v="0"/>
    <m/>
    <n v="0"/>
    <n v="0"/>
    <m/>
    <n v="0"/>
  </r>
  <r>
    <x v="119"/>
    <x v="1"/>
    <x v="1"/>
    <x v="2"/>
    <n v="0"/>
    <n v="0"/>
    <n v="0"/>
    <n v="0"/>
    <n v="0"/>
    <n v="0"/>
    <n v="0"/>
    <m/>
    <n v="0"/>
    <n v="0"/>
    <m/>
    <n v="0"/>
  </r>
  <r>
    <x v="120"/>
    <x v="1"/>
    <x v="1"/>
    <x v="2"/>
    <n v="0"/>
    <n v="0"/>
    <n v="0"/>
    <n v="0"/>
    <n v="0"/>
    <n v="0"/>
    <n v="0"/>
    <m/>
    <n v="0"/>
    <n v="0"/>
    <m/>
    <n v="0"/>
  </r>
  <r>
    <x v="121"/>
    <x v="1"/>
    <x v="1"/>
    <x v="2"/>
    <n v="0"/>
    <n v="0"/>
    <n v="0"/>
    <n v="0"/>
    <n v="0"/>
    <n v="0"/>
    <n v="0"/>
    <m/>
    <n v="0"/>
    <n v="0"/>
    <m/>
    <n v="0"/>
  </r>
  <r>
    <x v="122"/>
    <x v="1"/>
    <x v="1"/>
    <x v="2"/>
    <n v="2902069"/>
    <n v="0"/>
    <n v="2902069"/>
    <n v="0"/>
    <n v="0"/>
    <n v="0"/>
    <n v="1585664"/>
    <m/>
    <n v="1585664"/>
    <n v="0"/>
    <m/>
    <n v="0"/>
  </r>
  <r>
    <x v="123"/>
    <x v="1"/>
    <x v="1"/>
    <x v="2"/>
    <n v="0"/>
    <n v="0"/>
    <n v="0"/>
    <n v="0"/>
    <n v="0"/>
    <n v="0"/>
    <n v="0"/>
    <m/>
    <n v="0"/>
    <n v="0"/>
    <m/>
    <n v="0"/>
  </r>
  <r>
    <x v="124"/>
    <x v="1"/>
    <x v="1"/>
    <x v="2"/>
    <n v="0"/>
    <n v="0"/>
    <n v="0"/>
    <n v="0"/>
    <n v="0"/>
    <n v="0"/>
    <n v="0"/>
    <m/>
    <n v="0"/>
    <n v="0"/>
    <m/>
    <n v="0"/>
  </r>
  <r>
    <x v="125"/>
    <x v="6"/>
    <x v="6"/>
    <x v="7"/>
    <n v="5000"/>
    <n v="0"/>
    <n v="5000"/>
    <n v="0"/>
    <n v="0"/>
    <n v="0"/>
    <n v="0"/>
    <m/>
    <n v="0"/>
    <n v="0"/>
    <m/>
    <n v="0"/>
  </r>
  <r>
    <x v="126"/>
    <x v="4"/>
    <x v="12"/>
    <x v="20"/>
    <n v="3807870"/>
    <n v="0"/>
    <n v="3807870"/>
    <n v="0"/>
    <n v="0"/>
    <n v="0"/>
    <n v="3207346"/>
    <m/>
    <n v="3207346"/>
    <n v="0"/>
    <m/>
    <n v="0"/>
  </r>
  <r>
    <x v="127"/>
    <x v="4"/>
    <x v="12"/>
    <x v="20"/>
    <n v="0"/>
    <n v="0"/>
    <n v="0"/>
    <n v="0"/>
    <n v="0"/>
    <n v="0"/>
    <n v="0"/>
    <m/>
    <n v="0"/>
    <n v="0"/>
    <m/>
    <n v="0"/>
  </r>
  <r>
    <x v="128"/>
    <x v="4"/>
    <x v="8"/>
    <x v="21"/>
    <n v="3293"/>
    <n v="0"/>
    <n v="3293"/>
    <n v="0"/>
    <n v="0"/>
    <n v="0"/>
    <n v="2575"/>
    <m/>
    <n v="2575"/>
    <n v="0"/>
    <m/>
    <n v="0"/>
  </r>
  <r>
    <x v="129"/>
    <x v="11"/>
    <x v="13"/>
    <x v="22"/>
    <n v="61286378.619999997"/>
    <n v="0"/>
    <n v="61286378.619999997"/>
    <n v="0"/>
    <n v="0"/>
    <n v="0"/>
    <n v="58923230.630000003"/>
    <m/>
    <n v="58923230.630000003"/>
    <n v="0"/>
    <m/>
    <n v="0"/>
  </r>
  <r>
    <x v="130"/>
    <x v="11"/>
    <x v="13"/>
    <x v="22"/>
    <n v="0"/>
    <n v="0"/>
    <n v="0"/>
    <n v="0"/>
    <n v="0"/>
    <n v="0"/>
    <n v="0"/>
    <m/>
    <n v="0"/>
    <n v="0"/>
    <m/>
    <n v="0"/>
  </r>
  <r>
    <x v="131"/>
    <x v="11"/>
    <x v="13"/>
    <x v="22"/>
    <n v="0"/>
    <n v="0"/>
    <n v="0"/>
    <n v="0"/>
    <n v="0"/>
    <n v="0"/>
    <n v="0"/>
    <m/>
    <n v="0"/>
    <n v="0"/>
    <m/>
    <n v="0"/>
  </r>
  <r>
    <x v="132"/>
    <x v="12"/>
    <x v="14"/>
    <x v="23"/>
    <n v="0"/>
    <n v="0"/>
    <n v="0"/>
    <n v="20413989"/>
    <n v="0"/>
    <n v="20413989"/>
    <n v="0"/>
    <m/>
    <n v="0"/>
    <n v="20413989"/>
    <m/>
    <n v="20413989"/>
  </r>
  <r>
    <x v="133"/>
    <x v="4"/>
    <x v="8"/>
    <x v="24"/>
    <n v="0"/>
    <n v="0"/>
    <n v="0"/>
    <n v="0"/>
    <n v="0"/>
    <n v="0"/>
    <n v="0"/>
    <m/>
    <n v="0"/>
    <n v="0"/>
    <m/>
    <n v="0"/>
  </r>
  <r>
    <x v="134"/>
    <x v="4"/>
    <x v="8"/>
    <x v="24"/>
    <n v="8887"/>
    <n v="0"/>
    <n v="8887"/>
    <n v="0"/>
    <n v="0"/>
    <n v="0"/>
    <n v="5531"/>
    <m/>
    <n v="5531"/>
    <n v="0"/>
    <m/>
    <n v="0"/>
  </r>
  <r>
    <x v="135"/>
    <x v="4"/>
    <x v="8"/>
    <x v="24"/>
    <n v="0"/>
    <n v="0"/>
    <n v="0"/>
    <n v="0"/>
    <n v="0"/>
    <n v="0"/>
    <n v="0"/>
    <m/>
    <n v="0"/>
    <n v="0"/>
    <m/>
    <n v="0"/>
  </r>
  <r>
    <x v="136"/>
    <x v="4"/>
    <x v="12"/>
    <x v="25"/>
    <n v="545036"/>
    <n v="0"/>
    <n v="545036"/>
    <n v="0"/>
    <n v="0"/>
    <n v="0"/>
    <n v="364309"/>
    <m/>
    <n v="364309"/>
    <n v="0"/>
    <m/>
    <n v="0"/>
  </r>
  <r>
    <x v="137"/>
    <x v="4"/>
    <x v="12"/>
    <x v="20"/>
    <n v="264579"/>
    <n v="0"/>
    <n v="264579"/>
    <n v="0"/>
    <n v="0"/>
    <n v="0"/>
    <n v="95263"/>
    <m/>
    <n v="95263"/>
    <n v="0"/>
    <m/>
    <n v="0"/>
  </r>
  <r>
    <x v="138"/>
    <x v="4"/>
    <x v="12"/>
    <x v="20"/>
    <n v="198250"/>
    <n v="0"/>
    <n v="198250"/>
    <n v="0"/>
    <n v="0"/>
    <n v="0"/>
    <n v="81600"/>
    <m/>
    <n v="81600"/>
    <n v="0"/>
    <m/>
    <n v="0"/>
  </r>
  <r>
    <x v="139"/>
    <x v="13"/>
    <x v="15"/>
    <x v="26"/>
    <n v="68389"/>
    <n v="0"/>
    <n v="68389"/>
    <n v="0"/>
    <n v="0"/>
    <n v="0"/>
    <n v="255504"/>
    <m/>
    <n v="255504"/>
    <n v="0"/>
    <m/>
    <n v="0"/>
  </r>
  <r>
    <x v="140"/>
    <x v="14"/>
    <x v="9"/>
    <x v="27"/>
    <n v="0"/>
    <n v="0"/>
    <n v="0"/>
    <n v="0"/>
    <n v="0"/>
    <n v="0"/>
    <n v="0"/>
    <m/>
    <n v="0"/>
    <n v="0"/>
    <m/>
    <n v="0"/>
  </r>
  <r>
    <x v="141"/>
    <x v="14"/>
    <x v="9"/>
    <x v="27"/>
    <n v="0"/>
    <n v="0"/>
    <n v="0"/>
    <n v="0"/>
    <n v="0"/>
    <n v="0"/>
    <n v="0"/>
    <m/>
    <n v="0"/>
    <n v="0"/>
    <m/>
    <n v="0"/>
  </r>
  <r>
    <x v="142"/>
    <x v="14"/>
    <x v="9"/>
    <x v="27"/>
    <n v="0"/>
    <n v="0"/>
    <n v="0"/>
    <n v="0"/>
    <n v="0"/>
    <n v="0"/>
    <n v="0"/>
    <m/>
    <n v="0"/>
    <n v="0"/>
    <m/>
    <n v="0"/>
  </r>
  <r>
    <x v="143"/>
    <x v="14"/>
    <x v="9"/>
    <x v="27"/>
    <n v="0"/>
    <n v="0"/>
    <n v="0"/>
    <n v="0"/>
    <n v="0"/>
    <n v="0"/>
    <n v="0"/>
    <m/>
    <n v="0"/>
    <n v="0"/>
    <m/>
    <n v="0"/>
  </r>
  <r>
    <x v="144"/>
    <x v="14"/>
    <x v="9"/>
    <x v="27"/>
    <n v="0"/>
    <n v="0"/>
    <n v="0"/>
    <n v="0"/>
    <n v="0"/>
    <n v="0"/>
    <n v="0"/>
    <m/>
    <n v="0"/>
    <n v="0"/>
    <m/>
    <n v="0"/>
  </r>
  <r>
    <x v="145"/>
    <x v="14"/>
    <x v="9"/>
    <x v="27"/>
    <n v="0"/>
    <n v="0"/>
    <n v="0"/>
    <n v="0"/>
    <n v="0"/>
    <n v="0"/>
    <n v="0"/>
    <m/>
    <n v="0"/>
    <n v="0"/>
    <m/>
    <n v="0"/>
  </r>
  <r>
    <x v="146"/>
    <x v="14"/>
    <x v="9"/>
    <x v="27"/>
    <n v="0"/>
    <n v="0"/>
    <n v="0"/>
    <n v="0"/>
    <n v="0"/>
    <n v="0"/>
    <n v="0"/>
    <m/>
    <n v="0"/>
    <n v="0"/>
    <m/>
    <n v="0"/>
  </r>
  <r>
    <x v="147"/>
    <x v="14"/>
    <x v="9"/>
    <x v="27"/>
    <n v="0"/>
    <n v="0"/>
    <n v="0"/>
    <n v="0"/>
    <n v="0"/>
    <n v="0"/>
    <n v="0"/>
    <m/>
    <n v="0"/>
    <n v="0"/>
    <m/>
    <n v="0"/>
  </r>
  <r>
    <x v="148"/>
    <x v="14"/>
    <x v="9"/>
    <x v="27"/>
    <n v="0"/>
    <n v="0"/>
    <n v="0"/>
    <n v="0"/>
    <n v="0"/>
    <n v="0"/>
    <n v="0"/>
    <m/>
    <n v="0"/>
    <n v="0"/>
    <m/>
    <n v="0"/>
  </r>
  <r>
    <x v="149"/>
    <x v="14"/>
    <x v="9"/>
    <x v="27"/>
    <n v="0"/>
    <n v="0"/>
    <n v="0"/>
    <n v="0"/>
    <n v="0"/>
    <n v="0"/>
    <n v="0"/>
    <m/>
    <n v="0"/>
    <n v="0"/>
    <m/>
    <n v="0"/>
  </r>
  <r>
    <x v="150"/>
    <x v="14"/>
    <x v="9"/>
    <x v="27"/>
    <n v="0"/>
    <n v="0"/>
    <n v="0"/>
    <n v="0"/>
    <n v="0"/>
    <n v="0"/>
    <n v="0"/>
    <m/>
    <n v="0"/>
    <n v="0"/>
    <m/>
    <n v="0"/>
  </r>
  <r>
    <x v="151"/>
    <x v="14"/>
    <x v="9"/>
    <x v="27"/>
    <n v="0"/>
    <n v="0"/>
    <n v="0"/>
    <n v="0"/>
    <n v="0"/>
    <n v="0"/>
    <n v="0"/>
    <m/>
    <n v="0"/>
    <n v="0"/>
    <m/>
    <n v="0"/>
  </r>
  <r>
    <x v="152"/>
    <x v="14"/>
    <x v="9"/>
    <x v="27"/>
    <n v="0"/>
    <n v="0"/>
    <n v="0"/>
    <n v="0"/>
    <n v="0"/>
    <n v="0"/>
    <n v="0"/>
    <m/>
    <n v="0"/>
    <n v="0"/>
    <m/>
    <n v="0"/>
  </r>
  <r>
    <x v="153"/>
    <x v="14"/>
    <x v="9"/>
    <x v="27"/>
    <n v="0"/>
    <n v="0"/>
    <n v="0"/>
    <n v="0"/>
    <n v="0"/>
    <n v="0"/>
    <n v="0"/>
    <m/>
    <n v="0"/>
    <n v="0"/>
    <m/>
    <n v="0"/>
  </r>
  <r>
    <x v="154"/>
    <x v="14"/>
    <x v="9"/>
    <x v="27"/>
    <n v="0"/>
    <n v="0"/>
    <n v="0"/>
    <n v="0"/>
    <n v="0"/>
    <n v="0"/>
    <n v="0"/>
    <m/>
    <n v="0"/>
    <n v="0"/>
    <m/>
    <n v="0"/>
  </r>
  <r>
    <x v="155"/>
    <x v="14"/>
    <x v="9"/>
    <x v="27"/>
    <n v="0"/>
    <n v="0"/>
    <n v="0"/>
    <n v="0"/>
    <n v="0"/>
    <n v="0"/>
    <n v="0"/>
    <m/>
    <n v="0"/>
    <n v="0"/>
    <m/>
    <n v="0"/>
  </r>
  <r>
    <x v="156"/>
    <x v="14"/>
    <x v="9"/>
    <x v="27"/>
    <n v="0"/>
    <n v="0"/>
    <n v="0"/>
    <n v="0"/>
    <n v="0"/>
    <n v="0"/>
    <n v="0"/>
    <m/>
    <n v="0"/>
    <n v="0"/>
    <m/>
    <n v="0"/>
  </r>
  <r>
    <x v="157"/>
    <x v="14"/>
    <x v="9"/>
    <x v="27"/>
    <n v="0"/>
    <n v="0"/>
    <n v="0"/>
    <n v="0"/>
    <n v="0"/>
    <n v="0"/>
    <n v="0"/>
    <m/>
    <n v="0"/>
    <n v="0"/>
    <m/>
    <n v="0"/>
  </r>
  <r>
    <x v="158"/>
    <x v="14"/>
    <x v="9"/>
    <x v="27"/>
    <n v="0"/>
    <n v="0"/>
    <n v="0"/>
    <n v="0"/>
    <n v="0"/>
    <n v="0"/>
    <n v="0"/>
    <m/>
    <n v="0"/>
    <n v="0"/>
    <m/>
    <n v="0"/>
  </r>
  <r>
    <x v="159"/>
    <x v="14"/>
    <x v="9"/>
    <x v="27"/>
    <n v="0"/>
    <n v="0"/>
    <n v="0"/>
    <n v="0"/>
    <n v="0"/>
    <n v="0"/>
    <n v="0"/>
    <m/>
    <n v="0"/>
    <n v="0"/>
    <m/>
    <n v="0"/>
  </r>
  <r>
    <x v="160"/>
    <x v="14"/>
    <x v="9"/>
    <x v="27"/>
    <n v="0"/>
    <n v="0"/>
    <n v="0"/>
    <n v="0"/>
    <n v="0"/>
    <n v="0"/>
    <n v="0"/>
    <m/>
    <n v="0"/>
    <n v="0"/>
    <m/>
    <n v="0"/>
  </r>
  <r>
    <x v="161"/>
    <x v="14"/>
    <x v="9"/>
    <x v="27"/>
    <n v="0"/>
    <n v="0"/>
    <n v="0"/>
    <n v="0"/>
    <n v="0"/>
    <n v="0"/>
    <n v="0"/>
    <m/>
    <n v="0"/>
    <n v="0"/>
    <m/>
    <n v="0"/>
  </r>
  <r>
    <x v="162"/>
    <x v="14"/>
    <x v="9"/>
    <x v="27"/>
    <n v="0"/>
    <n v="0"/>
    <n v="0"/>
    <n v="0"/>
    <n v="0"/>
    <n v="0"/>
    <n v="0"/>
    <m/>
    <n v="0"/>
    <n v="0"/>
    <m/>
    <n v="0"/>
  </r>
  <r>
    <x v="163"/>
    <x v="14"/>
    <x v="9"/>
    <x v="27"/>
    <n v="0"/>
    <n v="0"/>
    <n v="0"/>
    <n v="0"/>
    <n v="0"/>
    <n v="0"/>
    <n v="0"/>
    <m/>
    <n v="0"/>
    <n v="0"/>
    <m/>
    <n v="0"/>
  </r>
  <r>
    <x v="164"/>
    <x v="14"/>
    <x v="9"/>
    <x v="27"/>
    <n v="0"/>
    <n v="0"/>
    <n v="0"/>
    <n v="0"/>
    <n v="0"/>
    <n v="0"/>
    <n v="0"/>
    <m/>
    <n v="0"/>
    <n v="0"/>
    <m/>
    <n v="0"/>
  </r>
  <r>
    <x v="165"/>
    <x v="14"/>
    <x v="9"/>
    <x v="27"/>
    <n v="0"/>
    <n v="0"/>
    <n v="0"/>
    <n v="0"/>
    <n v="0"/>
    <n v="0"/>
    <n v="0"/>
    <m/>
    <n v="0"/>
    <n v="0"/>
    <m/>
    <n v="0"/>
  </r>
  <r>
    <x v="166"/>
    <x v="14"/>
    <x v="9"/>
    <x v="27"/>
    <n v="0"/>
    <n v="0"/>
    <n v="0"/>
    <n v="0"/>
    <n v="0"/>
    <n v="0"/>
    <n v="0"/>
    <m/>
    <n v="0"/>
    <n v="0"/>
    <m/>
    <n v="0"/>
  </r>
  <r>
    <x v="167"/>
    <x v="14"/>
    <x v="9"/>
    <x v="27"/>
    <n v="0"/>
    <n v="0"/>
    <n v="0"/>
    <n v="0"/>
    <n v="0"/>
    <n v="0"/>
    <n v="0"/>
    <m/>
    <n v="0"/>
    <n v="0"/>
    <m/>
    <n v="0"/>
  </r>
  <r>
    <x v="168"/>
    <x v="14"/>
    <x v="9"/>
    <x v="27"/>
    <n v="0"/>
    <n v="0"/>
    <n v="0"/>
    <n v="0"/>
    <n v="0"/>
    <n v="0"/>
    <n v="0"/>
    <m/>
    <n v="0"/>
    <n v="0"/>
    <m/>
    <n v="0"/>
  </r>
  <r>
    <x v="169"/>
    <x v="14"/>
    <x v="9"/>
    <x v="27"/>
    <n v="0"/>
    <n v="0"/>
    <n v="0"/>
    <n v="0"/>
    <n v="0"/>
    <n v="0"/>
    <n v="0"/>
    <m/>
    <n v="0"/>
    <n v="0"/>
    <m/>
    <n v="0"/>
  </r>
  <r>
    <x v="170"/>
    <x v="14"/>
    <x v="9"/>
    <x v="27"/>
    <n v="0"/>
    <n v="0"/>
    <n v="0"/>
    <n v="0"/>
    <n v="0"/>
    <n v="0"/>
    <n v="0"/>
    <m/>
    <n v="0"/>
    <n v="0"/>
    <m/>
    <n v="0"/>
  </r>
  <r>
    <x v="171"/>
    <x v="14"/>
    <x v="9"/>
    <x v="27"/>
    <n v="0"/>
    <n v="0"/>
    <n v="0"/>
    <n v="0"/>
    <n v="0"/>
    <n v="0"/>
    <n v="0"/>
    <m/>
    <n v="0"/>
    <n v="0"/>
    <m/>
    <n v="0"/>
  </r>
  <r>
    <x v="172"/>
    <x v="14"/>
    <x v="9"/>
    <x v="27"/>
    <n v="0"/>
    <n v="0"/>
    <n v="0"/>
    <n v="0"/>
    <n v="0"/>
    <n v="0"/>
    <n v="0"/>
    <m/>
    <n v="0"/>
    <n v="0"/>
    <m/>
    <n v="0"/>
  </r>
  <r>
    <x v="173"/>
    <x v="14"/>
    <x v="9"/>
    <x v="27"/>
    <n v="0"/>
    <n v="0"/>
    <n v="0"/>
    <n v="0"/>
    <n v="0"/>
    <n v="0"/>
    <n v="0"/>
    <m/>
    <n v="0"/>
    <n v="0"/>
    <m/>
    <n v="0"/>
  </r>
  <r>
    <x v="174"/>
    <x v="14"/>
    <x v="9"/>
    <x v="27"/>
    <n v="0"/>
    <n v="0"/>
    <n v="0"/>
    <n v="0"/>
    <n v="0"/>
    <n v="0"/>
    <n v="0"/>
    <m/>
    <n v="0"/>
    <n v="0"/>
    <m/>
    <n v="0"/>
  </r>
  <r>
    <x v="175"/>
    <x v="14"/>
    <x v="9"/>
    <x v="27"/>
    <n v="0"/>
    <n v="0"/>
    <n v="0"/>
    <n v="0"/>
    <n v="0"/>
    <n v="0"/>
    <n v="0"/>
    <m/>
    <n v="0"/>
    <n v="0"/>
    <m/>
    <n v="0"/>
  </r>
  <r>
    <x v="176"/>
    <x v="14"/>
    <x v="9"/>
    <x v="27"/>
    <n v="0"/>
    <n v="0"/>
    <n v="0"/>
    <n v="0"/>
    <n v="0"/>
    <n v="0"/>
    <n v="0"/>
    <m/>
    <n v="0"/>
    <n v="0"/>
    <m/>
    <n v="0"/>
  </r>
  <r>
    <x v="177"/>
    <x v="14"/>
    <x v="9"/>
    <x v="27"/>
    <n v="0"/>
    <n v="0"/>
    <n v="0"/>
    <n v="0"/>
    <n v="0"/>
    <n v="0"/>
    <n v="0"/>
    <m/>
    <n v="0"/>
    <n v="0"/>
    <m/>
    <n v="0"/>
  </r>
  <r>
    <x v="178"/>
    <x v="14"/>
    <x v="9"/>
    <x v="27"/>
    <n v="0"/>
    <n v="0"/>
    <n v="0"/>
    <n v="0"/>
    <n v="0"/>
    <n v="0"/>
    <n v="0"/>
    <m/>
    <n v="0"/>
    <n v="0"/>
    <m/>
    <n v="0"/>
  </r>
  <r>
    <x v="179"/>
    <x v="14"/>
    <x v="9"/>
    <x v="27"/>
    <n v="0"/>
    <n v="0"/>
    <n v="0"/>
    <n v="0"/>
    <n v="0"/>
    <n v="0"/>
    <n v="0"/>
    <m/>
    <n v="0"/>
    <n v="0"/>
    <m/>
    <n v="0"/>
  </r>
  <r>
    <x v="180"/>
    <x v="14"/>
    <x v="9"/>
    <x v="27"/>
    <n v="0"/>
    <n v="0"/>
    <n v="0"/>
    <n v="0"/>
    <n v="0"/>
    <n v="0"/>
    <n v="61274.11"/>
    <m/>
    <n v="61274.11"/>
    <n v="0"/>
    <m/>
    <n v="0"/>
  </r>
  <r>
    <x v="181"/>
    <x v="14"/>
    <x v="9"/>
    <x v="27"/>
    <n v="0"/>
    <n v="0"/>
    <n v="0"/>
    <n v="0"/>
    <n v="0"/>
    <n v="0"/>
    <n v="0"/>
    <m/>
    <n v="0"/>
    <n v="0"/>
    <m/>
    <n v="0"/>
  </r>
  <r>
    <x v="182"/>
    <x v="0"/>
    <x v="0"/>
    <x v="0"/>
    <n v="0"/>
    <n v="0"/>
    <n v="0"/>
    <n v="0"/>
    <n v="0"/>
    <n v="0"/>
    <n v="0"/>
    <m/>
    <n v="0"/>
    <n v="0"/>
    <m/>
    <n v="0"/>
  </r>
  <r>
    <x v="183"/>
    <x v="0"/>
    <x v="0"/>
    <x v="0"/>
    <n v="0"/>
    <n v="0"/>
    <n v="0"/>
    <n v="0"/>
    <n v="0"/>
    <n v="0"/>
    <n v="0"/>
    <m/>
    <n v="0"/>
    <n v="0"/>
    <m/>
    <n v="0"/>
  </r>
  <r>
    <x v="184"/>
    <x v="1"/>
    <x v="1"/>
    <x v="2"/>
    <n v="0"/>
    <n v="0"/>
    <n v="0"/>
    <n v="0"/>
    <n v="0"/>
    <n v="0"/>
    <n v="19377618"/>
    <m/>
    <n v="19377618"/>
    <n v="0"/>
    <m/>
    <n v="0"/>
  </r>
  <r>
    <x v="185"/>
    <x v="0"/>
    <x v="0"/>
    <x v="1"/>
    <n v="0"/>
    <n v="0"/>
    <n v="0"/>
    <n v="0"/>
    <n v="0"/>
    <n v="0"/>
    <n v="0"/>
    <m/>
    <n v="0"/>
    <n v="0"/>
    <m/>
    <n v="0"/>
  </r>
  <r>
    <x v="186"/>
    <x v="0"/>
    <x v="0"/>
    <x v="1"/>
    <n v="0"/>
    <n v="0"/>
    <n v="0"/>
    <n v="0"/>
    <n v="0"/>
    <n v="0"/>
    <n v="0"/>
    <m/>
    <n v="0"/>
    <n v="638291"/>
    <m/>
    <n v="638291"/>
  </r>
  <r>
    <x v="187"/>
    <x v="1"/>
    <x v="1"/>
    <x v="2"/>
    <n v="9482492"/>
    <n v="0"/>
    <n v="9482492"/>
    <n v="0"/>
    <n v="0"/>
    <n v="0"/>
    <n v="396306"/>
    <m/>
    <n v="396306"/>
    <n v="0"/>
    <m/>
    <n v="0"/>
  </r>
  <r>
    <x v="188"/>
    <x v="6"/>
    <x v="6"/>
    <x v="7"/>
    <n v="0"/>
    <n v="0"/>
    <n v="0"/>
    <n v="0"/>
    <n v="0"/>
    <n v="0"/>
    <n v="4000"/>
    <m/>
    <n v="4000"/>
    <n v="0"/>
    <m/>
    <n v="0"/>
  </r>
  <r>
    <x v="189"/>
    <x v="15"/>
    <x v="16"/>
    <x v="28"/>
    <n v="48786325"/>
    <n v="0"/>
    <n v="48786325"/>
    <n v="0"/>
    <n v="0"/>
    <n v="0"/>
    <n v="34675595"/>
    <m/>
    <n v="34675595"/>
    <n v="0"/>
    <m/>
    <n v="0"/>
  </r>
  <r>
    <x v="190"/>
    <x v="1"/>
    <x v="1"/>
    <x v="2"/>
    <n v="0"/>
    <n v="0"/>
    <n v="0"/>
    <n v="0"/>
    <n v="0"/>
    <n v="0"/>
    <n v="614111"/>
    <m/>
    <n v="614111"/>
    <n v="0"/>
    <m/>
    <n v="0"/>
  </r>
  <r>
    <x v="191"/>
    <x v="0"/>
    <x v="0"/>
    <x v="1"/>
    <n v="0"/>
    <n v="0"/>
    <n v="0"/>
    <n v="0"/>
    <n v="0"/>
    <n v="0"/>
    <n v="0"/>
    <m/>
    <n v="0"/>
    <n v="0"/>
    <m/>
    <n v="0"/>
  </r>
  <r>
    <x v="192"/>
    <x v="15"/>
    <x v="16"/>
    <x v="28"/>
    <n v="21589538"/>
    <n v="0"/>
    <n v="21589538"/>
    <n v="0"/>
    <n v="0"/>
    <n v="0"/>
    <n v="25835930"/>
    <m/>
    <n v="25835930"/>
    <n v="0"/>
    <m/>
    <n v="0"/>
  </r>
  <r>
    <x v="193"/>
    <x v="4"/>
    <x v="12"/>
    <x v="25"/>
    <n v="0"/>
    <n v="0"/>
    <n v="0"/>
    <n v="0"/>
    <n v="0"/>
    <n v="0"/>
    <n v="171625"/>
    <m/>
    <n v="171625"/>
    <n v="0"/>
    <m/>
    <n v="0"/>
  </r>
  <r>
    <x v="194"/>
    <x v="4"/>
    <x v="12"/>
    <x v="29"/>
    <n v="0"/>
    <n v="0"/>
    <n v="0"/>
    <n v="0"/>
    <n v="0"/>
    <n v="0"/>
    <n v="61275"/>
    <m/>
    <n v="61275"/>
    <n v="0"/>
    <m/>
    <n v="0"/>
  </r>
  <r>
    <x v="195"/>
    <x v="4"/>
    <x v="12"/>
    <x v="29"/>
    <n v="39844498.340000004"/>
    <n v="0"/>
    <n v="39844498.340000004"/>
    <n v="0"/>
    <n v="0"/>
    <n v="0"/>
    <n v="38717565.439999998"/>
    <m/>
    <n v="38717565.439999998"/>
    <n v="0"/>
    <m/>
    <n v="0"/>
  </r>
  <r>
    <x v="196"/>
    <x v="4"/>
    <x v="4"/>
    <x v="18"/>
    <n v="0"/>
    <n v="0"/>
    <n v="0"/>
    <n v="0"/>
    <n v="0"/>
    <n v="0"/>
    <n v="1806809"/>
    <m/>
    <n v="1806809"/>
    <n v="0"/>
    <m/>
    <n v="0"/>
  </r>
  <r>
    <x v="197"/>
    <x v="4"/>
    <x v="4"/>
    <x v="18"/>
    <n v="0"/>
    <n v="0"/>
    <n v="0"/>
    <n v="0"/>
    <n v="0"/>
    <n v="0"/>
    <n v="81671"/>
    <m/>
    <n v="81671"/>
    <n v="0"/>
    <m/>
    <n v="0"/>
  </r>
  <r>
    <x v="198"/>
    <x v="11"/>
    <x v="13"/>
    <x v="22"/>
    <n v="868635.7"/>
    <n v="0"/>
    <n v="868635.7"/>
    <n v="0"/>
    <n v="0"/>
    <n v="0"/>
    <n v="744525.7"/>
    <m/>
    <n v="744525.7"/>
    <n v="0"/>
    <m/>
    <n v="0"/>
  </r>
  <r>
    <x v="199"/>
    <x v="4"/>
    <x v="8"/>
    <x v="30"/>
    <n v="14524"/>
    <n v="0"/>
    <n v="14524"/>
    <n v="0"/>
    <n v="0"/>
    <n v="0"/>
    <n v="7000"/>
    <m/>
    <n v="7000"/>
    <n v="0"/>
    <m/>
    <n v="0"/>
  </r>
  <r>
    <x v="200"/>
    <x v="5"/>
    <x v="5"/>
    <x v="6"/>
    <n v="0"/>
    <n v="0"/>
    <n v="0"/>
    <n v="0"/>
    <n v="0"/>
    <n v="0"/>
    <n v="0"/>
    <m/>
    <n v="0"/>
    <n v="0"/>
    <m/>
    <n v="0"/>
  </r>
  <r>
    <x v="201"/>
    <x v="14"/>
    <x v="9"/>
    <x v="31"/>
    <n v="0"/>
    <n v="0"/>
    <n v="0"/>
    <n v="22944"/>
    <n v="0"/>
    <n v="22944"/>
    <n v="0"/>
    <m/>
    <n v="0"/>
    <n v="23574"/>
    <m/>
    <n v="23574"/>
  </r>
  <r>
    <x v="202"/>
    <x v="14"/>
    <x v="9"/>
    <x v="31"/>
    <n v="0"/>
    <n v="0"/>
    <n v="0"/>
    <n v="198784"/>
    <n v="0"/>
    <n v="198784"/>
    <n v="0"/>
    <m/>
    <n v="0"/>
    <n v="206714"/>
    <m/>
    <n v="206714"/>
  </r>
  <r>
    <x v="203"/>
    <x v="4"/>
    <x v="8"/>
    <x v="32"/>
    <n v="29522"/>
    <n v="0"/>
    <n v="29522"/>
    <n v="0"/>
    <n v="0"/>
    <n v="0"/>
    <n v="30655"/>
    <m/>
    <n v="30655"/>
    <n v="0"/>
    <m/>
    <n v="0"/>
  </r>
  <r>
    <x v="204"/>
    <x v="4"/>
    <x v="8"/>
    <x v="32"/>
    <n v="21062"/>
    <n v="0"/>
    <n v="21062"/>
    <n v="0"/>
    <n v="0"/>
    <n v="0"/>
    <n v="25835"/>
    <m/>
    <n v="25835"/>
    <n v="0"/>
    <m/>
    <n v="0"/>
  </r>
  <r>
    <x v="205"/>
    <x v="1"/>
    <x v="1"/>
    <x v="2"/>
    <n v="344368"/>
    <n v="0"/>
    <n v="344368"/>
    <n v="0"/>
    <n v="0"/>
    <n v="0"/>
    <n v="62901"/>
    <m/>
    <n v="62901"/>
    <n v="0"/>
    <m/>
    <n v="0"/>
  </r>
  <r>
    <x v="206"/>
    <x v="4"/>
    <x v="8"/>
    <x v="9"/>
    <n v="72553"/>
    <n v="0"/>
    <n v="72553"/>
    <n v="0"/>
    <n v="0"/>
    <n v="0"/>
    <n v="44221.5"/>
    <m/>
    <n v="44221.5"/>
    <n v="0"/>
    <m/>
    <n v="0"/>
  </r>
  <r>
    <x v="207"/>
    <x v="4"/>
    <x v="8"/>
    <x v="9"/>
    <n v="178418"/>
    <n v="0"/>
    <n v="178418"/>
    <n v="0"/>
    <n v="0"/>
    <n v="0"/>
    <n v="500"/>
    <m/>
    <n v="500"/>
    <n v="0"/>
    <m/>
    <n v="0"/>
  </r>
  <r>
    <x v="208"/>
    <x v="14"/>
    <x v="9"/>
    <x v="27"/>
    <n v="0"/>
    <n v="0"/>
    <n v="0"/>
    <n v="0"/>
    <n v="0"/>
    <n v="0"/>
    <n v="0"/>
    <m/>
    <n v="0"/>
    <n v="0"/>
    <m/>
    <n v="0"/>
  </r>
  <r>
    <x v="209"/>
    <x v="4"/>
    <x v="8"/>
    <x v="24"/>
    <n v="0"/>
    <n v="0"/>
    <n v="0"/>
    <n v="0"/>
    <n v="0"/>
    <n v="0"/>
    <n v="0"/>
    <m/>
    <n v="0"/>
    <n v="0"/>
    <m/>
    <n v="0"/>
  </r>
  <r>
    <x v="210"/>
    <x v="2"/>
    <x v="2"/>
    <x v="33"/>
    <n v="0"/>
    <n v="0"/>
    <n v="0"/>
    <n v="0"/>
    <n v="0"/>
    <n v="0"/>
    <n v="0"/>
    <m/>
    <n v="0"/>
    <n v="0"/>
    <m/>
    <n v="0"/>
  </r>
  <r>
    <x v="211"/>
    <x v="4"/>
    <x v="8"/>
    <x v="24"/>
    <n v="0"/>
    <n v="0"/>
    <n v="0"/>
    <n v="0"/>
    <n v="0"/>
    <n v="0"/>
    <n v="0"/>
    <m/>
    <n v="0"/>
    <n v="0"/>
    <m/>
    <n v="0"/>
  </r>
  <r>
    <x v="212"/>
    <x v="5"/>
    <x v="5"/>
    <x v="6"/>
    <n v="0"/>
    <n v="0"/>
    <n v="0"/>
    <n v="0"/>
    <n v="0"/>
    <n v="0"/>
    <n v="0"/>
    <m/>
    <n v="0"/>
    <n v="0"/>
    <m/>
    <n v="0"/>
  </r>
  <r>
    <x v="213"/>
    <x v="0"/>
    <x v="0"/>
    <x v="1"/>
    <n v="0"/>
    <n v="0"/>
    <n v="0"/>
    <n v="0"/>
    <n v="0"/>
    <n v="0"/>
    <n v="0"/>
    <m/>
    <n v="0"/>
    <n v="2151570"/>
    <m/>
    <n v="2151570"/>
  </r>
  <r>
    <x v="214"/>
    <x v="1"/>
    <x v="1"/>
    <x v="2"/>
    <n v="0"/>
    <n v="0"/>
    <n v="0"/>
    <n v="0"/>
    <n v="0"/>
    <n v="0"/>
    <n v="0"/>
    <m/>
    <n v="0"/>
    <n v="0"/>
    <m/>
    <n v="0"/>
  </r>
  <r>
    <x v="215"/>
    <x v="16"/>
    <x v="17"/>
    <x v="34"/>
    <n v="0"/>
    <n v="0"/>
    <n v="0"/>
    <n v="19475121"/>
    <n v="0"/>
    <n v="19475121"/>
    <n v="0"/>
    <m/>
    <n v="0"/>
    <n v="20264926"/>
    <m/>
    <n v="20264926"/>
  </r>
  <r>
    <x v="216"/>
    <x v="5"/>
    <x v="5"/>
    <x v="35"/>
    <n v="0"/>
    <n v="0"/>
    <n v="0"/>
    <n v="0"/>
    <n v="0"/>
    <n v="0"/>
    <n v="1137100"/>
    <m/>
    <n v="1137100"/>
    <n v="0"/>
    <m/>
    <n v="0"/>
  </r>
  <r>
    <x v="217"/>
    <x v="2"/>
    <x v="2"/>
    <x v="36"/>
    <n v="6800"/>
    <n v="0"/>
    <n v="6800"/>
    <n v="0"/>
    <n v="0"/>
    <n v="0"/>
    <n v="6800"/>
    <m/>
    <n v="6800"/>
    <n v="0"/>
    <m/>
    <n v="0"/>
  </r>
  <r>
    <x v="218"/>
    <x v="17"/>
    <x v="18"/>
    <x v="37"/>
    <n v="0"/>
    <n v="0"/>
    <n v="0"/>
    <n v="0"/>
    <n v="0"/>
    <n v="0"/>
    <n v="0"/>
    <m/>
    <n v="0"/>
    <n v="0"/>
    <m/>
    <n v="0"/>
  </r>
  <r>
    <x v="219"/>
    <x v="17"/>
    <x v="18"/>
    <x v="37"/>
    <n v="215314.61"/>
    <n v="0"/>
    <n v="215314.61"/>
    <n v="0"/>
    <n v="0"/>
    <n v="0"/>
    <n v="206250"/>
    <m/>
    <n v="206250"/>
    <n v="0"/>
    <m/>
    <n v="0"/>
  </r>
  <r>
    <x v="220"/>
    <x v="2"/>
    <x v="2"/>
    <x v="36"/>
    <n v="50000"/>
    <n v="0"/>
    <n v="50000"/>
    <n v="0"/>
    <n v="0"/>
    <n v="0"/>
    <n v="50000"/>
    <m/>
    <n v="50000"/>
    <n v="0"/>
    <m/>
    <n v="0"/>
  </r>
  <r>
    <x v="221"/>
    <x v="2"/>
    <x v="2"/>
    <x v="36"/>
    <n v="322100"/>
    <n v="0"/>
    <n v="322100"/>
    <n v="0"/>
    <n v="0"/>
    <n v="0"/>
    <n v="248200"/>
    <m/>
    <n v="248200"/>
    <n v="0"/>
    <m/>
    <n v="0"/>
  </r>
  <r>
    <x v="222"/>
    <x v="17"/>
    <x v="18"/>
    <x v="37"/>
    <n v="150294"/>
    <n v="0"/>
    <n v="150294"/>
    <n v="0"/>
    <n v="0"/>
    <n v="0"/>
    <n v="125000"/>
    <m/>
    <n v="125000"/>
    <n v="0"/>
    <m/>
    <n v="0"/>
  </r>
  <r>
    <x v="223"/>
    <x v="2"/>
    <x v="2"/>
    <x v="36"/>
    <n v="200000"/>
    <n v="0"/>
    <n v="200000"/>
    <n v="0"/>
    <n v="0"/>
    <n v="0"/>
    <n v="200000"/>
    <m/>
    <n v="200000"/>
    <n v="0"/>
    <m/>
    <n v="0"/>
  </r>
  <r>
    <x v="224"/>
    <x v="2"/>
    <x v="2"/>
    <x v="36"/>
    <n v="10777"/>
    <n v="0"/>
    <n v="10777"/>
    <n v="0"/>
    <n v="0"/>
    <n v="0"/>
    <n v="10777"/>
    <m/>
    <n v="10777"/>
    <n v="0"/>
    <m/>
    <n v="0"/>
  </r>
  <r>
    <x v="225"/>
    <x v="18"/>
    <x v="19"/>
    <x v="38"/>
    <n v="0"/>
    <n v="0"/>
    <n v="0"/>
    <n v="0"/>
    <n v="0"/>
    <n v="0"/>
    <n v="4778693"/>
    <m/>
    <n v="4778693"/>
    <n v="0"/>
    <m/>
    <n v="0"/>
  </r>
  <r>
    <x v="226"/>
    <x v="18"/>
    <x v="19"/>
    <x v="38"/>
    <n v="277472"/>
    <n v="0"/>
    <n v="277472"/>
    <n v="0"/>
    <n v="0"/>
    <n v="0"/>
    <m/>
    <m/>
    <m/>
    <m/>
    <m/>
    <m/>
  </r>
  <r>
    <x v="227"/>
    <x v="18"/>
    <x v="19"/>
    <x v="38"/>
    <n v="4984821"/>
    <n v="0"/>
    <n v="4984821"/>
    <n v="0"/>
    <n v="0"/>
    <n v="0"/>
    <m/>
    <m/>
    <m/>
    <m/>
    <m/>
    <m/>
  </r>
  <r>
    <x v="228"/>
    <x v="17"/>
    <x v="18"/>
    <x v="37"/>
    <n v="0"/>
    <n v="0"/>
    <n v="0"/>
    <n v="0"/>
    <n v="0"/>
    <n v="0"/>
    <n v="0"/>
    <m/>
    <n v="0"/>
    <n v="0"/>
    <m/>
    <n v="0"/>
  </r>
  <r>
    <x v="229"/>
    <x v="8"/>
    <x v="20"/>
    <x v="39"/>
    <n v="1850243"/>
    <n v="0"/>
    <n v="1850243"/>
    <n v="0"/>
    <n v="0"/>
    <n v="0"/>
    <n v="1861537"/>
    <m/>
    <n v="1861537"/>
    <n v="0"/>
    <m/>
    <n v="0"/>
  </r>
  <r>
    <x v="230"/>
    <x v="8"/>
    <x v="20"/>
    <x v="39"/>
    <n v="1908584"/>
    <n v="0"/>
    <n v="1908584"/>
    <n v="0"/>
    <n v="0"/>
    <n v="0"/>
    <n v="1834185"/>
    <m/>
    <n v="1834185"/>
    <n v="0"/>
    <m/>
    <n v="0"/>
  </r>
  <r>
    <x v="231"/>
    <x v="8"/>
    <x v="20"/>
    <x v="39"/>
    <n v="41543"/>
    <n v="0"/>
    <n v="41543"/>
    <n v="0"/>
    <n v="0"/>
    <n v="0"/>
    <n v="46790"/>
    <m/>
    <n v="46790"/>
    <n v="0"/>
    <m/>
    <n v="0"/>
  </r>
  <r>
    <x v="232"/>
    <x v="8"/>
    <x v="20"/>
    <x v="39"/>
    <n v="48716"/>
    <n v="0"/>
    <n v="48716"/>
    <n v="0"/>
    <n v="0"/>
    <n v="0"/>
    <n v="46907"/>
    <m/>
    <n v="46907"/>
    <n v="0"/>
    <m/>
    <n v="0"/>
  </r>
  <r>
    <x v="233"/>
    <x v="8"/>
    <x v="20"/>
    <x v="39"/>
    <n v="113997"/>
    <n v="0"/>
    <n v="113997"/>
    <n v="0"/>
    <n v="0"/>
    <n v="0"/>
    <n v="103253"/>
    <m/>
    <n v="103253"/>
    <n v="0"/>
    <m/>
    <n v="0"/>
  </r>
  <r>
    <x v="234"/>
    <x v="8"/>
    <x v="20"/>
    <x v="39"/>
    <n v="13628774"/>
    <n v="0"/>
    <n v="13628774"/>
    <n v="0"/>
    <n v="0"/>
    <n v="0"/>
    <n v="13466161"/>
    <m/>
    <n v="13466161"/>
    <n v="0"/>
    <m/>
    <n v="0"/>
  </r>
  <r>
    <x v="235"/>
    <x v="8"/>
    <x v="20"/>
    <x v="39"/>
    <n v="369149"/>
    <n v="0"/>
    <n v="369149"/>
    <n v="0"/>
    <n v="0"/>
    <n v="0"/>
    <n v="369149"/>
    <m/>
    <n v="369149"/>
    <n v="0"/>
    <m/>
    <n v="0"/>
  </r>
  <r>
    <x v="236"/>
    <x v="1"/>
    <x v="1"/>
    <x v="2"/>
    <n v="0"/>
    <n v="0"/>
    <n v="0"/>
    <n v="0"/>
    <n v="0"/>
    <n v="0"/>
    <n v="0"/>
    <m/>
    <n v="0"/>
    <n v="0"/>
    <m/>
    <n v="0"/>
  </r>
  <r>
    <x v="237"/>
    <x v="6"/>
    <x v="6"/>
    <x v="7"/>
    <n v="0"/>
    <n v="0"/>
    <n v="0"/>
    <n v="0"/>
    <n v="0"/>
    <n v="0"/>
    <n v="0"/>
    <m/>
    <n v="0"/>
    <n v="0"/>
    <m/>
    <n v="0"/>
  </r>
  <r>
    <x v="238"/>
    <x v="6"/>
    <x v="6"/>
    <x v="7"/>
    <n v="0"/>
    <n v="0"/>
    <n v="0"/>
    <n v="0"/>
    <n v="0"/>
    <n v="0"/>
    <n v="0"/>
    <m/>
    <n v="0"/>
    <n v="0"/>
    <m/>
    <n v="0"/>
  </r>
  <r>
    <x v="239"/>
    <x v="6"/>
    <x v="6"/>
    <x v="7"/>
    <n v="0"/>
    <n v="0"/>
    <n v="0"/>
    <n v="0"/>
    <n v="0"/>
    <n v="0"/>
    <n v="6000"/>
    <m/>
    <n v="6000"/>
    <n v="0"/>
    <m/>
    <n v="0"/>
  </r>
  <r>
    <x v="240"/>
    <x v="0"/>
    <x v="0"/>
    <x v="1"/>
    <n v="0"/>
    <n v="0"/>
    <n v="0"/>
    <n v="0"/>
    <n v="0"/>
    <n v="0"/>
    <n v="0"/>
    <m/>
    <n v="0"/>
    <n v="24300"/>
    <m/>
    <n v="24300"/>
  </r>
  <r>
    <x v="241"/>
    <x v="6"/>
    <x v="6"/>
    <x v="7"/>
    <n v="54000"/>
    <n v="0"/>
    <n v="54000"/>
    <n v="0"/>
    <n v="0"/>
    <n v="0"/>
    <n v="0"/>
    <m/>
    <n v="0"/>
    <n v="0"/>
    <m/>
    <n v="0"/>
  </r>
  <r>
    <x v="242"/>
    <x v="19"/>
    <x v="21"/>
    <x v="40"/>
    <n v="46500"/>
    <n v="0"/>
    <n v="46500"/>
    <n v="0"/>
    <n v="0"/>
    <n v="0"/>
    <n v="28500"/>
    <m/>
    <n v="28500"/>
    <n v="0"/>
    <m/>
    <n v="0"/>
  </r>
  <r>
    <x v="243"/>
    <x v="20"/>
    <x v="22"/>
    <x v="41"/>
    <n v="3692009"/>
    <n v="0"/>
    <n v="3692009"/>
    <n v="0"/>
    <n v="0"/>
    <n v="0"/>
    <n v="30200530"/>
    <m/>
    <n v="30200530"/>
    <n v="0"/>
    <m/>
    <n v="0"/>
  </r>
  <r>
    <x v="244"/>
    <x v="20"/>
    <x v="22"/>
    <x v="41"/>
    <n v="0"/>
    <n v="0"/>
    <n v="0"/>
    <n v="121315419.15000001"/>
    <n v="0"/>
    <n v="121315419.15000001"/>
    <n v="0"/>
    <m/>
    <n v="0"/>
    <n v="80530681.049999997"/>
    <m/>
    <n v="80530681.049999997"/>
  </r>
  <r>
    <x v="245"/>
    <x v="20"/>
    <x v="22"/>
    <x v="41"/>
    <n v="0"/>
    <n v="0"/>
    <n v="0"/>
    <n v="0"/>
    <n v="0"/>
    <n v="0"/>
    <n v="0"/>
    <m/>
    <n v="0"/>
    <n v="16211566"/>
    <m/>
    <n v="16211566"/>
  </r>
  <r>
    <x v="246"/>
    <x v="0"/>
    <x v="0"/>
    <x v="0"/>
    <n v="0"/>
    <n v="0"/>
    <n v="0"/>
    <n v="101425.16"/>
    <n v="0"/>
    <n v="101425.16"/>
    <n v="811474.84"/>
    <m/>
    <n v="811474.84"/>
    <n v="0"/>
    <m/>
    <n v="0"/>
  </r>
  <r>
    <x v="247"/>
    <x v="8"/>
    <x v="9"/>
    <x v="42"/>
    <n v="0"/>
    <n v="0"/>
    <n v="0"/>
    <n v="0"/>
    <n v="0"/>
    <n v="0"/>
    <n v="0"/>
    <m/>
    <n v="0"/>
    <n v="0"/>
    <m/>
    <n v="0"/>
  </r>
  <r>
    <x v="248"/>
    <x v="8"/>
    <x v="9"/>
    <x v="42"/>
    <n v="0"/>
    <n v="0"/>
    <n v="0"/>
    <n v="0"/>
    <n v="0"/>
    <n v="0"/>
    <n v="0"/>
    <m/>
    <n v="0"/>
    <n v="0"/>
    <m/>
    <n v="0"/>
  </r>
  <r>
    <x v="249"/>
    <x v="4"/>
    <x v="8"/>
    <x v="43"/>
    <n v="26700"/>
    <n v="0"/>
    <n v="26700"/>
    <n v="0"/>
    <n v="0"/>
    <n v="0"/>
    <n v="56000"/>
    <m/>
    <n v="56000"/>
    <n v="0"/>
    <m/>
    <n v="0"/>
  </r>
  <r>
    <x v="250"/>
    <x v="5"/>
    <x v="5"/>
    <x v="6"/>
    <n v="0"/>
    <n v="0"/>
    <n v="0"/>
    <n v="0"/>
    <n v="0"/>
    <n v="0"/>
    <n v="0"/>
    <m/>
    <n v="0"/>
    <n v="0"/>
    <m/>
    <n v="0"/>
  </r>
  <r>
    <x v="251"/>
    <x v="0"/>
    <x v="0"/>
    <x v="1"/>
    <n v="0"/>
    <n v="0"/>
    <n v="0"/>
    <n v="66506"/>
    <n v="0"/>
    <n v="66506"/>
    <n v="0"/>
    <m/>
    <n v="0"/>
    <n v="0"/>
    <m/>
    <n v="0"/>
  </r>
  <r>
    <x v="252"/>
    <x v="0"/>
    <x v="0"/>
    <x v="1"/>
    <n v="0"/>
    <n v="0"/>
    <n v="0"/>
    <n v="4625753"/>
    <n v="0"/>
    <n v="4625753"/>
    <n v="0"/>
    <m/>
    <n v="0"/>
    <n v="4423234"/>
    <m/>
    <n v="4423234"/>
  </r>
  <r>
    <x v="253"/>
    <x v="0"/>
    <x v="0"/>
    <x v="1"/>
    <n v="0"/>
    <n v="0"/>
    <n v="0"/>
    <n v="0"/>
    <n v="0"/>
    <n v="0"/>
    <n v="0"/>
    <m/>
    <n v="0"/>
    <n v="0"/>
    <m/>
    <n v="0"/>
  </r>
  <r>
    <x v="254"/>
    <x v="1"/>
    <x v="1"/>
    <x v="2"/>
    <n v="0"/>
    <n v="0"/>
    <n v="0"/>
    <n v="0"/>
    <n v="0"/>
    <n v="0"/>
    <n v="0"/>
    <m/>
    <n v="0"/>
    <n v="0"/>
    <m/>
    <n v="0"/>
  </r>
  <r>
    <x v="255"/>
    <x v="11"/>
    <x v="13"/>
    <x v="22"/>
    <n v="26458587.010000002"/>
    <n v="0"/>
    <n v="26458587.010000002"/>
    <n v="0"/>
    <n v="0"/>
    <n v="0"/>
    <n v="26188107.010000002"/>
    <m/>
    <n v="26188107.010000002"/>
    <n v="0"/>
    <m/>
    <n v="0"/>
  </r>
  <r>
    <x v="256"/>
    <x v="12"/>
    <x v="23"/>
    <x v="44"/>
    <n v="0"/>
    <n v="0"/>
    <n v="0"/>
    <n v="26922650"/>
    <n v="0"/>
    <n v="26922650"/>
    <n v="0"/>
    <m/>
    <n v="0"/>
    <n v="26922650"/>
    <m/>
    <n v="26922650"/>
  </r>
  <r>
    <x v="257"/>
    <x v="19"/>
    <x v="21"/>
    <x v="45"/>
    <n v="234882"/>
    <n v="0"/>
    <n v="234882"/>
    <n v="0"/>
    <n v="0"/>
    <n v="0"/>
    <n v="212650"/>
    <m/>
    <n v="212650"/>
    <n v="0"/>
    <m/>
    <n v="0"/>
  </r>
  <r>
    <x v="258"/>
    <x v="4"/>
    <x v="8"/>
    <x v="24"/>
    <n v="0"/>
    <n v="0"/>
    <n v="0"/>
    <n v="0"/>
    <n v="0"/>
    <n v="0"/>
    <n v="0"/>
    <m/>
    <n v="0"/>
    <n v="0"/>
    <m/>
    <n v="0"/>
  </r>
  <r>
    <x v="259"/>
    <x v="4"/>
    <x v="8"/>
    <x v="24"/>
    <n v="18000"/>
    <n v="0"/>
    <n v="18000"/>
    <n v="0"/>
    <n v="0"/>
    <n v="0"/>
    <n v="15900"/>
    <m/>
    <n v="15900"/>
    <n v="0"/>
    <m/>
    <n v="0"/>
  </r>
  <r>
    <x v="260"/>
    <x v="19"/>
    <x v="21"/>
    <x v="40"/>
    <n v="0"/>
    <n v="0"/>
    <n v="0"/>
    <n v="0"/>
    <n v="0"/>
    <n v="0"/>
    <n v="0"/>
    <m/>
    <n v="0"/>
    <n v="0"/>
    <m/>
    <n v="0"/>
  </r>
  <r>
    <x v="261"/>
    <x v="19"/>
    <x v="21"/>
    <x v="40"/>
    <n v="10320"/>
    <n v="0"/>
    <n v="10320"/>
    <n v="0"/>
    <n v="0"/>
    <n v="0"/>
    <n v="0"/>
    <m/>
    <m/>
    <m/>
    <m/>
    <m/>
  </r>
  <r>
    <x v="262"/>
    <x v="4"/>
    <x v="8"/>
    <x v="24"/>
    <n v="0"/>
    <n v="0"/>
    <n v="0"/>
    <n v="0"/>
    <n v="0"/>
    <n v="0"/>
    <n v="0"/>
    <m/>
    <n v="0"/>
    <n v="0"/>
    <m/>
    <n v="0"/>
  </r>
  <r>
    <x v="263"/>
    <x v="15"/>
    <x v="16"/>
    <x v="28"/>
    <n v="5916"/>
    <n v="0"/>
    <n v="5916"/>
    <n v="0"/>
    <n v="0"/>
    <n v="0"/>
    <n v="0"/>
    <m/>
    <n v="0"/>
    <n v="0"/>
    <m/>
    <n v="0"/>
  </r>
  <r>
    <x v="264"/>
    <x v="4"/>
    <x v="4"/>
    <x v="46"/>
    <n v="1570177"/>
    <n v="0"/>
    <n v="1570177"/>
    <n v="0"/>
    <n v="0"/>
    <n v="0"/>
    <n v="2277589"/>
    <m/>
    <n v="2277589"/>
    <n v="0"/>
    <m/>
    <n v="0"/>
  </r>
  <r>
    <x v="265"/>
    <x v="20"/>
    <x v="22"/>
    <x v="41"/>
    <n v="0"/>
    <n v="0"/>
    <n v="0"/>
    <n v="15060978"/>
    <n v="0"/>
    <n v="15060978"/>
    <n v="0"/>
    <m/>
    <n v="0"/>
    <n v="0"/>
    <m/>
    <n v="0"/>
  </r>
  <r>
    <x v="266"/>
    <x v="4"/>
    <x v="12"/>
    <x v="20"/>
    <n v="72000"/>
    <n v="0"/>
    <n v="72000"/>
    <n v="0"/>
    <n v="0"/>
    <n v="0"/>
    <n v="64575"/>
    <m/>
    <n v="64575"/>
    <n v="0"/>
    <m/>
    <n v="0"/>
  </r>
  <r>
    <x v="267"/>
    <x v="4"/>
    <x v="12"/>
    <x v="20"/>
    <n v="262736"/>
    <n v="0"/>
    <n v="262736"/>
    <n v="0"/>
    <n v="0"/>
    <n v="0"/>
    <n v="244646.5"/>
    <m/>
    <n v="244646.5"/>
    <n v="0"/>
    <m/>
    <n v="0"/>
  </r>
  <r>
    <x v="268"/>
    <x v="4"/>
    <x v="12"/>
    <x v="29"/>
    <n v="69613175"/>
    <n v="0"/>
    <n v="69613175"/>
    <n v="0"/>
    <n v="0"/>
    <n v="0"/>
    <n v="66582536"/>
    <m/>
    <n v="66582536"/>
    <n v="0"/>
    <m/>
    <n v="0"/>
  </r>
  <r>
    <x v="269"/>
    <x v="4"/>
    <x v="12"/>
    <x v="20"/>
    <n v="240223"/>
    <n v="0"/>
    <n v="240223"/>
    <n v="0"/>
    <n v="0"/>
    <n v="0"/>
    <n v="218259"/>
    <m/>
    <n v="218259"/>
    <n v="0"/>
    <m/>
    <n v="0"/>
  </r>
  <r>
    <x v="270"/>
    <x v="4"/>
    <x v="8"/>
    <x v="24"/>
    <n v="50000"/>
    <n v="0"/>
    <n v="50000"/>
    <n v="0"/>
    <n v="0"/>
    <n v="0"/>
    <n v="50000"/>
    <m/>
    <n v="50000"/>
    <n v="0"/>
    <m/>
    <n v="0"/>
  </r>
  <r>
    <x v="271"/>
    <x v="4"/>
    <x v="12"/>
    <x v="20"/>
    <n v="0"/>
    <n v="0"/>
    <n v="0"/>
    <n v="0"/>
    <n v="0"/>
    <n v="0"/>
    <n v="7700"/>
    <m/>
    <n v="7700"/>
    <n v="0"/>
    <m/>
    <n v="0"/>
  </r>
  <r>
    <x v="272"/>
    <x v="4"/>
    <x v="12"/>
    <x v="47"/>
    <n v="3282001"/>
    <n v="0"/>
    <n v="3282001"/>
    <n v="0"/>
    <n v="0"/>
    <n v="0"/>
    <n v="2854617"/>
    <m/>
    <n v="2854617"/>
    <n v="0"/>
    <m/>
    <n v="0"/>
  </r>
  <r>
    <x v="273"/>
    <x v="0"/>
    <x v="0"/>
    <x v="0"/>
    <n v="0"/>
    <n v="0"/>
    <n v="0"/>
    <n v="387409"/>
    <n v="0"/>
    <n v="387409"/>
    <n v="0"/>
    <m/>
    <n v="0"/>
    <n v="279076"/>
    <m/>
    <n v="279076"/>
  </r>
  <r>
    <x v="274"/>
    <x v="0"/>
    <x v="0"/>
    <x v="1"/>
    <n v="0"/>
    <n v="0"/>
    <n v="0"/>
    <n v="0"/>
    <n v="0"/>
    <n v="0"/>
    <n v="0"/>
    <m/>
    <n v="0"/>
    <n v="0"/>
    <m/>
    <n v="0"/>
  </r>
  <r>
    <x v="275"/>
    <x v="0"/>
    <x v="0"/>
    <x v="1"/>
    <n v="0"/>
    <n v="0"/>
    <n v="0"/>
    <n v="0"/>
    <n v="0"/>
    <n v="0"/>
    <n v="0"/>
    <m/>
    <n v="0"/>
    <n v="0"/>
    <m/>
    <n v="0"/>
  </r>
  <r>
    <x v="276"/>
    <x v="17"/>
    <x v="18"/>
    <x v="37"/>
    <n v="0"/>
    <n v="0"/>
    <n v="0"/>
    <n v="0"/>
    <n v="0"/>
    <n v="0"/>
    <n v="0"/>
    <m/>
    <n v="0"/>
    <n v="0"/>
    <m/>
    <n v="0"/>
  </r>
  <r>
    <x v="277"/>
    <x v="17"/>
    <x v="18"/>
    <x v="37"/>
    <n v="0"/>
    <n v="0"/>
    <n v="0"/>
    <n v="0"/>
    <n v="0"/>
    <n v="0"/>
    <n v="0"/>
    <m/>
    <n v="0"/>
    <n v="0"/>
    <m/>
    <n v="0"/>
  </r>
  <r>
    <x v="278"/>
    <x v="17"/>
    <x v="18"/>
    <x v="37"/>
    <n v="1767870"/>
    <n v="0"/>
    <n v="1767870"/>
    <n v="0"/>
    <n v="0"/>
    <n v="0"/>
    <n v="1654054"/>
    <m/>
    <n v="1654054"/>
    <n v="0"/>
    <m/>
    <n v="0"/>
  </r>
  <r>
    <x v="279"/>
    <x v="9"/>
    <x v="10"/>
    <x v="48"/>
    <n v="0"/>
    <n v="0"/>
    <n v="0"/>
    <n v="1231216"/>
    <n v="0"/>
    <n v="1231216"/>
    <n v="0"/>
    <m/>
    <n v="0"/>
    <n v="1088007"/>
    <m/>
    <n v="1088007"/>
  </r>
  <r>
    <x v="280"/>
    <x v="15"/>
    <x v="16"/>
    <x v="28"/>
    <n v="150805"/>
    <n v="0"/>
    <n v="150805"/>
    <n v="0"/>
    <n v="0"/>
    <n v="0"/>
    <n v="202312.89"/>
    <m/>
    <n v="202312.89"/>
    <n v="0"/>
    <m/>
    <n v="0"/>
  </r>
  <r>
    <x v="281"/>
    <x v="0"/>
    <x v="0"/>
    <x v="0"/>
    <n v="0"/>
    <n v="0"/>
    <n v="0"/>
    <n v="0"/>
    <n v="0"/>
    <n v="0"/>
    <n v="0"/>
    <m/>
    <n v="0"/>
    <n v="0"/>
    <m/>
    <n v="0"/>
  </r>
  <r>
    <x v="282"/>
    <x v="11"/>
    <x v="13"/>
    <x v="22"/>
    <n v="33965000"/>
    <n v="0"/>
    <n v="33965000"/>
    <n v="0"/>
    <n v="0"/>
    <n v="0"/>
    <n v="33965000"/>
    <m/>
    <n v="33965000"/>
    <n v="0"/>
    <m/>
    <n v="0"/>
  </r>
  <r>
    <x v="283"/>
    <x v="20"/>
    <x v="22"/>
    <x v="41"/>
    <n v="0"/>
    <n v="0"/>
    <n v="0"/>
    <n v="0"/>
    <n v="0"/>
    <n v="0"/>
    <n v="8000"/>
    <m/>
    <n v="8000"/>
    <n v="0"/>
    <m/>
    <n v="0"/>
  </r>
  <r>
    <x v="284"/>
    <x v="11"/>
    <x v="13"/>
    <x v="22"/>
    <n v="1344196.03"/>
    <n v="0"/>
    <n v="1344196.03"/>
    <n v="0"/>
    <n v="0"/>
    <n v="0"/>
    <n v="1330213.03"/>
    <m/>
    <n v="1330213.03"/>
    <n v="0"/>
    <m/>
    <n v="0"/>
  </r>
  <r>
    <x v="285"/>
    <x v="0"/>
    <x v="0"/>
    <x v="1"/>
    <n v="0"/>
    <n v="0"/>
    <n v="0"/>
    <n v="0"/>
    <n v="0"/>
    <n v="0"/>
    <n v="0"/>
    <m/>
    <n v="0"/>
    <n v="57671"/>
    <m/>
    <n v="57671"/>
  </r>
  <r>
    <x v="286"/>
    <x v="0"/>
    <x v="0"/>
    <x v="1"/>
    <n v="0"/>
    <n v="0"/>
    <n v="0"/>
    <n v="0"/>
    <n v="0"/>
    <n v="0"/>
    <n v="0"/>
    <m/>
    <n v="0"/>
    <n v="0"/>
    <m/>
    <n v="0"/>
  </r>
  <r>
    <x v="287"/>
    <x v="8"/>
    <x v="14"/>
    <x v="49"/>
    <n v="0"/>
    <n v="0"/>
    <n v="0"/>
    <n v="1800000"/>
    <n v="0"/>
    <n v="1800000"/>
    <n v="0"/>
    <m/>
    <n v="0"/>
    <n v="1800000"/>
    <m/>
    <n v="1800000"/>
  </r>
  <r>
    <x v="288"/>
    <x v="0"/>
    <x v="0"/>
    <x v="1"/>
    <n v="0"/>
    <n v="0"/>
    <n v="0"/>
    <n v="0"/>
    <n v="0"/>
    <n v="0"/>
    <n v="0"/>
    <m/>
    <n v="0"/>
    <n v="0"/>
    <m/>
    <n v="0"/>
  </r>
  <r>
    <x v="289"/>
    <x v="19"/>
    <x v="21"/>
    <x v="45"/>
    <n v="912232"/>
    <n v="0"/>
    <n v="912232"/>
    <n v="0"/>
    <n v="0"/>
    <n v="0"/>
    <n v="921661"/>
    <n v="-1255580"/>
    <n v="-333919"/>
    <n v="0"/>
    <m/>
    <n v="0"/>
  </r>
  <r>
    <x v="290"/>
    <x v="0"/>
    <x v="0"/>
    <x v="0"/>
    <n v="0"/>
    <n v="0"/>
    <n v="0"/>
    <n v="0"/>
    <n v="0"/>
    <n v="0"/>
    <n v="0"/>
    <m/>
    <n v="0"/>
    <n v="0"/>
    <m/>
    <n v="0"/>
  </r>
  <r>
    <x v="291"/>
    <x v="0"/>
    <x v="0"/>
    <x v="0"/>
    <n v="0"/>
    <n v="0"/>
    <n v="0"/>
    <n v="0"/>
    <n v="0"/>
    <n v="0"/>
    <n v="0"/>
    <m/>
    <n v="0"/>
    <n v="116424"/>
    <m/>
    <n v="116424"/>
  </r>
  <r>
    <x v="292"/>
    <x v="4"/>
    <x v="8"/>
    <x v="9"/>
    <n v="0"/>
    <n v="0"/>
    <n v="0"/>
    <n v="0"/>
    <n v="0"/>
    <n v="0"/>
    <n v="0"/>
    <m/>
    <n v="0"/>
    <n v="0"/>
    <m/>
    <n v="0"/>
  </r>
  <r>
    <x v="293"/>
    <x v="4"/>
    <x v="8"/>
    <x v="30"/>
    <n v="0"/>
    <n v="0"/>
    <n v="0"/>
    <n v="0"/>
    <n v="0"/>
    <n v="0"/>
    <n v="45000"/>
    <m/>
    <n v="45000"/>
    <n v="0"/>
    <m/>
    <n v="0"/>
  </r>
  <r>
    <x v="294"/>
    <x v="4"/>
    <x v="8"/>
    <x v="30"/>
    <n v="30000"/>
    <n v="0"/>
    <n v="30000"/>
    <n v="0"/>
    <n v="0"/>
    <n v="0"/>
    <n v="45000"/>
    <m/>
    <m/>
    <m/>
    <m/>
    <m/>
  </r>
  <r>
    <x v="295"/>
    <x v="4"/>
    <x v="8"/>
    <x v="30"/>
    <n v="0"/>
    <n v="0"/>
    <n v="0"/>
    <n v="0"/>
    <n v="0"/>
    <n v="0"/>
    <n v="0"/>
    <m/>
    <n v="0"/>
    <n v="0"/>
    <m/>
    <n v="0"/>
  </r>
  <r>
    <x v="296"/>
    <x v="4"/>
    <x v="8"/>
    <x v="30"/>
    <n v="0"/>
    <n v="0"/>
    <n v="0"/>
    <n v="0"/>
    <n v="0"/>
    <n v="0"/>
    <n v="0"/>
    <m/>
    <n v="0"/>
    <n v="0"/>
    <m/>
    <n v="0"/>
  </r>
  <r>
    <x v="297"/>
    <x v="4"/>
    <x v="8"/>
    <x v="30"/>
    <n v="0"/>
    <n v="0"/>
    <n v="0"/>
    <n v="0"/>
    <n v="0"/>
    <n v="0"/>
    <n v="0"/>
    <m/>
    <n v="0"/>
    <n v="0"/>
    <m/>
    <n v="0"/>
  </r>
  <r>
    <x v="298"/>
    <x v="4"/>
    <x v="8"/>
    <x v="30"/>
    <n v="0"/>
    <n v="0"/>
    <n v="0"/>
    <n v="0"/>
    <n v="0"/>
    <n v="0"/>
    <n v="0"/>
    <m/>
    <n v="0"/>
    <n v="0"/>
    <m/>
    <n v="0"/>
  </r>
  <r>
    <x v="299"/>
    <x v="0"/>
    <x v="0"/>
    <x v="0"/>
    <n v="0"/>
    <n v="0"/>
    <n v="0"/>
    <n v="0"/>
    <n v="0"/>
    <n v="0"/>
    <n v="0"/>
    <m/>
    <n v="0"/>
    <n v="0"/>
    <m/>
    <n v="0"/>
  </r>
  <r>
    <x v="300"/>
    <x v="0"/>
    <x v="0"/>
    <x v="0"/>
    <n v="0"/>
    <n v="0"/>
    <n v="0"/>
    <n v="30000"/>
    <n v="0"/>
    <n v="30000"/>
    <n v="0"/>
    <m/>
    <n v="0"/>
    <m/>
    <m/>
    <m/>
  </r>
  <r>
    <x v="301"/>
    <x v="4"/>
    <x v="8"/>
    <x v="9"/>
    <n v="18000"/>
    <n v="0"/>
    <n v="18000"/>
    <n v="0"/>
    <n v="0"/>
    <n v="0"/>
    <n v="36000"/>
    <m/>
    <n v="36000"/>
    <n v="0"/>
    <m/>
    <n v="0"/>
  </r>
  <r>
    <x v="302"/>
    <x v="0"/>
    <x v="0"/>
    <x v="1"/>
    <n v="0"/>
    <n v="0"/>
    <n v="0"/>
    <n v="0"/>
    <n v="0"/>
    <n v="0"/>
    <n v="0"/>
    <m/>
    <n v="0"/>
    <n v="0"/>
    <m/>
    <n v="0"/>
  </r>
  <r>
    <x v="303"/>
    <x v="0"/>
    <x v="0"/>
    <x v="0"/>
    <n v="0"/>
    <n v="0"/>
    <n v="0"/>
    <n v="0"/>
    <n v="0"/>
    <n v="0"/>
    <n v="0"/>
    <m/>
    <n v="0"/>
    <n v="8459"/>
    <m/>
    <n v="8459"/>
  </r>
  <r>
    <x v="304"/>
    <x v="7"/>
    <x v="7"/>
    <x v="8"/>
    <n v="0"/>
    <n v="0"/>
    <n v="0"/>
    <n v="1320768"/>
    <n v="0"/>
    <n v="1320768"/>
    <n v="0"/>
    <m/>
    <n v="0"/>
    <n v="1176528"/>
    <m/>
    <n v="1176528"/>
  </r>
  <r>
    <x v="305"/>
    <x v="6"/>
    <x v="6"/>
    <x v="7"/>
    <n v="15000"/>
    <n v="0"/>
    <n v="15000"/>
    <n v="0"/>
    <n v="0"/>
    <n v="0"/>
    <n v="27000"/>
    <m/>
    <n v="27000"/>
    <n v="0"/>
    <m/>
    <n v="0"/>
  </r>
  <r>
    <x v="306"/>
    <x v="0"/>
    <x v="0"/>
    <x v="1"/>
    <n v="0"/>
    <n v="0"/>
    <n v="0"/>
    <n v="114473"/>
    <n v="0"/>
    <n v="114473"/>
    <n v="0"/>
    <m/>
    <n v="0"/>
    <n v="67381.600000000006"/>
    <m/>
    <n v="67381.600000000006"/>
  </r>
  <r>
    <x v="307"/>
    <x v="1"/>
    <x v="1"/>
    <x v="2"/>
    <n v="0"/>
    <n v="0"/>
    <n v="0"/>
    <n v="0"/>
    <n v="0"/>
    <n v="0"/>
    <n v="1753713"/>
    <m/>
    <n v="1753713"/>
    <n v="0"/>
    <m/>
    <n v="0"/>
  </r>
  <r>
    <x v="308"/>
    <x v="1"/>
    <x v="1"/>
    <x v="2"/>
    <n v="0"/>
    <n v="0"/>
    <n v="0"/>
    <n v="0"/>
    <n v="0"/>
    <n v="0"/>
    <n v="0"/>
    <m/>
    <n v="0"/>
    <n v="0"/>
    <m/>
    <n v="0"/>
  </r>
  <r>
    <x v="309"/>
    <x v="1"/>
    <x v="1"/>
    <x v="2"/>
    <n v="0"/>
    <n v="0"/>
    <n v="0"/>
    <n v="0"/>
    <n v="0"/>
    <n v="0"/>
    <n v="0"/>
    <m/>
    <n v="0"/>
    <n v="0"/>
    <m/>
    <n v="0"/>
  </r>
  <r>
    <x v="310"/>
    <x v="4"/>
    <x v="8"/>
    <x v="50"/>
    <n v="48000"/>
    <n v="0"/>
    <n v="48000"/>
    <n v="0"/>
    <n v="0"/>
    <n v="0"/>
    <n v="8000"/>
    <m/>
    <n v="8000"/>
    <n v="0"/>
    <m/>
    <n v="0"/>
  </r>
  <r>
    <x v="311"/>
    <x v="14"/>
    <x v="9"/>
    <x v="27"/>
    <n v="0"/>
    <n v="0"/>
    <n v="0"/>
    <n v="0"/>
    <n v="0"/>
    <n v="0"/>
    <n v="0"/>
    <m/>
    <n v="0"/>
    <n v="0"/>
    <m/>
    <n v="0"/>
  </r>
  <r>
    <x v="312"/>
    <x v="14"/>
    <x v="9"/>
    <x v="27"/>
    <n v="0"/>
    <n v="0"/>
    <n v="0"/>
    <n v="0"/>
    <n v="0"/>
    <n v="0"/>
    <n v="0"/>
    <m/>
    <n v="0"/>
    <n v="0"/>
    <m/>
    <n v="0"/>
  </r>
  <r>
    <x v="313"/>
    <x v="14"/>
    <x v="9"/>
    <x v="27"/>
    <n v="0"/>
    <n v="0"/>
    <n v="0"/>
    <n v="0"/>
    <n v="0"/>
    <n v="0"/>
    <n v="0"/>
    <m/>
    <n v="0"/>
    <n v="0"/>
    <m/>
    <n v="0"/>
  </r>
  <r>
    <x v="314"/>
    <x v="14"/>
    <x v="9"/>
    <x v="27"/>
    <n v="0"/>
    <n v="0"/>
    <n v="0"/>
    <n v="0"/>
    <n v="0"/>
    <n v="0"/>
    <n v="0"/>
    <m/>
    <n v="0"/>
    <n v="0"/>
    <m/>
    <n v="0"/>
  </r>
  <r>
    <x v="315"/>
    <x v="14"/>
    <x v="9"/>
    <x v="27"/>
    <n v="0"/>
    <n v="0"/>
    <n v="0"/>
    <n v="0"/>
    <n v="0"/>
    <n v="0"/>
    <n v="0"/>
    <m/>
    <n v="0"/>
    <n v="0"/>
    <m/>
    <n v="0"/>
  </r>
  <r>
    <x v="316"/>
    <x v="14"/>
    <x v="9"/>
    <x v="27"/>
    <n v="0"/>
    <n v="0"/>
    <n v="0"/>
    <n v="0"/>
    <n v="0"/>
    <n v="0"/>
    <n v="0"/>
    <m/>
    <n v="0"/>
    <n v="0"/>
    <m/>
    <n v="0"/>
  </r>
  <r>
    <x v="317"/>
    <x v="14"/>
    <x v="9"/>
    <x v="27"/>
    <n v="0"/>
    <n v="0"/>
    <n v="0"/>
    <n v="0"/>
    <n v="0"/>
    <n v="0"/>
    <n v="0"/>
    <m/>
    <n v="0"/>
    <n v="0"/>
    <m/>
    <n v="0"/>
  </r>
  <r>
    <x v="318"/>
    <x v="14"/>
    <x v="9"/>
    <x v="27"/>
    <n v="0"/>
    <n v="0"/>
    <n v="0"/>
    <n v="0"/>
    <n v="0"/>
    <n v="0"/>
    <n v="0"/>
    <m/>
    <n v="0"/>
    <n v="0"/>
    <m/>
    <n v="0"/>
  </r>
  <r>
    <x v="319"/>
    <x v="14"/>
    <x v="9"/>
    <x v="27"/>
    <n v="0"/>
    <n v="0"/>
    <n v="0"/>
    <n v="0"/>
    <n v="0"/>
    <n v="0"/>
    <n v="0"/>
    <m/>
    <n v="0"/>
    <n v="0"/>
    <m/>
    <n v="0"/>
  </r>
  <r>
    <x v="320"/>
    <x v="14"/>
    <x v="9"/>
    <x v="27"/>
    <n v="0"/>
    <n v="0"/>
    <n v="0"/>
    <n v="0"/>
    <n v="0"/>
    <n v="0"/>
    <n v="0"/>
    <m/>
    <n v="0"/>
    <n v="0"/>
    <m/>
    <n v="0"/>
  </r>
  <r>
    <x v="321"/>
    <x v="14"/>
    <x v="9"/>
    <x v="27"/>
    <n v="0"/>
    <n v="0"/>
    <n v="0"/>
    <n v="0"/>
    <n v="0"/>
    <n v="0"/>
    <n v="74562"/>
    <m/>
    <n v="74562"/>
    <n v="0"/>
    <m/>
    <n v="0"/>
  </r>
  <r>
    <x v="322"/>
    <x v="14"/>
    <x v="9"/>
    <x v="27"/>
    <n v="0"/>
    <n v="0"/>
    <n v="0"/>
    <n v="0"/>
    <n v="0"/>
    <n v="0"/>
    <n v="0"/>
    <m/>
    <n v="0"/>
    <n v="0"/>
    <m/>
    <n v="0"/>
  </r>
  <r>
    <x v="323"/>
    <x v="0"/>
    <x v="0"/>
    <x v="1"/>
    <n v="0"/>
    <n v="0"/>
    <n v="0"/>
    <n v="0"/>
    <n v="0"/>
    <n v="0"/>
    <n v="0"/>
    <m/>
    <n v="0"/>
    <n v="0"/>
    <m/>
    <n v="0"/>
  </r>
  <r>
    <x v="324"/>
    <x v="15"/>
    <x v="16"/>
    <x v="28"/>
    <n v="142111717"/>
    <n v="0"/>
    <n v="142111717"/>
    <n v="0"/>
    <n v="0"/>
    <n v="0"/>
    <n v="97418771"/>
    <m/>
    <n v="97418771"/>
    <n v="0"/>
    <m/>
    <n v="0"/>
  </r>
  <r>
    <x v="325"/>
    <x v="21"/>
    <x v="24"/>
    <x v="38"/>
    <n v="0"/>
    <n v="0"/>
    <n v="0"/>
    <n v="1486209"/>
    <n v="0"/>
    <n v="1486209"/>
    <n v="0"/>
    <m/>
    <n v="0"/>
    <n v="1301094"/>
    <m/>
    <n v="1301094"/>
  </r>
  <r>
    <x v="326"/>
    <x v="19"/>
    <x v="21"/>
    <x v="40"/>
    <n v="1234315"/>
    <n v="0"/>
    <n v="1234315"/>
    <n v="0"/>
    <n v="0"/>
    <n v="0"/>
    <n v="1301094"/>
    <m/>
    <n v="1301094"/>
    <n v="0"/>
    <m/>
    <n v="0"/>
  </r>
  <r>
    <x v="327"/>
    <x v="0"/>
    <x v="0"/>
    <x v="1"/>
    <n v="0"/>
    <n v="0"/>
    <n v="0"/>
    <n v="708000"/>
    <n v="0"/>
    <n v="708000"/>
    <n v="0"/>
    <m/>
    <n v="0"/>
    <n v="0"/>
    <m/>
    <n v="0"/>
  </r>
  <r>
    <x v="328"/>
    <x v="0"/>
    <x v="0"/>
    <x v="1"/>
    <n v="0"/>
    <n v="0"/>
    <n v="0"/>
    <n v="0"/>
    <n v="0"/>
    <n v="0"/>
    <n v="0"/>
    <m/>
    <n v="0"/>
    <n v="11630"/>
    <m/>
    <n v="11630"/>
  </r>
  <r>
    <x v="329"/>
    <x v="1"/>
    <x v="1"/>
    <x v="2"/>
    <n v="0"/>
    <n v="0"/>
    <n v="0"/>
    <n v="0"/>
    <n v="0"/>
    <n v="0"/>
    <n v="330414"/>
    <m/>
    <n v="330414"/>
    <n v="0"/>
    <m/>
    <n v="0"/>
  </r>
  <r>
    <x v="330"/>
    <x v="5"/>
    <x v="5"/>
    <x v="6"/>
    <n v="0"/>
    <n v="0"/>
    <n v="0"/>
    <n v="0"/>
    <n v="0"/>
    <n v="0"/>
    <n v="0"/>
    <m/>
    <n v="0"/>
    <n v="0"/>
    <m/>
    <n v="0"/>
  </r>
  <r>
    <x v="331"/>
    <x v="4"/>
    <x v="4"/>
    <x v="51"/>
    <n v="369150"/>
    <n v="0"/>
    <n v="369150"/>
    <n v="0"/>
    <n v="0"/>
    <n v="0"/>
    <n v="295193"/>
    <m/>
    <n v="295193"/>
    <n v="0"/>
    <m/>
    <n v="0"/>
  </r>
  <r>
    <x v="332"/>
    <x v="4"/>
    <x v="4"/>
    <x v="51"/>
    <n v="0"/>
    <n v="0"/>
    <n v="0"/>
    <n v="0"/>
    <n v="0"/>
    <n v="0"/>
    <n v="45574"/>
    <m/>
    <n v="45574"/>
    <n v="0"/>
    <m/>
    <n v="0"/>
  </r>
  <r>
    <x v="333"/>
    <x v="4"/>
    <x v="8"/>
    <x v="52"/>
    <n v="1140533"/>
    <n v="0"/>
    <n v="1140533"/>
    <n v="0"/>
    <n v="0"/>
    <n v="0"/>
    <n v="907184"/>
    <m/>
    <n v="907184"/>
    <n v="0"/>
    <m/>
    <n v="0"/>
  </r>
  <r>
    <x v="334"/>
    <x v="5"/>
    <x v="5"/>
    <x v="53"/>
    <n v="360609"/>
    <n v="0"/>
    <n v="360609"/>
    <n v="0"/>
    <n v="0"/>
    <n v="0"/>
    <n v="545158"/>
    <m/>
    <n v="545158"/>
    <n v="0"/>
    <m/>
    <n v="0"/>
  </r>
  <r>
    <x v="335"/>
    <x v="5"/>
    <x v="5"/>
    <x v="54"/>
    <n v="579346"/>
    <n v="0"/>
    <n v="579346"/>
    <n v="0"/>
    <n v="0"/>
    <n v="0"/>
    <n v="469083"/>
    <m/>
    <n v="469083"/>
    <n v="0"/>
    <m/>
    <n v="0"/>
  </r>
  <r>
    <x v="336"/>
    <x v="0"/>
    <x v="0"/>
    <x v="1"/>
    <n v="11945"/>
    <n v="0"/>
    <n v="11945"/>
    <n v="0"/>
    <n v="0"/>
    <n v="0"/>
    <n v="10681"/>
    <m/>
    <n v="10681"/>
    <n v="0"/>
    <m/>
    <n v="0"/>
  </r>
  <r>
    <x v="337"/>
    <x v="9"/>
    <x v="10"/>
    <x v="55"/>
    <n v="0"/>
    <n v="0"/>
    <n v="0"/>
    <n v="160002.60999999999"/>
    <n v="0"/>
    <n v="160002.60999999999"/>
    <n v="0"/>
    <m/>
    <n v="0"/>
    <n v="75929"/>
    <m/>
    <n v="75929"/>
  </r>
  <r>
    <x v="338"/>
    <x v="15"/>
    <x v="16"/>
    <x v="28"/>
    <n v="0"/>
    <n v="0"/>
    <n v="0"/>
    <n v="0"/>
    <n v="0"/>
    <n v="0"/>
    <n v="0"/>
    <m/>
    <n v="0"/>
    <n v="902538"/>
    <m/>
    <n v="902538"/>
  </r>
  <r>
    <x v="339"/>
    <x v="4"/>
    <x v="8"/>
    <x v="56"/>
    <n v="0"/>
    <n v="0"/>
    <n v="0"/>
    <n v="0"/>
    <n v="0"/>
    <n v="0"/>
    <n v="1699939"/>
    <m/>
    <n v="1699939"/>
    <n v="0"/>
    <m/>
    <n v="0"/>
  </r>
  <r>
    <x v="340"/>
    <x v="4"/>
    <x v="8"/>
    <x v="24"/>
    <n v="0"/>
    <n v="0"/>
    <n v="0"/>
    <n v="0"/>
    <n v="0"/>
    <n v="0"/>
    <n v="0"/>
    <m/>
    <n v="0"/>
    <n v="0"/>
    <m/>
    <n v="0"/>
  </r>
  <r>
    <x v="341"/>
    <x v="8"/>
    <x v="8"/>
    <x v="57"/>
    <n v="0"/>
    <n v="0"/>
    <n v="0"/>
    <n v="0"/>
    <n v="0"/>
    <n v="0"/>
    <n v="0"/>
    <m/>
    <n v="0"/>
    <n v="0"/>
    <m/>
    <n v="0"/>
  </r>
  <r>
    <x v="342"/>
    <x v="10"/>
    <x v="11"/>
    <x v="58"/>
    <n v="0"/>
    <n v="0"/>
    <n v="0"/>
    <n v="0"/>
    <n v="0"/>
    <n v="0"/>
    <n v="0"/>
    <m/>
    <n v="0"/>
    <n v="0"/>
    <m/>
    <n v="0"/>
  </r>
  <r>
    <x v="343"/>
    <x v="10"/>
    <x v="11"/>
    <x v="58"/>
    <n v="0"/>
    <n v="0"/>
    <n v="0"/>
    <n v="0"/>
    <n v="0"/>
    <n v="0"/>
    <n v="1838"/>
    <m/>
    <n v="1838"/>
    <n v="0"/>
    <m/>
    <n v="0"/>
  </r>
  <r>
    <x v="344"/>
    <x v="10"/>
    <x v="11"/>
    <x v="58"/>
    <n v="0"/>
    <n v="0"/>
    <n v="0"/>
    <n v="0"/>
    <n v="0"/>
    <n v="0"/>
    <n v="2098"/>
    <m/>
    <n v="2098"/>
    <n v="0"/>
    <m/>
    <n v="0"/>
  </r>
  <r>
    <x v="345"/>
    <x v="10"/>
    <x v="11"/>
    <x v="58"/>
    <n v="115865.81"/>
    <n v="0"/>
    <n v="115865.81"/>
    <n v="0"/>
    <n v="0"/>
    <n v="0"/>
    <n v="368858"/>
    <m/>
    <n v="368858"/>
    <n v="0"/>
    <m/>
    <n v="0"/>
  </r>
  <r>
    <x v="346"/>
    <x v="10"/>
    <x v="11"/>
    <x v="58"/>
    <n v="143075.34"/>
    <n v="0"/>
    <n v="143075.34"/>
    <n v="0"/>
    <n v="0"/>
    <n v="0"/>
    <n v="460969"/>
    <m/>
    <n v="460969"/>
    <n v="0"/>
    <m/>
    <n v="0"/>
  </r>
  <r>
    <x v="347"/>
    <x v="4"/>
    <x v="8"/>
    <x v="24"/>
    <n v="28228"/>
    <n v="0"/>
    <n v="28228"/>
    <n v="0"/>
    <n v="0"/>
    <n v="0"/>
    <n v="7"/>
    <m/>
    <n v="7"/>
    <n v="0"/>
    <m/>
    <n v="0"/>
  </r>
  <r>
    <x v="348"/>
    <x v="4"/>
    <x v="8"/>
    <x v="24"/>
    <n v="14597"/>
    <n v="0"/>
    <n v="14597"/>
    <n v="0"/>
    <n v="0"/>
    <n v="0"/>
    <n v="10150"/>
    <m/>
    <n v="10150"/>
    <n v="0"/>
    <m/>
    <n v="0"/>
  </r>
  <r>
    <x v="349"/>
    <x v="4"/>
    <x v="8"/>
    <x v="24"/>
    <n v="11403"/>
    <n v="0"/>
    <n v="11403"/>
    <n v="0"/>
    <n v="0"/>
    <n v="0"/>
    <n v="468"/>
    <m/>
    <n v="468"/>
    <n v="0"/>
    <m/>
    <n v="0"/>
  </r>
  <r>
    <x v="350"/>
    <x v="4"/>
    <x v="8"/>
    <x v="24"/>
    <n v="154003"/>
    <n v="0"/>
    <n v="154003"/>
    <n v="0"/>
    <n v="0"/>
    <n v="0"/>
    <n v="19982"/>
    <m/>
    <n v="19982"/>
    <n v="0"/>
    <m/>
    <n v="0"/>
  </r>
  <r>
    <x v="351"/>
    <x v="4"/>
    <x v="8"/>
    <x v="24"/>
    <n v="0"/>
    <n v="0"/>
    <n v="0"/>
    <n v="0"/>
    <n v="0"/>
    <n v="0"/>
    <n v="76133"/>
    <m/>
    <n v="76133"/>
    <n v="0"/>
    <m/>
    <n v="0"/>
  </r>
  <r>
    <x v="352"/>
    <x v="4"/>
    <x v="8"/>
    <x v="24"/>
    <n v="2716"/>
    <n v="0"/>
    <n v="2716"/>
    <n v="0"/>
    <n v="0"/>
    <n v="0"/>
    <n v="0"/>
    <m/>
    <n v="0"/>
    <n v="0"/>
    <m/>
    <n v="0"/>
  </r>
  <r>
    <x v="353"/>
    <x v="4"/>
    <x v="8"/>
    <x v="24"/>
    <n v="0"/>
    <n v="0"/>
    <n v="0"/>
    <n v="0"/>
    <n v="0"/>
    <n v="0"/>
    <n v="0"/>
    <m/>
    <n v="0"/>
    <n v="0"/>
    <m/>
    <n v="0"/>
  </r>
  <r>
    <x v="354"/>
    <x v="4"/>
    <x v="8"/>
    <x v="24"/>
    <n v="0"/>
    <n v="0"/>
    <n v="0"/>
    <n v="0"/>
    <n v="0"/>
    <n v="0"/>
    <n v="0"/>
    <m/>
    <n v="0"/>
    <n v="0"/>
    <m/>
    <n v="0"/>
  </r>
  <r>
    <x v="355"/>
    <x v="4"/>
    <x v="8"/>
    <x v="24"/>
    <n v="44863"/>
    <n v="0"/>
    <n v="44863"/>
    <n v="0"/>
    <n v="0"/>
    <n v="0"/>
    <n v="7"/>
    <m/>
    <n v="7"/>
    <n v="0"/>
    <m/>
    <n v="0"/>
  </r>
  <r>
    <x v="356"/>
    <x v="4"/>
    <x v="8"/>
    <x v="24"/>
    <n v="6791"/>
    <n v="0"/>
    <n v="6791"/>
    <n v="0"/>
    <n v="0"/>
    <n v="0"/>
    <n v="4285"/>
    <m/>
    <n v="4285"/>
    <n v="0"/>
    <m/>
    <n v="0"/>
  </r>
  <r>
    <x v="357"/>
    <x v="4"/>
    <x v="8"/>
    <x v="24"/>
    <n v="0"/>
    <n v="0"/>
    <n v="0"/>
    <n v="0"/>
    <n v="0"/>
    <n v="0"/>
    <n v="0"/>
    <m/>
    <n v="0"/>
    <n v="0"/>
    <m/>
    <n v="0"/>
  </r>
  <r>
    <x v="358"/>
    <x v="4"/>
    <x v="8"/>
    <x v="24"/>
    <n v="0"/>
    <n v="0"/>
    <n v="0"/>
    <n v="0"/>
    <n v="0"/>
    <n v="0"/>
    <n v="0"/>
    <m/>
    <n v="0"/>
    <n v="0"/>
    <m/>
    <n v="0"/>
  </r>
  <r>
    <x v="359"/>
    <x v="22"/>
    <x v="25"/>
    <x v="59"/>
    <n v="0"/>
    <n v="0"/>
    <n v="0"/>
    <n v="0"/>
    <n v="0"/>
    <n v="0"/>
    <n v="0"/>
    <m/>
    <n v="0"/>
    <n v="139269"/>
    <m/>
    <n v="139269"/>
  </r>
  <r>
    <x v="360"/>
    <x v="10"/>
    <x v="11"/>
    <x v="58"/>
    <n v="4146914"/>
    <n v="0"/>
    <n v="4146914"/>
    <n v="0"/>
    <n v="0"/>
    <n v="0"/>
    <n v="2678489.9500000002"/>
    <m/>
    <n v="2678489.9500000002"/>
    <n v="0"/>
    <m/>
    <n v="0"/>
  </r>
  <r>
    <x v="361"/>
    <x v="10"/>
    <x v="11"/>
    <x v="58"/>
    <n v="0"/>
    <n v="0"/>
    <n v="0"/>
    <n v="0"/>
    <n v="0"/>
    <n v="0"/>
    <n v="6"/>
    <m/>
    <n v="6"/>
    <n v="0"/>
    <m/>
    <n v="0"/>
  </r>
  <r>
    <x v="362"/>
    <x v="10"/>
    <x v="11"/>
    <x v="58"/>
    <n v="0"/>
    <n v="0"/>
    <n v="0"/>
    <n v="0"/>
    <n v="0"/>
    <n v="0"/>
    <n v="1225"/>
    <m/>
    <n v="1225"/>
    <n v="0"/>
    <m/>
    <n v="0"/>
  </r>
  <r>
    <x v="363"/>
    <x v="10"/>
    <x v="11"/>
    <x v="58"/>
    <n v="1795701"/>
    <n v="0"/>
    <n v="1795701"/>
    <n v="0"/>
    <n v="0"/>
    <n v="0"/>
    <n v="1577670"/>
    <m/>
    <n v="1577670"/>
    <n v="0"/>
    <m/>
    <n v="0"/>
  </r>
  <r>
    <x v="364"/>
    <x v="4"/>
    <x v="8"/>
    <x v="60"/>
    <n v="200000"/>
    <n v="0"/>
    <n v="200000"/>
    <n v="0"/>
    <n v="0"/>
    <n v="0"/>
    <n v="180000"/>
    <m/>
    <n v="180000"/>
    <n v="0"/>
    <m/>
    <n v="0"/>
  </r>
  <r>
    <x v="365"/>
    <x v="0"/>
    <x v="0"/>
    <x v="1"/>
    <n v="0"/>
    <n v="0"/>
    <n v="0"/>
    <n v="0"/>
    <n v="0"/>
    <n v="0"/>
    <n v="0"/>
    <m/>
    <n v="0"/>
    <n v="0"/>
    <m/>
    <n v="0"/>
  </r>
  <r>
    <x v="366"/>
    <x v="0"/>
    <x v="0"/>
    <x v="1"/>
    <n v="0"/>
    <n v="0"/>
    <n v="0"/>
    <n v="828637"/>
    <n v="0"/>
    <n v="828637"/>
    <n v="0"/>
    <m/>
    <n v="0"/>
    <n v="537677"/>
    <m/>
    <n v="537677"/>
  </r>
  <r>
    <x v="367"/>
    <x v="0"/>
    <x v="0"/>
    <x v="1"/>
    <n v="0"/>
    <n v="0"/>
    <n v="0"/>
    <n v="0"/>
    <n v="0"/>
    <n v="0"/>
    <n v="0"/>
    <m/>
    <n v="0"/>
    <n v="0"/>
    <m/>
    <n v="0"/>
  </r>
  <r>
    <x v="368"/>
    <x v="0"/>
    <x v="0"/>
    <x v="1"/>
    <n v="0"/>
    <n v="0"/>
    <n v="0"/>
    <n v="2686453"/>
    <n v="0"/>
    <n v="2686453"/>
    <n v="0"/>
    <m/>
    <n v="0"/>
    <n v="2456715"/>
    <m/>
    <n v="2456715"/>
  </r>
  <r>
    <x v="369"/>
    <x v="1"/>
    <x v="1"/>
    <x v="2"/>
    <n v="0"/>
    <n v="0"/>
    <n v="0"/>
    <n v="0"/>
    <n v="0"/>
    <n v="0"/>
    <n v="0"/>
    <m/>
    <n v="0"/>
    <n v="0"/>
    <m/>
    <n v="0"/>
  </r>
  <r>
    <x v="370"/>
    <x v="1"/>
    <x v="1"/>
    <x v="2"/>
    <n v="0"/>
    <n v="0"/>
    <n v="0"/>
    <n v="0"/>
    <n v="0"/>
    <n v="0"/>
    <n v="172778"/>
    <m/>
    <n v="172778"/>
    <n v="0"/>
    <m/>
    <n v="0"/>
  </r>
  <r>
    <x v="371"/>
    <x v="0"/>
    <x v="0"/>
    <x v="1"/>
    <n v="0"/>
    <n v="0"/>
    <n v="0"/>
    <n v="0"/>
    <n v="0"/>
    <n v="0"/>
    <n v="0"/>
    <m/>
    <n v="0"/>
    <n v="0"/>
    <m/>
    <n v="0"/>
  </r>
  <r>
    <x v="372"/>
    <x v="0"/>
    <x v="0"/>
    <x v="0"/>
    <n v="0"/>
    <n v="0"/>
    <n v="0"/>
    <n v="0"/>
    <n v="0"/>
    <n v="0"/>
    <n v="0"/>
    <m/>
    <n v="0"/>
    <n v="0"/>
    <m/>
    <n v="0"/>
  </r>
  <r>
    <x v="373"/>
    <x v="0"/>
    <x v="0"/>
    <x v="0"/>
    <n v="0"/>
    <n v="0"/>
    <n v="0"/>
    <n v="0"/>
    <n v="0"/>
    <n v="0"/>
    <n v="0"/>
    <m/>
    <n v="0"/>
    <n v="0"/>
    <m/>
    <n v="0"/>
  </r>
  <r>
    <x v="374"/>
    <x v="0"/>
    <x v="0"/>
    <x v="0"/>
    <n v="0"/>
    <n v="0"/>
    <n v="0"/>
    <n v="0"/>
    <n v="0"/>
    <n v="0"/>
    <n v="0"/>
    <m/>
    <n v="0"/>
    <n v="0"/>
    <m/>
    <n v="0"/>
  </r>
  <r>
    <x v="375"/>
    <x v="2"/>
    <x v="2"/>
    <x v="3"/>
    <n v="700000"/>
    <n v="0"/>
    <n v="700000"/>
    <n v="0"/>
    <n v="0"/>
    <n v="0"/>
    <n v="0"/>
    <m/>
    <n v="0"/>
    <n v="0"/>
    <m/>
    <n v="0"/>
  </r>
  <r>
    <x v="376"/>
    <x v="7"/>
    <x v="7"/>
    <x v="8"/>
    <n v="0"/>
    <n v="0"/>
    <n v="0"/>
    <n v="5747563"/>
    <n v="0"/>
    <n v="5747563"/>
    <n v="0"/>
    <m/>
    <n v="0"/>
    <n v="6384474"/>
    <m/>
    <n v="6384474"/>
  </r>
  <r>
    <x v="377"/>
    <x v="0"/>
    <x v="0"/>
    <x v="1"/>
    <n v="0"/>
    <n v="0"/>
    <n v="0"/>
    <n v="0"/>
    <n v="0"/>
    <n v="0"/>
    <n v="0"/>
    <m/>
    <n v="0"/>
    <n v="0"/>
    <m/>
    <n v="0"/>
  </r>
  <r>
    <x v="378"/>
    <x v="1"/>
    <x v="1"/>
    <x v="2"/>
    <n v="0"/>
    <n v="0"/>
    <n v="0"/>
    <n v="0"/>
    <n v="0"/>
    <n v="0"/>
    <n v="0"/>
    <m/>
    <n v="0"/>
    <n v="0"/>
    <m/>
    <n v="0"/>
  </r>
  <r>
    <x v="379"/>
    <x v="1"/>
    <x v="1"/>
    <x v="2"/>
    <n v="1310924"/>
    <n v="0"/>
    <n v="1310924"/>
    <n v="0"/>
    <n v="0"/>
    <n v="0"/>
    <n v="0"/>
    <m/>
    <n v="0"/>
    <n v="0"/>
    <m/>
    <n v="0"/>
  </r>
  <r>
    <x v="380"/>
    <x v="1"/>
    <x v="1"/>
    <x v="2"/>
    <n v="0"/>
    <n v="0"/>
    <n v="0"/>
    <n v="0"/>
    <n v="0"/>
    <n v="0"/>
    <n v="573513"/>
    <m/>
    <n v="573513"/>
    <n v="0"/>
    <m/>
    <n v="0"/>
  </r>
  <r>
    <x v="381"/>
    <x v="0"/>
    <x v="0"/>
    <x v="0"/>
    <n v="0"/>
    <n v="0"/>
    <n v="0"/>
    <n v="0"/>
    <n v="0"/>
    <n v="0"/>
    <n v="0"/>
    <m/>
    <n v="0"/>
    <n v="0"/>
    <m/>
    <n v="0"/>
  </r>
  <r>
    <x v="382"/>
    <x v="6"/>
    <x v="6"/>
    <x v="7"/>
    <n v="20000"/>
    <n v="0"/>
    <n v="20000"/>
    <n v="0"/>
    <n v="0"/>
    <n v="0"/>
    <n v="66000"/>
    <m/>
    <n v="66000"/>
    <n v="0"/>
    <m/>
    <n v="0"/>
  </r>
  <r>
    <x v="383"/>
    <x v="0"/>
    <x v="0"/>
    <x v="0"/>
    <n v="0"/>
    <n v="0"/>
    <n v="0"/>
    <n v="0"/>
    <n v="0"/>
    <n v="0"/>
    <n v="0"/>
    <m/>
    <n v="0"/>
    <n v="0"/>
    <m/>
    <n v="0"/>
  </r>
  <r>
    <x v="384"/>
    <x v="0"/>
    <x v="0"/>
    <x v="0"/>
    <n v="0"/>
    <n v="0"/>
    <n v="0"/>
    <n v="4130"/>
    <n v="0"/>
    <n v="4130"/>
    <n v="0"/>
    <m/>
    <n v="0"/>
    <n v="0"/>
    <m/>
    <n v="0"/>
  </r>
  <r>
    <x v="385"/>
    <x v="7"/>
    <x v="7"/>
    <x v="8"/>
    <n v="0"/>
    <n v="0"/>
    <n v="0"/>
    <n v="3790656"/>
    <n v="0"/>
    <n v="3790656"/>
    <n v="0"/>
    <m/>
    <n v="0"/>
    <n v="3529583"/>
    <m/>
    <n v="3529583"/>
  </r>
  <r>
    <x v="386"/>
    <x v="0"/>
    <x v="0"/>
    <x v="1"/>
    <n v="0"/>
    <n v="0"/>
    <n v="0"/>
    <n v="17205005.399999999"/>
    <n v="0"/>
    <n v="17205005.399999999"/>
    <n v="0"/>
    <m/>
    <n v="0"/>
    <n v="12238807.5"/>
    <m/>
    <n v="12238807.5"/>
  </r>
  <r>
    <x v="387"/>
    <x v="0"/>
    <x v="0"/>
    <x v="1"/>
    <n v="0"/>
    <n v="0"/>
    <n v="0"/>
    <n v="5788"/>
    <n v="0"/>
    <n v="5788"/>
    <n v="0"/>
    <m/>
    <n v="0"/>
    <n v="0"/>
    <m/>
    <n v="0"/>
  </r>
  <r>
    <x v="388"/>
    <x v="6"/>
    <x v="6"/>
    <x v="7"/>
    <n v="14000"/>
    <n v="0"/>
    <n v="14000"/>
    <n v="0"/>
    <n v="0"/>
    <n v="0"/>
    <n v="6000"/>
    <m/>
    <n v="6000"/>
    <n v="0"/>
    <m/>
    <n v="0"/>
  </r>
  <r>
    <x v="389"/>
    <x v="0"/>
    <x v="0"/>
    <x v="1"/>
    <n v="0"/>
    <n v="0"/>
    <n v="0"/>
    <n v="0"/>
    <n v="0"/>
    <n v="0"/>
    <n v="0"/>
    <m/>
    <n v="0"/>
    <n v="0"/>
    <m/>
    <n v="0"/>
  </r>
  <r>
    <x v="390"/>
    <x v="0"/>
    <x v="0"/>
    <x v="0"/>
    <n v="0"/>
    <n v="0"/>
    <n v="0"/>
    <n v="44466"/>
    <n v="0"/>
    <n v="44466"/>
    <n v="0"/>
    <m/>
    <n v="0"/>
    <n v="47229"/>
    <m/>
    <n v="47229"/>
  </r>
  <r>
    <x v="391"/>
    <x v="4"/>
    <x v="8"/>
    <x v="24"/>
    <n v="13680"/>
    <n v="0"/>
    <n v="13680"/>
    <n v="0"/>
    <n v="0"/>
    <n v="0"/>
    <n v="14112"/>
    <m/>
    <n v="14112"/>
    <n v="0"/>
    <m/>
    <n v="0"/>
  </r>
  <r>
    <x v="392"/>
    <x v="0"/>
    <x v="0"/>
    <x v="1"/>
    <n v="0"/>
    <n v="0"/>
    <n v="0"/>
    <n v="0"/>
    <n v="0"/>
    <n v="0"/>
    <n v="0"/>
    <m/>
    <n v="0"/>
    <n v="5721513"/>
    <m/>
    <n v="5721513"/>
  </r>
  <r>
    <x v="393"/>
    <x v="1"/>
    <x v="1"/>
    <x v="2"/>
    <n v="42218801"/>
    <n v="0"/>
    <n v="42218801"/>
    <n v="0"/>
    <n v="0"/>
    <n v="0"/>
    <n v="45230726"/>
    <m/>
    <n v="45230726"/>
    <n v="0"/>
    <m/>
    <n v="0"/>
  </r>
  <r>
    <x v="394"/>
    <x v="1"/>
    <x v="1"/>
    <x v="2"/>
    <n v="0"/>
    <n v="0"/>
    <n v="0"/>
    <n v="0"/>
    <n v="0"/>
    <n v="0"/>
    <n v="0"/>
    <m/>
    <n v="0"/>
    <n v="0"/>
    <m/>
    <n v="0"/>
  </r>
  <r>
    <x v="395"/>
    <x v="0"/>
    <x v="0"/>
    <x v="1"/>
    <n v="0"/>
    <n v="0"/>
    <n v="0"/>
    <n v="0"/>
    <n v="0"/>
    <n v="0"/>
    <n v="0"/>
    <m/>
    <n v="0"/>
    <n v="0"/>
    <m/>
    <n v="0"/>
  </r>
  <r>
    <x v="396"/>
    <x v="4"/>
    <x v="8"/>
    <x v="24"/>
    <n v="676"/>
    <n v="0"/>
    <n v="676"/>
    <n v="0"/>
    <n v="0"/>
    <n v="0"/>
    <n v="0"/>
    <m/>
    <n v="0"/>
    <n v="0"/>
    <m/>
    <n v="0"/>
  </r>
  <r>
    <x v="397"/>
    <x v="10"/>
    <x v="11"/>
    <x v="58"/>
    <n v="0"/>
    <n v="0"/>
    <n v="0"/>
    <n v="0"/>
    <n v="0"/>
    <n v="0"/>
    <n v="0"/>
    <m/>
    <n v="0"/>
    <n v="0"/>
    <m/>
    <n v="0"/>
  </r>
  <r>
    <x v="398"/>
    <x v="19"/>
    <x v="21"/>
    <x v="40"/>
    <n v="221807"/>
    <n v="0"/>
    <n v="221807"/>
    <n v="0"/>
    <n v="0"/>
    <n v="0"/>
    <n v="198086"/>
    <m/>
    <n v="198086"/>
    <n v="0"/>
    <m/>
    <n v="0"/>
  </r>
  <r>
    <x v="399"/>
    <x v="21"/>
    <x v="24"/>
    <x v="38"/>
    <n v="0"/>
    <n v="0"/>
    <n v="0"/>
    <n v="221807"/>
    <n v="0"/>
    <n v="221807"/>
    <n v="0"/>
    <m/>
    <n v="0"/>
    <n v="198086"/>
    <m/>
    <n v="198086"/>
  </r>
  <r>
    <x v="400"/>
    <x v="4"/>
    <x v="8"/>
    <x v="30"/>
    <n v="470250"/>
    <n v="0"/>
    <n v="470250"/>
    <n v="0"/>
    <n v="0"/>
    <n v="0"/>
    <n v="243920"/>
    <m/>
    <n v="243920"/>
    <n v="0"/>
    <m/>
    <n v="0"/>
  </r>
  <r>
    <x v="401"/>
    <x v="1"/>
    <x v="1"/>
    <x v="2"/>
    <n v="0"/>
    <n v="0"/>
    <n v="0"/>
    <n v="0"/>
    <n v="0"/>
    <n v="0"/>
    <n v="0"/>
    <m/>
    <n v="0"/>
    <n v="0"/>
    <m/>
    <n v="0"/>
  </r>
  <r>
    <x v="402"/>
    <x v="0"/>
    <x v="0"/>
    <x v="1"/>
    <n v="0"/>
    <n v="0"/>
    <n v="0"/>
    <n v="10694991.5"/>
    <n v="0"/>
    <n v="10694991.5"/>
    <n v="0"/>
    <m/>
    <n v="0"/>
    <n v="11871807.5"/>
    <m/>
    <n v="11871807.5"/>
  </r>
  <r>
    <x v="403"/>
    <x v="4"/>
    <x v="12"/>
    <x v="25"/>
    <n v="153090"/>
    <n v="0"/>
    <n v="153090"/>
    <n v="0"/>
    <n v="0"/>
    <n v="0"/>
    <n v="136767"/>
    <m/>
    <n v="136767"/>
    <n v="0"/>
    <m/>
    <n v="0"/>
  </r>
  <r>
    <x v="404"/>
    <x v="4"/>
    <x v="12"/>
    <x v="25"/>
    <n v="1590159"/>
    <n v="0"/>
    <n v="1590159"/>
    <n v="0"/>
    <n v="0"/>
    <n v="0"/>
    <n v="1020022"/>
    <m/>
    <n v="1020022"/>
    <n v="0"/>
    <m/>
    <n v="0"/>
  </r>
  <r>
    <x v="405"/>
    <x v="4"/>
    <x v="12"/>
    <x v="25"/>
    <n v="308026.14"/>
    <n v="0"/>
    <n v="308026.14"/>
    <n v="0"/>
    <n v="0"/>
    <n v="0"/>
    <n v="1231418.3999999999"/>
    <m/>
    <n v="1231418.3999999999"/>
    <n v="0"/>
    <m/>
    <n v="0"/>
  </r>
  <r>
    <x v="406"/>
    <x v="4"/>
    <x v="12"/>
    <x v="25"/>
    <n v="3724110.85"/>
    <n v="0"/>
    <n v="3724110.85"/>
    <n v="0"/>
    <n v="0"/>
    <n v="0"/>
    <n v="7737390.6699999999"/>
    <m/>
    <n v="7737390.6699999999"/>
    <n v="0"/>
    <m/>
    <n v="0"/>
  </r>
  <r>
    <x v="407"/>
    <x v="0"/>
    <x v="0"/>
    <x v="1"/>
    <n v="0"/>
    <n v="0"/>
    <n v="0"/>
    <n v="0"/>
    <n v="0"/>
    <n v="0"/>
    <n v="0"/>
    <m/>
    <n v="0"/>
    <n v="0"/>
    <m/>
    <n v="0"/>
  </r>
  <r>
    <x v="408"/>
    <x v="5"/>
    <x v="5"/>
    <x v="6"/>
    <n v="91778"/>
    <n v="0"/>
    <n v="91778"/>
    <n v="0"/>
    <n v="0"/>
    <n v="0"/>
    <n v="411283"/>
    <m/>
    <n v="411283"/>
    <n v="0"/>
    <m/>
    <n v="0"/>
  </r>
  <r>
    <x v="409"/>
    <x v="6"/>
    <x v="6"/>
    <x v="7"/>
    <n v="5000"/>
    <n v="0"/>
    <n v="5000"/>
    <n v="0"/>
    <n v="0"/>
    <n v="0"/>
    <n v="11000"/>
    <m/>
    <n v="11000"/>
    <n v="0"/>
    <m/>
    <n v="0"/>
  </r>
  <r>
    <x v="410"/>
    <x v="0"/>
    <x v="0"/>
    <x v="0"/>
    <n v="0"/>
    <n v="0"/>
    <n v="0"/>
    <n v="0"/>
    <n v="0"/>
    <n v="0"/>
    <n v="0"/>
    <m/>
    <n v="0"/>
    <n v="0"/>
    <m/>
    <n v="0"/>
  </r>
  <r>
    <x v="411"/>
    <x v="0"/>
    <x v="0"/>
    <x v="0"/>
    <n v="0"/>
    <n v="0"/>
    <n v="0"/>
    <n v="0"/>
    <n v="0"/>
    <n v="0"/>
    <n v="0"/>
    <m/>
    <n v="0"/>
    <n v="0"/>
    <m/>
    <n v="0"/>
  </r>
  <r>
    <x v="412"/>
    <x v="6"/>
    <x v="6"/>
    <x v="7"/>
    <n v="0"/>
    <n v="0"/>
    <n v="0"/>
    <n v="0"/>
    <n v="0"/>
    <n v="0"/>
    <n v="0"/>
    <m/>
    <n v="0"/>
    <n v="0"/>
    <m/>
    <n v="0"/>
  </r>
  <r>
    <x v="413"/>
    <x v="6"/>
    <x v="6"/>
    <x v="7"/>
    <n v="39000"/>
    <n v="0"/>
    <n v="39000"/>
    <n v="0"/>
    <n v="0"/>
    <n v="0"/>
    <n v="8000"/>
    <m/>
    <n v="8000"/>
    <n v="0"/>
    <m/>
    <n v="0"/>
  </r>
  <r>
    <x v="414"/>
    <x v="8"/>
    <x v="26"/>
    <x v="61"/>
    <n v="0"/>
    <n v="0"/>
    <n v="0"/>
    <n v="0"/>
    <n v="0"/>
    <n v="0"/>
    <n v="0"/>
    <m/>
    <n v="0"/>
    <n v="0"/>
    <m/>
    <n v="0"/>
  </r>
  <r>
    <x v="415"/>
    <x v="8"/>
    <x v="26"/>
    <x v="61"/>
    <n v="0"/>
    <n v="0"/>
    <n v="0"/>
    <n v="0"/>
    <n v="0"/>
    <n v="0"/>
    <n v="0"/>
    <m/>
    <n v="0"/>
    <n v="0"/>
    <m/>
    <n v="0"/>
  </r>
  <r>
    <x v="416"/>
    <x v="8"/>
    <x v="26"/>
    <x v="61"/>
    <n v="0"/>
    <n v="0"/>
    <n v="0"/>
    <n v="0"/>
    <n v="0"/>
    <n v="0"/>
    <n v="0"/>
    <m/>
    <n v="0"/>
    <n v="0"/>
    <m/>
    <n v="0"/>
  </r>
  <r>
    <x v="417"/>
    <x v="8"/>
    <x v="26"/>
    <x v="61"/>
    <n v="0"/>
    <n v="0"/>
    <n v="0"/>
    <n v="0"/>
    <n v="0"/>
    <n v="0"/>
    <n v="0"/>
    <m/>
    <n v="0"/>
    <n v="0"/>
    <m/>
    <n v="0"/>
  </r>
  <r>
    <x v="418"/>
    <x v="8"/>
    <x v="26"/>
    <x v="61"/>
    <n v="0"/>
    <n v="0"/>
    <n v="0"/>
    <n v="0"/>
    <n v="0"/>
    <n v="0"/>
    <n v="0"/>
    <m/>
    <n v="0"/>
    <n v="0"/>
    <m/>
    <n v="0"/>
  </r>
  <r>
    <x v="419"/>
    <x v="8"/>
    <x v="26"/>
    <x v="61"/>
    <n v="0"/>
    <n v="0"/>
    <n v="0"/>
    <n v="0"/>
    <n v="0"/>
    <n v="0"/>
    <n v="0"/>
    <m/>
    <n v="0"/>
    <n v="0"/>
    <m/>
    <n v="0"/>
  </r>
  <r>
    <x v="420"/>
    <x v="0"/>
    <x v="0"/>
    <x v="1"/>
    <n v="0"/>
    <n v="0"/>
    <n v="0"/>
    <n v="0"/>
    <n v="0"/>
    <n v="0"/>
    <n v="0"/>
    <m/>
    <n v="0"/>
    <n v="0"/>
    <m/>
    <n v="0"/>
  </r>
  <r>
    <x v="421"/>
    <x v="19"/>
    <x v="21"/>
    <x v="62"/>
    <n v="198462"/>
    <n v="0"/>
    <n v="198462"/>
    <n v="0"/>
    <n v="0"/>
    <n v="0"/>
    <n v="306631"/>
    <m/>
    <n v="306631"/>
    <n v="0"/>
    <m/>
    <n v="0"/>
  </r>
  <r>
    <x v="422"/>
    <x v="4"/>
    <x v="8"/>
    <x v="9"/>
    <n v="550"/>
    <n v="0"/>
    <n v="550"/>
    <n v="0"/>
    <n v="0"/>
    <n v="0"/>
    <n v="0"/>
    <m/>
    <n v="0"/>
    <n v="0"/>
    <m/>
    <n v="0"/>
  </r>
  <r>
    <x v="423"/>
    <x v="0"/>
    <x v="0"/>
    <x v="0"/>
    <n v="0"/>
    <n v="0"/>
    <n v="0"/>
    <n v="0"/>
    <n v="0"/>
    <n v="0"/>
    <n v="0"/>
    <m/>
    <n v="0"/>
    <n v="0"/>
    <m/>
    <n v="0"/>
  </r>
  <r>
    <x v="424"/>
    <x v="6"/>
    <x v="6"/>
    <x v="7"/>
    <n v="9000"/>
    <n v="0"/>
    <n v="9000"/>
    <n v="0"/>
    <n v="0"/>
    <n v="0"/>
    <n v="2000"/>
    <m/>
    <n v="2000"/>
    <n v="0"/>
    <m/>
    <n v="0"/>
  </r>
  <r>
    <x v="425"/>
    <x v="1"/>
    <x v="1"/>
    <x v="2"/>
    <n v="0"/>
    <n v="0"/>
    <n v="0"/>
    <n v="0"/>
    <n v="0"/>
    <n v="0"/>
    <n v="0"/>
    <m/>
    <n v="0"/>
    <n v="0"/>
    <m/>
    <n v="0"/>
  </r>
  <r>
    <x v="426"/>
    <x v="5"/>
    <x v="5"/>
    <x v="6"/>
    <n v="0"/>
    <n v="0"/>
    <n v="0"/>
    <n v="0"/>
    <n v="0"/>
    <n v="0"/>
    <n v="0"/>
    <m/>
    <n v="0"/>
    <n v="0"/>
    <m/>
    <n v="0"/>
  </r>
  <r>
    <x v="427"/>
    <x v="0"/>
    <x v="0"/>
    <x v="0"/>
    <n v="0"/>
    <n v="0"/>
    <n v="0"/>
    <n v="0"/>
    <n v="0"/>
    <n v="0"/>
    <n v="0"/>
    <m/>
    <n v="0"/>
    <n v="0"/>
    <m/>
    <n v="0"/>
  </r>
  <r>
    <x v="428"/>
    <x v="0"/>
    <x v="0"/>
    <x v="0"/>
    <n v="0"/>
    <n v="0"/>
    <n v="0"/>
    <n v="0"/>
    <n v="0"/>
    <n v="0"/>
    <n v="0"/>
    <m/>
    <n v="0"/>
    <n v="0"/>
    <m/>
    <n v="0"/>
  </r>
  <r>
    <x v="429"/>
    <x v="0"/>
    <x v="0"/>
    <x v="0"/>
    <n v="0"/>
    <n v="0"/>
    <n v="0"/>
    <n v="5161"/>
    <n v="0"/>
    <n v="5161"/>
    <n v="0"/>
    <m/>
    <n v="0"/>
    <n v="20037"/>
    <m/>
    <n v="20037"/>
  </r>
  <r>
    <x v="430"/>
    <x v="6"/>
    <x v="6"/>
    <x v="7"/>
    <n v="0"/>
    <n v="0"/>
    <n v="0"/>
    <n v="0"/>
    <n v="0"/>
    <n v="0"/>
    <n v="0"/>
    <m/>
    <n v="0"/>
    <n v="0"/>
    <m/>
    <n v="0"/>
  </r>
  <r>
    <x v="431"/>
    <x v="0"/>
    <x v="0"/>
    <x v="1"/>
    <n v="0"/>
    <n v="0"/>
    <n v="0"/>
    <n v="0"/>
    <n v="0"/>
    <n v="0"/>
    <n v="0"/>
    <m/>
    <n v="0"/>
    <n v="0"/>
    <m/>
    <n v="0"/>
  </r>
  <r>
    <x v="432"/>
    <x v="6"/>
    <x v="6"/>
    <x v="7"/>
    <n v="9000"/>
    <n v="0"/>
    <n v="9000"/>
    <n v="0"/>
    <n v="0"/>
    <n v="0"/>
    <n v="0"/>
    <m/>
    <n v="0"/>
    <n v="0"/>
    <m/>
    <n v="0"/>
  </r>
  <r>
    <x v="433"/>
    <x v="1"/>
    <x v="1"/>
    <x v="2"/>
    <n v="0"/>
    <n v="0"/>
    <n v="0"/>
    <n v="0"/>
    <n v="0"/>
    <n v="0"/>
    <n v="0"/>
    <m/>
    <n v="0"/>
    <n v="0"/>
    <m/>
    <n v="0"/>
  </r>
  <r>
    <x v="434"/>
    <x v="0"/>
    <x v="0"/>
    <x v="0"/>
    <n v="0"/>
    <n v="0"/>
    <n v="0"/>
    <n v="0"/>
    <n v="0"/>
    <n v="0"/>
    <n v="0"/>
    <m/>
    <n v="0"/>
    <n v="0"/>
    <m/>
    <n v="0"/>
  </r>
  <r>
    <x v="435"/>
    <x v="0"/>
    <x v="0"/>
    <x v="0"/>
    <n v="0"/>
    <n v="0"/>
    <n v="0"/>
    <n v="0"/>
    <n v="0"/>
    <n v="0"/>
    <n v="0"/>
    <m/>
    <n v="0"/>
    <n v="0"/>
    <m/>
    <n v="0"/>
  </r>
  <r>
    <x v="436"/>
    <x v="14"/>
    <x v="9"/>
    <x v="27"/>
    <n v="0"/>
    <n v="0"/>
    <n v="0"/>
    <n v="0"/>
    <n v="0"/>
    <n v="0"/>
    <n v="0"/>
    <m/>
    <n v="0"/>
    <n v="0"/>
    <m/>
    <n v="0"/>
  </r>
  <r>
    <x v="437"/>
    <x v="4"/>
    <x v="8"/>
    <x v="24"/>
    <n v="0"/>
    <n v="0"/>
    <n v="0"/>
    <n v="0"/>
    <n v="0"/>
    <n v="0"/>
    <n v="0"/>
    <m/>
    <n v="0"/>
    <n v="0"/>
    <m/>
    <n v="0"/>
  </r>
  <r>
    <x v="438"/>
    <x v="4"/>
    <x v="8"/>
    <x v="24"/>
    <n v="0"/>
    <n v="0"/>
    <n v="0"/>
    <n v="0"/>
    <n v="0"/>
    <n v="0"/>
    <n v="0"/>
    <m/>
    <n v="0"/>
    <n v="0"/>
    <m/>
    <n v="0"/>
  </r>
  <r>
    <x v="439"/>
    <x v="4"/>
    <x v="8"/>
    <x v="21"/>
    <n v="136800"/>
    <n v="0"/>
    <n v="136800"/>
    <n v="0"/>
    <n v="0"/>
    <n v="0"/>
    <n v="104715"/>
    <m/>
    <n v="104715"/>
    <n v="0"/>
    <m/>
    <n v="0"/>
  </r>
  <r>
    <x v="440"/>
    <x v="4"/>
    <x v="8"/>
    <x v="21"/>
    <n v="90200"/>
    <n v="0"/>
    <n v="90200"/>
    <n v="0"/>
    <n v="0"/>
    <n v="0"/>
    <n v="88900"/>
    <m/>
    <n v="88900"/>
    <n v="0"/>
    <m/>
    <n v="0"/>
  </r>
  <r>
    <x v="441"/>
    <x v="0"/>
    <x v="0"/>
    <x v="0"/>
    <n v="0"/>
    <n v="0"/>
    <n v="0"/>
    <n v="0"/>
    <n v="0"/>
    <n v="0"/>
    <n v="0"/>
    <m/>
    <n v="0"/>
    <n v="5880"/>
    <m/>
    <n v="5880"/>
  </r>
  <r>
    <x v="442"/>
    <x v="11"/>
    <x v="13"/>
    <x v="22"/>
    <n v="1123742.8799999999"/>
    <n v="0"/>
    <n v="1123742.8799999999"/>
    <n v="0"/>
    <n v="0"/>
    <n v="0"/>
    <n v="1024059.47"/>
    <m/>
    <n v="1024059.47"/>
    <n v="0"/>
    <m/>
    <n v="0"/>
  </r>
  <r>
    <x v="443"/>
    <x v="4"/>
    <x v="8"/>
    <x v="21"/>
    <n v="59557.440000000002"/>
    <n v="0"/>
    <n v="59557.440000000002"/>
    <n v="0"/>
    <n v="0"/>
    <n v="0"/>
    <n v="59486"/>
    <m/>
    <n v="59486"/>
    <n v="0"/>
    <m/>
    <n v="0"/>
  </r>
  <r>
    <x v="444"/>
    <x v="4"/>
    <x v="8"/>
    <x v="50"/>
    <n v="420000"/>
    <n v="0"/>
    <n v="420000"/>
    <n v="0"/>
    <n v="0"/>
    <n v="0"/>
    <n v="312000"/>
    <m/>
    <n v="312000"/>
    <n v="0"/>
    <m/>
    <n v="0"/>
  </r>
  <r>
    <x v="445"/>
    <x v="4"/>
    <x v="8"/>
    <x v="21"/>
    <n v="54503"/>
    <n v="0"/>
    <n v="54503"/>
    <n v="0"/>
    <n v="0"/>
    <n v="0"/>
    <n v="42660"/>
    <m/>
    <n v="42660"/>
    <n v="0"/>
    <m/>
    <n v="0"/>
  </r>
  <r>
    <x v="446"/>
    <x v="5"/>
    <x v="5"/>
    <x v="6"/>
    <n v="20000"/>
    <n v="0"/>
    <n v="20000"/>
    <n v="0"/>
    <n v="0"/>
    <n v="0"/>
    <n v="0"/>
    <m/>
    <n v="0"/>
    <n v="0"/>
    <m/>
    <n v="0"/>
  </r>
  <r>
    <x v="447"/>
    <x v="8"/>
    <x v="27"/>
    <x v="63"/>
    <n v="63133700"/>
    <n v="0"/>
    <n v="63133700"/>
    <n v="0"/>
    <n v="0"/>
    <n v="0"/>
    <n v="67823511"/>
    <m/>
    <n v="67823511"/>
    <n v="0"/>
    <m/>
    <n v="0"/>
  </r>
  <r>
    <x v="448"/>
    <x v="1"/>
    <x v="1"/>
    <x v="2"/>
    <n v="0"/>
    <n v="0"/>
    <n v="0"/>
    <n v="0"/>
    <n v="0"/>
    <n v="0"/>
    <n v="2929"/>
    <m/>
    <n v="2929"/>
    <n v="0"/>
    <m/>
    <n v="0"/>
  </r>
  <r>
    <x v="449"/>
    <x v="1"/>
    <x v="1"/>
    <x v="2"/>
    <n v="359743"/>
    <n v="0"/>
    <n v="359743"/>
    <n v="0"/>
    <n v="0"/>
    <n v="0"/>
    <n v="189048"/>
    <m/>
    <n v="189048"/>
    <n v="0"/>
    <m/>
    <n v="0"/>
  </r>
  <r>
    <x v="450"/>
    <x v="15"/>
    <x v="16"/>
    <x v="28"/>
    <n v="21740"/>
    <n v="0"/>
    <n v="21740"/>
    <n v="0"/>
    <n v="0"/>
    <n v="0"/>
    <n v="23600"/>
    <m/>
    <n v="23600"/>
    <n v="0"/>
    <m/>
    <n v="0"/>
  </r>
  <r>
    <x v="451"/>
    <x v="15"/>
    <x v="16"/>
    <x v="28"/>
    <n v="3400"/>
    <n v="0"/>
    <n v="3400"/>
    <n v="0"/>
    <n v="0"/>
    <n v="0"/>
    <n v="3600"/>
    <m/>
    <n v="3600"/>
    <n v="0"/>
    <m/>
    <n v="0"/>
  </r>
  <r>
    <x v="452"/>
    <x v="4"/>
    <x v="12"/>
    <x v="29"/>
    <n v="5609421"/>
    <n v="0"/>
    <n v="5609421"/>
    <n v="0"/>
    <n v="0"/>
    <n v="0"/>
    <n v="5227186"/>
    <m/>
    <n v="5227186"/>
    <n v="0"/>
    <m/>
    <n v="0"/>
  </r>
  <r>
    <x v="453"/>
    <x v="4"/>
    <x v="12"/>
    <x v="25"/>
    <n v="0"/>
    <n v="0"/>
    <n v="0"/>
    <n v="0"/>
    <n v="0"/>
    <n v="0"/>
    <n v="0"/>
    <m/>
    <n v="0"/>
    <n v="0"/>
    <m/>
    <n v="0"/>
  </r>
  <r>
    <x v="454"/>
    <x v="4"/>
    <x v="12"/>
    <x v="64"/>
    <n v="0"/>
    <n v="0"/>
    <n v="0"/>
    <n v="0"/>
    <n v="0"/>
    <n v="0"/>
    <n v="1640"/>
    <m/>
    <n v="1640"/>
    <n v="0"/>
    <m/>
    <n v="0"/>
  </r>
  <r>
    <x v="455"/>
    <x v="4"/>
    <x v="12"/>
    <x v="64"/>
    <n v="3050"/>
    <n v="0"/>
    <n v="3050"/>
    <n v="0"/>
    <n v="0"/>
    <n v="0"/>
    <n v="870"/>
    <m/>
    <n v="870"/>
    <n v="0"/>
    <m/>
    <n v="0"/>
  </r>
  <r>
    <x v="456"/>
    <x v="4"/>
    <x v="8"/>
    <x v="65"/>
    <n v="0"/>
    <n v="0"/>
    <n v="0"/>
    <n v="0"/>
    <n v="0"/>
    <n v="0"/>
    <n v="0"/>
    <m/>
    <n v="0"/>
    <n v="0"/>
    <m/>
    <n v="0"/>
  </r>
  <r>
    <x v="457"/>
    <x v="4"/>
    <x v="8"/>
    <x v="65"/>
    <n v="0"/>
    <n v="0"/>
    <n v="0"/>
    <n v="0"/>
    <n v="0"/>
    <n v="0"/>
    <n v="0"/>
    <m/>
    <n v="0"/>
    <n v="0"/>
    <m/>
    <n v="0"/>
  </r>
  <r>
    <x v="458"/>
    <x v="15"/>
    <x v="16"/>
    <x v="28"/>
    <n v="175062.8"/>
    <n v="0"/>
    <n v="175062.8"/>
    <n v="0"/>
    <n v="0"/>
    <n v="0"/>
    <n v="248948"/>
    <m/>
    <n v="248948"/>
    <n v="0"/>
    <m/>
    <n v="0"/>
  </r>
  <r>
    <x v="459"/>
    <x v="4"/>
    <x v="8"/>
    <x v="9"/>
    <n v="0"/>
    <n v="0"/>
    <n v="0"/>
    <n v="0"/>
    <n v="0"/>
    <n v="0"/>
    <n v="0"/>
    <m/>
    <n v="0"/>
    <n v="0"/>
    <m/>
    <n v="0"/>
  </r>
  <r>
    <x v="460"/>
    <x v="4"/>
    <x v="8"/>
    <x v="30"/>
    <n v="0"/>
    <n v="0"/>
    <n v="0"/>
    <n v="0"/>
    <n v="0"/>
    <n v="0"/>
    <n v="0"/>
    <m/>
    <n v="0"/>
    <n v="0"/>
    <m/>
    <n v="0"/>
  </r>
  <r>
    <x v="461"/>
    <x v="4"/>
    <x v="8"/>
    <x v="30"/>
    <n v="0"/>
    <n v="0"/>
    <n v="0"/>
    <n v="0"/>
    <n v="0"/>
    <n v="0"/>
    <n v="0"/>
    <m/>
    <n v="0"/>
    <n v="0"/>
    <m/>
    <n v="0"/>
  </r>
  <r>
    <x v="462"/>
    <x v="20"/>
    <x v="22"/>
    <x v="41"/>
    <n v="0"/>
    <n v="0"/>
    <n v="0"/>
    <n v="393392"/>
    <n v="0"/>
    <n v="393392"/>
    <n v="0"/>
    <m/>
    <n v="0"/>
    <n v="438710"/>
    <m/>
    <n v="438710"/>
  </r>
  <r>
    <x v="463"/>
    <x v="4"/>
    <x v="12"/>
    <x v="64"/>
    <n v="9088041.2200000007"/>
    <n v="0"/>
    <n v="9088041.2200000007"/>
    <n v="0"/>
    <n v="0"/>
    <n v="0"/>
    <n v="6671147.8200000003"/>
    <m/>
    <n v="6671147.8200000003"/>
    <n v="0"/>
    <m/>
    <n v="0"/>
  </r>
  <r>
    <x v="464"/>
    <x v="1"/>
    <x v="1"/>
    <x v="2"/>
    <n v="0"/>
    <n v="0"/>
    <n v="0"/>
    <n v="733"/>
    <n v="0"/>
    <n v="733"/>
    <n v="0"/>
    <m/>
    <n v="0"/>
    <n v="0"/>
    <m/>
    <n v="0"/>
  </r>
  <r>
    <x v="465"/>
    <x v="0"/>
    <x v="0"/>
    <x v="1"/>
    <n v="0"/>
    <n v="0"/>
    <n v="0"/>
    <n v="0"/>
    <n v="0"/>
    <n v="0"/>
    <n v="0"/>
    <m/>
    <n v="0"/>
    <n v="700"/>
    <m/>
    <n v="700"/>
  </r>
  <r>
    <x v="466"/>
    <x v="0"/>
    <x v="0"/>
    <x v="0"/>
    <n v="0"/>
    <n v="0"/>
    <n v="0"/>
    <n v="329959"/>
    <n v="0"/>
    <n v="329959"/>
    <n v="0"/>
    <m/>
    <n v="0"/>
    <n v="269890"/>
    <m/>
    <n v="269890"/>
  </r>
  <r>
    <x v="467"/>
    <x v="0"/>
    <x v="0"/>
    <x v="0"/>
    <n v="0"/>
    <n v="0"/>
    <n v="0"/>
    <n v="472451"/>
    <n v="0"/>
    <n v="472451"/>
    <n v="0"/>
    <m/>
    <n v="0"/>
    <n v="386769"/>
    <m/>
    <n v="386769"/>
  </r>
  <r>
    <x v="468"/>
    <x v="0"/>
    <x v="0"/>
    <x v="0"/>
    <n v="0"/>
    <n v="0"/>
    <n v="0"/>
    <n v="535544"/>
    <n v="0"/>
    <n v="535544"/>
    <n v="0"/>
    <m/>
    <n v="0"/>
    <n v="538166"/>
    <m/>
    <n v="538166"/>
  </r>
  <r>
    <x v="469"/>
    <x v="4"/>
    <x v="8"/>
    <x v="24"/>
    <n v="50"/>
    <n v="0"/>
    <n v="50"/>
    <n v="0"/>
    <n v="0"/>
    <n v="0"/>
    <n v="75"/>
    <m/>
    <n v="75"/>
    <n v="0"/>
    <m/>
    <n v="0"/>
  </r>
  <r>
    <x v="470"/>
    <x v="4"/>
    <x v="8"/>
    <x v="24"/>
    <n v="46000"/>
    <n v="0"/>
    <n v="46000"/>
    <n v="0"/>
    <n v="0"/>
    <n v="0"/>
    <n v="15855"/>
    <m/>
    <n v="15855"/>
    <n v="0"/>
    <m/>
    <n v="0"/>
  </r>
  <r>
    <x v="471"/>
    <x v="4"/>
    <x v="8"/>
    <x v="24"/>
    <n v="0"/>
    <n v="0"/>
    <n v="0"/>
    <n v="0"/>
    <n v="0"/>
    <n v="0"/>
    <n v="0"/>
    <m/>
    <n v="0"/>
    <n v="0"/>
    <m/>
    <n v="0"/>
  </r>
  <r>
    <x v="472"/>
    <x v="4"/>
    <x v="8"/>
    <x v="24"/>
    <n v="50"/>
    <n v="0"/>
    <n v="50"/>
    <n v="0"/>
    <n v="0"/>
    <n v="0"/>
    <n v="75"/>
    <m/>
    <n v="75"/>
    <n v="0"/>
    <m/>
    <n v="0"/>
  </r>
  <r>
    <x v="473"/>
    <x v="4"/>
    <x v="8"/>
    <x v="24"/>
    <n v="2360"/>
    <n v="0"/>
    <n v="2360"/>
    <n v="0"/>
    <n v="0"/>
    <n v="0"/>
    <n v="0"/>
    <m/>
    <n v="0"/>
    <n v="0"/>
    <m/>
    <n v="0"/>
  </r>
  <r>
    <x v="474"/>
    <x v="11"/>
    <x v="13"/>
    <x v="22"/>
    <n v="222104414.13999999"/>
    <n v="0"/>
    <n v="222104414.13999999"/>
    <n v="0"/>
    <n v="0"/>
    <n v="0"/>
    <n v="215300342.28"/>
    <m/>
    <n v="215300342.28"/>
    <n v="0"/>
    <m/>
    <n v="0"/>
  </r>
  <r>
    <x v="475"/>
    <x v="0"/>
    <x v="0"/>
    <x v="0"/>
    <n v="0"/>
    <n v="0"/>
    <n v="0"/>
    <n v="0"/>
    <n v="0"/>
    <n v="0"/>
    <n v="0"/>
    <m/>
    <n v="0"/>
    <n v="0"/>
    <m/>
    <n v="0"/>
  </r>
  <r>
    <x v="476"/>
    <x v="4"/>
    <x v="8"/>
    <x v="9"/>
    <n v="111499"/>
    <n v="0"/>
    <n v="111499"/>
    <n v="0"/>
    <n v="0"/>
    <n v="0"/>
    <n v="98736"/>
    <m/>
    <n v="98736"/>
    <n v="0"/>
    <m/>
    <n v="0"/>
  </r>
  <r>
    <x v="477"/>
    <x v="0"/>
    <x v="0"/>
    <x v="0"/>
    <n v="0"/>
    <n v="0"/>
    <n v="0"/>
    <n v="6195758"/>
    <n v="0"/>
    <n v="6195758"/>
    <n v="0"/>
    <m/>
    <n v="0"/>
    <n v="6994370"/>
    <m/>
    <n v="6994370"/>
  </r>
  <r>
    <x v="478"/>
    <x v="4"/>
    <x v="12"/>
    <x v="29"/>
    <n v="0"/>
    <n v="0"/>
    <n v="0"/>
    <n v="0"/>
    <n v="0"/>
    <n v="0"/>
    <n v="0"/>
    <m/>
    <n v="0"/>
    <n v="0"/>
    <m/>
    <n v="0"/>
  </r>
  <r>
    <x v="479"/>
    <x v="1"/>
    <x v="1"/>
    <x v="2"/>
    <n v="0"/>
    <n v="0"/>
    <n v="0"/>
    <n v="0"/>
    <n v="0"/>
    <n v="0"/>
    <n v="0"/>
    <m/>
    <n v="0"/>
    <n v="0"/>
    <m/>
    <n v="0"/>
  </r>
  <r>
    <x v="480"/>
    <x v="0"/>
    <x v="0"/>
    <x v="1"/>
    <n v="0"/>
    <n v="0"/>
    <n v="0"/>
    <n v="0"/>
    <n v="0"/>
    <n v="0"/>
    <n v="0"/>
    <m/>
    <n v="0"/>
    <n v="0"/>
    <m/>
    <n v="0"/>
  </r>
  <r>
    <x v="481"/>
    <x v="6"/>
    <x v="6"/>
    <x v="7"/>
    <n v="0"/>
    <n v="0"/>
    <n v="0"/>
    <n v="0"/>
    <n v="0"/>
    <n v="0"/>
    <n v="0"/>
    <m/>
    <n v="0"/>
    <n v="0"/>
    <m/>
    <n v="0"/>
  </r>
  <r>
    <x v="482"/>
    <x v="1"/>
    <x v="1"/>
    <x v="2"/>
    <n v="12971715"/>
    <n v="0"/>
    <n v="12971715"/>
    <n v="0"/>
    <n v="0"/>
    <n v="0"/>
    <n v="3897944"/>
    <m/>
    <n v="3897944"/>
    <n v="0"/>
    <m/>
    <n v="0"/>
  </r>
  <r>
    <x v="483"/>
    <x v="8"/>
    <x v="9"/>
    <x v="11"/>
    <n v="0"/>
    <n v="0"/>
    <n v="0"/>
    <n v="0"/>
    <n v="0"/>
    <n v="0"/>
    <n v="0"/>
    <m/>
    <n v="0"/>
    <n v="0"/>
    <m/>
    <n v="0"/>
  </r>
  <r>
    <x v="484"/>
    <x v="0"/>
    <x v="0"/>
    <x v="1"/>
    <n v="0"/>
    <n v="0"/>
    <n v="0"/>
    <n v="0"/>
    <n v="0"/>
    <n v="0"/>
    <n v="0"/>
    <m/>
    <n v="0"/>
    <n v="0"/>
    <m/>
    <n v="0"/>
  </r>
  <r>
    <x v="485"/>
    <x v="5"/>
    <x v="5"/>
    <x v="54"/>
    <n v="519498"/>
    <n v="0"/>
    <n v="519498"/>
    <n v="0"/>
    <n v="0"/>
    <n v="0"/>
    <n v="167481"/>
    <m/>
    <n v="167481"/>
    <n v="0"/>
    <m/>
    <n v="0"/>
  </r>
  <r>
    <x v="486"/>
    <x v="17"/>
    <x v="18"/>
    <x v="37"/>
    <n v="0"/>
    <n v="0"/>
    <n v="0"/>
    <n v="0"/>
    <n v="0"/>
    <n v="0"/>
    <n v="0"/>
    <m/>
    <n v="0"/>
    <n v="0"/>
    <m/>
    <n v="0"/>
  </r>
  <r>
    <x v="487"/>
    <x v="1"/>
    <x v="1"/>
    <x v="2"/>
    <n v="0"/>
    <n v="0"/>
    <n v="0"/>
    <n v="0"/>
    <n v="0"/>
    <n v="0"/>
    <n v="0"/>
    <m/>
    <n v="0"/>
    <n v="0"/>
    <m/>
    <n v="0"/>
  </r>
  <r>
    <x v="488"/>
    <x v="4"/>
    <x v="8"/>
    <x v="30"/>
    <n v="1238830"/>
    <n v="0"/>
    <n v="1238830"/>
    <n v="0"/>
    <n v="0"/>
    <n v="0"/>
    <n v="974500"/>
    <m/>
    <n v="974500"/>
    <n v="0"/>
    <m/>
    <n v="0"/>
  </r>
  <r>
    <x v="489"/>
    <x v="4"/>
    <x v="8"/>
    <x v="24"/>
    <n v="0"/>
    <n v="0"/>
    <n v="0"/>
    <n v="0"/>
    <n v="0"/>
    <n v="0"/>
    <n v="0"/>
    <m/>
    <n v="0"/>
    <n v="0"/>
    <m/>
    <n v="0"/>
  </r>
  <r>
    <x v="490"/>
    <x v="8"/>
    <x v="14"/>
    <x v="66"/>
    <n v="0"/>
    <n v="0"/>
    <n v="0"/>
    <n v="159588193.24000001"/>
    <n v="0"/>
    <n v="159588193.24000001"/>
    <n v="0"/>
    <m/>
    <n v="0"/>
    <n v="124185196.38"/>
    <m/>
    <n v="124185196.38"/>
  </r>
  <r>
    <x v="491"/>
    <x v="8"/>
    <x v="14"/>
    <x v="66"/>
    <n v="0"/>
    <n v="0"/>
    <n v="0"/>
    <n v="1104075"/>
    <n v="0"/>
    <n v="1104075"/>
    <n v="0"/>
    <m/>
    <m/>
    <m/>
    <m/>
    <m/>
  </r>
  <r>
    <x v="492"/>
    <x v="9"/>
    <x v="10"/>
    <x v="67"/>
    <n v="0"/>
    <n v="0"/>
    <n v="0"/>
    <n v="0"/>
    <n v="0"/>
    <n v="0"/>
    <n v="0"/>
    <m/>
    <n v="0"/>
    <n v="0"/>
    <m/>
    <n v="0"/>
  </r>
  <r>
    <x v="493"/>
    <x v="20"/>
    <x v="22"/>
    <x v="68"/>
    <n v="0"/>
    <n v="0"/>
    <n v="0"/>
    <n v="9433000"/>
    <n v="0"/>
    <n v="9433000"/>
    <n v="0"/>
    <m/>
    <n v="0"/>
    <n v="18856500"/>
    <m/>
    <n v="18856500"/>
  </r>
  <r>
    <x v="494"/>
    <x v="19"/>
    <x v="21"/>
    <x v="45"/>
    <n v="1283384"/>
    <n v="0"/>
    <n v="1283384"/>
    <n v="0"/>
    <n v="0"/>
    <n v="0"/>
    <n v="1147078"/>
    <m/>
    <n v="1147078"/>
    <n v="0"/>
    <m/>
    <n v="0"/>
  </r>
  <r>
    <x v="495"/>
    <x v="18"/>
    <x v="19"/>
    <x v="38"/>
    <n v="0"/>
    <n v="0"/>
    <n v="0"/>
    <n v="4610451"/>
    <n v="0"/>
    <n v="4610451"/>
    <n v="0"/>
    <m/>
    <n v="0"/>
    <n v="6057874"/>
    <n v="-1255580"/>
    <n v="4802294"/>
  </r>
  <r>
    <x v="496"/>
    <x v="11"/>
    <x v="13"/>
    <x v="69"/>
    <n v="0"/>
    <n v="0"/>
    <n v="0"/>
    <n v="7064285"/>
    <n v="0"/>
    <n v="7064285"/>
    <n v="0"/>
    <m/>
    <n v="0"/>
    <n v="5155701"/>
    <m/>
    <n v="5155701"/>
  </r>
  <r>
    <x v="497"/>
    <x v="11"/>
    <x v="13"/>
    <x v="69"/>
    <n v="0"/>
    <n v="0"/>
    <n v="0"/>
    <n v="730456"/>
    <n v="0"/>
    <n v="730456"/>
    <n v="0"/>
    <m/>
    <n v="0"/>
    <n v="688913"/>
    <m/>
    <n v="688913"/>
  </r>
  <r>
    <x v="498"/>
    <x v="11"/>
    <x v="13"/>
    <x v="69"/>
    <n v="0"/>
    <n v="0"/>
    <n v="0"/>
    <n v="18195794"/>
    <n v="0"/>
    <n v="18195794"/>
    <n v="0"/>
    <m/>
    <n v="0"/>
    <n v="16345551"/>
    <m/>
    <n v="16345551"/>
  </r>
  <r>
    <x v="499"/>
    <x v="11"/>
    <x v="13"/>
    <x v="69"/>
    <n v="0"/>
    <n v="0"/>
    <n v="0"/>
    <n v="379192"/>
    <n v="0"/>
    <n v="379192"/>
    <n v="0"/>
    <m/>
    <n v="0"/>
    <n v="379192"/>
    <m/>
    <n v="379192"/>
  </r>
  <r>
    <x v="500"/>
    <x v="11"/>
    <x v="13"/>
    <x v="69"/>
    <n v="0"/>
    <n v="0"/>
    <n v="0"/>
    <n v="1062735"/>
    <n v="0"/>
    <n v="1062735"/>
    <n v="0"/>
    <m/>
    <n v="0"/>
    <n v="1014019"/>
    <m/>
    <n v="1014019"/>
  </r>
  <r>
    <x v="501"/>
    <x v="11"/>
    <x v="13"/>
    <x v="69"/>
    <n v="0"/>
    <n v="0"/>
    <n v="0"/>
    <n v="712545"/>
    <n v="0"/>
    <n v="712545"/>
    <n v="0"/>
    <m/>
    <n v="0"/>
    <n v="598548"/>
    <m/>
    <n v="598548"/>
  </r>
  <r>
    <x v="502"/>
    <x v="11"/>
    <x v="13"/>
    <x v="69"/>
    <n v="0"/>
    <n v="0"/>
    <n v="0"/>
    <n v="113124922"/>
    <n v="0"/>
    <n v="113124922"/>
    <n v="0"/>
    <m/>
    <n v="0"/>
    <n v="99496148"/>
    <m/>
    <n v="99496148"/>
  </r>
  <r>
    <x v="503"/>
    <x v="11"/>
    <x v="13"/>
    <x v="69"/>
    <n v="0"/>
    <n v="0"/>
    <n v="0"/>
    <n v="927869"/>
    <n v="0"/>
    <n v="927869"/>
    <n v="0"/>
    <m/>
    <n v="0"/>
    <n v="558720"/>
    <m/>
    <n v="558720"/>
  </r>
  <r>
    <x v="504"/>
    <x v="3"/>
    <x v="3"/>
    <x v="4"/>
    <n v="34285"/>
    <n v="0"/>
    <n v="34285"/>
    <n v="0"/>
    <n v="0"/>
    <n v="0"/>
    <n v="34285"/>
    <m/>
    <n v="34285"/>
    <n v="0"/>
    <m/>
    <n v="0"/>
  </r>
  <r>
    <x v="505"/>
    <x v="3"/>
    <x v="3"/>
    <x v="4"/>
    <n v="3500000"/>
    <n v="0"/>
    <n v="3500000"/>
    <n v="0"/>
    <n v="0"/>
    <n v="0"/>
    <m/>
    <m/>
    <m/>
    <m/>
    <m/>
    <m/>
  </r>
  <r>
    <x v="506"/>
    <x v="3"/>
    <x v="3"/>
    <x v="4"/>
    <n v="17190"/>
    <n v="0"/>
    <n v="17190"/>
    <n v="0"/>
    <n v="0"/>
    <n v="0"/>
    <n v="17190"/>
    <m/>
    <n v="17190"/>
    <n v="0"/>
    <m/>
    <n v="0"/>
  </r>
  <r>
    <x v="507"/>
    <x v="3"/>
    <x v="3"/>
    <x v="4"/>
    <n v="0"/>
    <n v="0"/>
    <n v="0"/>
    <n v="0"/>
    <n v="0"/>
    <n v="0"/>
    <n v="0"/>
    <m/>
    <n v="0"/>
    <n v="0"/>
    <m/>
    <n v="0"/>
  </r>
  <r>
    <x v="508"/>
    <x v="3"/>
    <x v="3"/>
    <x v="4"/>
    <n v="122153"/>
    <n v="0"/>
    <n v="122153"/>
    <n v="0"/>
    <n v="0"/>
    <n v="0"/>
    <n v="122153"/>
    <m/>
    <n v="122153"/>
    <n v="0"/>
    <m/>
    <n v="0"/>
  </r>
  <r>
    <x v="509"/>
    <x v="3"/>
    <x v="3"/>
    <x v="4"/>
    <n v="88213"/>
    <n v="0"/>
    <n v="88213"/>
    <n v="0"/>
    <n v="0"/>
    <n v="0"/>
    <n v="88213"/>
    <m/>
    <n v="88213"/>
    <n v="0"/>
    <m/>
    <n v="0"/>
  </r>
  <r>
    <x v="510"/>
    <x v="3"/>
    <x v="3"/>
    <x v="4"/>
    <n v="139678"/>
    <n v="0"/>
    <n v="139678"/>
    <n v="0"/>
    <n v="0"/>
    <n v="0"/>
    <n v="139678"/>
    <m/>
    <n v="139678"/>
    <n v="0"/>
    <m/>
    <n v="0"/>
  </r>
  <r>
    <x v="511"/>
    <x v="3"/>
    <x v="3"/>
    <x v="4"/>
    <n v="271788"/>
    <n v="0"/>
    <n v="271788"/>
    <n v="0"/>
    <n v="0"/>
    <n v="0"/>
    <n v="271788"/>
    <m/>
    <n v="271788"/>
    <n v="0"/>
    <m/>
    <n v="0"/>
  </r>
  <r>
    <x v="512"/>
    <x v="3"/>
    <x v="3"/>
    <x v="4"/>
    <n v="0"/>
    <n v="0"/>
    <n v="0"/>
    <n v="0"/>
    <n v="0"/>
    <n v="0"/>
    <n v="0"/>
    <m/>
    <n v="0"/>
    <n v="0"/>
    <m/>
    <n v="0"/>
  </r>
  <r>
    <x v="513"/>
    <x v="3"/>
    <x v="3"/>
    <x v="4"/>
    <n v="0"/>
    <n v="0"/>
    <n v="0"/>
    <n v="0"/>
    <n v="0"/>
    <n v="0"/>
    <n v="0"/>
    <m/>
    <n v="0"/>
    <n v="0"/>
    <m/>
    <n v="0"/>
  </r>
  <r>
    <x v="514"/>
    <x v="18"/>
    <x v="19"/>
    <x v="38"/>
    <n v="0"/>
    <n v="0"/>
    <n v="0"/>
    <n v="0"/>
    <n v="0"/>
    <n v="0"/>
    <n v="0"/>
    <m/>
    <n v="0"/>
    <n v="216400"/>
    <m/>
    <n v="216400"/>
  </r>
  <r>
    <x v="515"/>
    <x v="18"/>
    <x v="19"/>
    <x v="38"/>
    <n v="0"/>
    <n v="0"/>
    <n v="0"/>
    <n v="3329437.7"/>
    <n v="0"/>
    <n v="3329437.7"/>
    <n v="0"/>
    <m/>
    <n v="0"/>
    <n v="3296204.7"/>
    <m/>
    <n v="3296204.7"/>
  </r>
  <r>
    <x v="516"/>
    <x v="21"/>
    <x v="24"/>
    <x v="70"/>
    <n v="0"/>
    <n v="0"/>
    <n v="0"/>
    <n v="0"/>
    <n v="0"/>
    <n v="0"/>
    <n v="0"/>
    <m/>
    <n v="0"/>
    <n v="0"/>
    <n v="280877"/>
    <n v="280877"/>
  </r>
  <r>
    <x v="517"/>
    <x v="2"/>
    <x v="2"/>
    <x v="33"/>
    <n v="16866441"/>
    <n v="0"/>
    <n v="16866441"/>
    <n v="0"/>
    <n v="0"/>
    <n v="0"/>
    <n v="15450441"/>
    <m/>
    <n v="15450441"/>
    <n v="0"/>
    <m/>
    <n v="0"/>
  </r>
  <r>
    <x v="518"/>
    <x v="0"/>
    <x v="0"/>
    <x v="1"/>
    <n v="0"/>
    <n v="0"/>
    <n v="0"/>
    <n v="0"/>
    <n v="0"/>
    <n v="0"/>
    <n v="0"/>
    <m/>
    <n v="0"/>
    <n v="12385"/>
    <m/>
    <n v="12385"/>
  </r>
  <r>
    <x v="519"/>
    <x v="0"/>
    <x v="0"/>
    <x v="1"/>
    <n v="0"/>
    <n v="0"/>
    <n v="0"/>
    <n v="1743178"/>
    <n v="0"/>
    <n v="1743178"/>
    <n v="0"/>
    <m/>
    <n v="0"/>
    <n v="9346"/>
    <m/>
    <n v="9346"/>
  </r>
  <r>
    <x v="520"/>
    <x v="15"/>
    <x v="16"/>
    <x v="28"/>
    <n v="340090"/>
    <n v="0"/>
    <n v="340090"/>
    <n v="0"/>
    <n v="0"/>
    <n v="0"/>
    <n v="245315"/>
    <m/>
    <n v="245315"/>
    <n v="0"/>
    <m/>
    <n v="0"/>
  </r>
  <r>
    <x v="521"/>
    <x v="4"/>
    <x v="12"/>
    <x v="29"/>
    <n v="5418764"/>
    <n v="0"/>
    <n v="5418764"/>
    <n v="0"/>
    <n v="0"/>
    <n v="0"/>
    <n v="6876013"/>
    <m/>
    <n v="6876013"/>
    <n v="0"/>
    <m/>
    <n v="0"/>
  </r>
  <r>
    <x v="522"/>
    <x v="15"/>
    <x v="16"/>
    <x v="28"/>
    <n v="0"/>
    <n v="0"/>
    <n v="0"/>
    <n v="0"/>
    <n v="0"/>
    <n v="0"/>
    <n v="0"/>
    <m/>
    <n v="0"/>
    <n v="0"/>
    <m/>
    <n v="0"/>
  </r>
  <r>
    <x v="523"/>
    <x v="4"/>
    <x v="12"/>
    <x v="64"/>
    <n v="0"/>
    <n v="0"/>
    <n v="0"/>
    <n v="0"/>
    <n v="0"/>
    <n v="0"/>
    <n v="0"/>
    <m/>
    <n v="0"/>
    <n v="0"/>
    <m/>
    <n v="0"/>
  </r>
  <r>
    <x v="524"/>
    <x v="15"/>
    <x v="16"/>
    <x v="28"/>
    <n v="0"/>
    <n v="0"/>
    <n v="0"/>
    <n v="0"/>
    <n v="0"/>
    <n v="0"/>
    <n v="0"/>
    <m/>
    <n v="0"/>
    <n v="0"/>
    <m/>
    <n v="0"/>
  </r>
  <r>
    <x v="525"/>
    <x v="15"/>
    <x v="16"/>
    <x v="28"/>
    <n v="0"/>
    <n v="0"/>
    <n v="0"/>
    <n v="0"/>
    <n v="0"/>
    <n v="0"/>
    <n v="4380095"/>
    <m/>
    <n v="4380095"/>
    <n v="0"/>
    <m/>
    <n v="0"/>
  </r>
  <r>
    <x v="526"/>
    <x v="4"/>
    <x v="12"/>
    <x v="71"/>
    <n v="17306494.390000001"/>
    <n v="0"/>
    <n v="17306494.390000001"/>
    <n v="0"/>
    <n v="0"/>
    <n v="0"/>
    <n v="5885577.8399999999"/>
    <m/>
    <n v="5885577.8399999999"/>
    <n v="0"/>
    <m/>
    <n v="0"/>
  </r>
  <r>
    <x v="527"/>
    <x v="0"/>
    <x v="0"/>
    <x v="0"/>
    <n v="0"/>
    <n v="0"/>
    <n v="0"/>
    <n v="0"/>
    <n v="0"/>
    <n v="0"/>
    <n v="0"/>
    <m/>
    <n v="0"/>
    <n v="0"/>
    <m/>
    <n v="0"/>
  </r>
  <r>
    <x v="528"/>
    <x v="0"/>
    <x v="0"/>
    <x v="0"/>
    <n v="0"/>
    <n v="0"/>
    <n v="0"/>
    <n v="68453"/>
    <n v="0"/>
    <n v="68453"/>
    <m/>
    <m/>
    <m/>
    <m/>
    <m/>
    <m/>
  </r>
  <r>
    <x v="529"/>
    <x v="8"/>
    <x v="9"/>
    <x v="11"/>
    <n v="0"/>
    <n v="0"/>
    <n v="0"/>
    <n v="0"/>
    <n v="0"/>
    <n v="0"/>
    <n v="0"/>
    <m/>
    <n v="0"/>
    <n v="0"/>
    <m/>
    <n v="0"/>
  </r>
  <r>
    <x v="530"/>
    <x v="1"/>
    <x v="1"/>
    <x v="2"/>
    <n v="0"/>
    <n v="0"/>
    <n v="0"/>
    <n v="0"/>
    <n v="0"/>
    <n v="0"/>
    <n v="0"/>
    <m/>
    <n v="0"/>
    <n v="0"/>
    <m/>
    <n v="0"/>
  </r>
  <r>
    <x v="531"/>
    <x v="1"/>
    <x v="1"/>
    <x v="2"/>
    <n v="1197020"/>
    <n v="0"/>
    <n v="1197020"/>
    <n v="0"/>
    <n v="0"/>
    <n v="0"/>
    <n v="3359955"/>
    <m/>
    <n v="3359955"/>
    <n v="0"/>
    <m/>
    <n v="0"/>
  </r>
  <r>
    <x v="532"/>
    <x v="1"/>
    <x v="1"/>
    <x v="2"/>
    <n v="14451586"/>
    <n v="0"/>
    <n v="14451586"/>
    <n v="0"/>
    <n v="0"/>
    <n v="0"/>
    <n v="25272743"/>
    <m/>
    <n v="25272743"/>
    <n v="0"/>
    <m/>
    <n v="0"/>
  </r>
  <r>
    <x v="533"/>
    <x v="0"/>
    <x v="0"/>
    <x v="1"/>
    <n v="0"/>
    <n v="0"/>
    <n v="0"/>
    <n v="1439364"/>
    <n v="0"/>
    <n v="1439364"/>
    <n v="0"/>
    <m/>
    <n v="0"/>
    <n v="13051000"/>
    <m/>
    <n v="13051000"/>
  </r>
  <r>
    <x v="534"/>
    <x v="6"/>
    <x v="6"/>
    <x v="7"/>
    <n v="0"/>
    <n v="0"/>
    <n v="0"/>
    <n v="0"/>
    <n v="0"/>
    <n v="0"/>
    <n v="0"/>
    <m/>
    <n v="0"/>
    <n v="0"/>
    <m/>
    <n v="0"/>
  </r>
  <r>
    <x v="535"/>
    <x v="0"/>
    <x v="0"/>
    <x v="1"/>
    <n v="0"/>
    <n v="0"/>
    <n v="0"/>
    <n v="0"/>
    <n v="0"/>
    <n v="0"/>
    <n v="0"/>
    <m/>
    <n v="0"/>
    <n v="2563"/>
    <m/>
    <n v="2563"/>
  </r>
  <r>
    <x v="536"/>
    <x v="0"/>
    <x v="0"/>
    <x v="1"/>
    <n v="0"/>
    <n v="0"/>
    <n v="0"/>
    <n v="0"/>
    <n v="0"/>
    <n v="0"/>
    <n v="0"/>
    <m/>
    <n v="0"/>
    <n v="0"/>
    <m/>
    <n v="0"/>
  </r>
  <r>
    <x v="537"/>
    <x v="4"/>
    <x v="12"/>
    <x v="29"/>
    <n v="0"/>
    <n v="0"/>
    <n v="0"/>
    <n v="0"/>
    <n v="0"/>
    <n v="0"/>
    <n v="0"/>
    <m/>
    <n v="0"/>
    <n v="0"/>
    <m/>
    <n v="0"/>
  </r>
  <r>
    <x v="538"/>
    <x v="4"/>
    <x v="8"/>
    <x v="24"/>
    <n v="241323"/>
    <n v="0"/>
    <n v="241323"/>
    <n v="0"/>
    <n v="0"/>
    <n v="0"/>
    <n v="208079"/>
    <m/>
    <n v="208079"/>
    <n v="0"/>
    <m/>
    <n v="0"/>
  </r>
  <r>
    <x v="539"/>
    <x v="0"/>
    <x v="0"/>
    <x v="1"/>
    <n v="0"/>
    <n v="0"/>
    <n v="0"/>
    <n v="0"/>
    <n v="0"/>
    <n v="0"/>
    <n v="0"/>
    <m/>
    <n v="0"/>
    <n v="0"/>
    <m/>
    <n v="0"/>
  </r>
  <r>
    <x v="540"/>
    <x v="6"/>
    <x v="6"/>
    <x v="7"/>
    <n v="0"/>
    <n v="0"/>
    <n v="0"/>
    <n v="0"/>
    <n v="0"/>
    <n v="0"/>
    <n v="0"/>
    <m/>
    <n v="0"/>
    <n v="0"/>
    <m/>
    <n v="0"/>
  </r>
  <r>
    <x v="541"/>
    <x v="4"/>
    <x v="12"/>
    <x v="72"/>
    <n v="4044390"/>
    <n v="0"/>
    <n v="4044390"/>
    <n v="0"/>
    <n v="0"/>
    <n v="0"/>
    <n v="3861148"/>
    <m/>
    <n v="3861148"/>
    <n v="0"/>
    <m/>
    <n v="0"/>
  </r>
  <r>
    <x v="542"/>
    <x v="14"/>
    <x v="9"/>
    <x v="27"/>
    <n v="0"/>
    <n v="0"/>
    <n v="0"/>
    <n v="21303"/>
    <n v="0"/>
    <n v="21303"/>
    <n v="0"/>
    <m/>
    <n v="0"/>
    <n v="20899"/>
    <m/>
    <n v="20899"/>
  </r>
  <r>
    <x v="543"/>
    <x v="14"/>
    <x v="9"/>
    <x v="27"/>
    <n v="0"/>
    <n v="0"/>
    <n v="0"/>
    <n v="124753"/>
    <n v="0"/>
    <n v="124753"/>
    <n v="0"/>
    <m/>
    <n v="0"/>
    <n v="75747"/>
    <m/>
    <n v="75747"/>
  </r>
  <r>
    <x v="544"/>
    <x v="14"/>
    <x v="9"/>
    <x v="27"/>
    <n v="0"/>
    <n v="0"/>
    <n v="0"/>
    <n v="0"/>
    <n v="0"/>
    <n v="0"/>
    <n v="0"/>
    <m/>
    <n v="0"/>
    <n v="0"/>
    <m/>
    <n v="0"/>
  </r>
  <r>
    <x v="545"/>
    <x v="14"/>
    <x v="9"/>
    <x v="27"/>
    <n v="0"/>
    <n v="0"/>
    <n v="0"/>
    <n v="0"/>
    <n v="0"/>
    <n v="0"/>
    <n v="0"/>
    <m/>
    <n v="0"/>
    <n v="0"/>
    <m/>
    <n v="0"/>
  </r>
  <r>
    <x v="546"/>
    <x v="14"/>
    <x v="9"/>
    <x v="27"/>
    <n v="0"/>
    <n v="0"/>
    <n v="0"/>
    <n v="0"/>
    <n v="0"/>
    <n v="0"/>
    <n v="0"/>
    <m/>
    <n v="0"/>
    <n v="0"/>
    <m/>
    <n v="0"/>
  </r>
  <r>
    <x v="547"/>
    <x v="14"/>
    <x v="9"/>
    <x v="27"/>
    <n v="0"/>
    <n v="0"/>
    <n v="0"/>
    <n v="21303"/>
    <n v="0"/>
    <n v="21303"/>
    <n v="0"/>
    <m/>
    <n v="0"/>
    <n v="20899"/>
    <m/>
    <n v="20899"/>
  </r>
  <r>
    <x v="548"/>
    <x v="14"/>
    <x v="9"/>
    <x v="27"/>
    <n v="0"/>
    <n v="0"/>
    <n v="0"/>
    <n v="0"/>
    <n v="0"/>
    <n v="0"/>
    <n v="0"/>
    <m/>
    <n v="0"/>
    <n v="0"/>
    <m/>
    <n v="0"/>
  </r>
  <r>
    <x v="549"/>
    <x v="14"/>
    <x v="9"/>
    <x v="27"/>
    <n v="0"/>
    <n v="0"/>
    <n v="0"/>
    <n v="0"/>
    <n v="0"/>
    <n v="0"/>
    <n v="0"/>
    <m/>
    <n v="0"/>
    <n v="0"/>
    <m/>
    <n v="0"/>
  </r>
  <r>
    <x v="550"/>
    <x v="14"/>
    <x v="9"/>
    <x v="27"/>
    <n v="0"/>
    <n v="0"/>
    <n v="0"/>
    <n v="0"/>
    <n v="0"/>
    <n v="0"/>
    <n v="0"/>
    <m/>
    <n v="0"/>
    <n v="0"/>
    <m/>
    <n v="0"/>
  </r>
  <r>
    <x v="551"/>
    <x v="0"/>
    <x v="0"/>
    <x v="0"/>
    <n v="0"/>
    <n v="0"/>
    <n v="0"/>
    <n v="0"/>
    <n v="0"/>
    <n v="0"/>
    <n v="0"/>
    <m/>
    <n v="0"/>
    <n v="0"/>
    <m/>
    <n v="0"/>
  </r>
  <r>
    <x v="552"/>
    <x v="8"/>
    <x v="28"/>
    <x v="38"/>
    <n v="0"/>
    <n v="0"/>
    <n v="0"/>
    <n v="0"/>
    <n v="0"/>
    <n v="0"/>
    <n v="0"/>
    <m/>
    <n v="0"/>
    <n v="0"/>
    <m/>
    <n v="0"/>
  </r>
  <r>
    <x v="553"/>
    <x v="19"/>
    <x v="21"/>
    <x v="40"/>
    <n v="4723871"/>
    <n v="0"/>
    <n v="4723871"/>
    <n v="0"/>
    <n v="0"/>
    <n v="0"/>
    <n v="4800000"/>
    <m/>
    <n v="4800000"/>
    <n v="0"/>
    <m/>
    <n v="0"/>
  </r>
  <r>
    <x v="554"/>
    <x v="4"/>
    <x v="8"/>
    <x v="9"/>
    <n v="230514"/>
    <n v="0"/>
    <n v="230514"/>
    <n v="0"/>
    <n v="0"/>
    <n v="0"/>
    <n v="281990"/>
    <m/>
    <n v="281990"/>
    <n v="0"/>
    <m/>
    <n v="0"/>
  </r>
  <r>
    <x v="555"/>
    <x v="4"/>
    <x v="12"/>
    <x v="73"/>
    <n v="49000"/>
    <n v="0"/>
    <n v="49000"/>
    <n v="0"/>
    <n v="0"/>
    <n v="0"/>
    <n v="688233.98"/>
    <m/>
    <n v="688233.98"/>
    <n v="0"/>
    <m/>
    <n v="0"/>
  </r>
  <r>
    <x v="556"/>
    <x v="4"/>
    <x v="8"/>
    <x v="65"/>
    <n v="501594.49"/>
    <n v="0"/>
    <n v="501594.49"/>
    <n v="0"/>
    <n v="0"/>
    <n v="0"/>
    <n v="806397.4"/>
    <m/>
    <n v="806397.4"/>
    <n v="0"/>
    <m/>
    <n v="0"/>
  </r>
  <r>
    <x v="557"/>
    <x v="12"/>
    <x v="14"/>
    <x v="23"/>
    <n v="0"/>
    <n v="0"/>
    <n v="0"/>
    <n v="50905004"/>
    <n v="0"/>
    <n v="50905004"/>
    <n v="0"/>
    <m/>
    <n v="0"/>
    <n v="50905004"/>
    <m/>
    <n v="50905004"/>
  </r>
  <r>
    <x v="558"/>
    <x v="4"/>
    <x v="8"/>
    <x v="24"/>
    <n v="10950"/>
    <n v="0"/>
    <n v="10950"/>
    <n v="0"/>
    <n v="0"/>
    <n v="0"/>
    <n v="11900"/>
    <m/>
    <n v="11900"/>
    <n v="0"/>
    <m/>
    <n v="0"/>
  </r>
  <r>
    <x v="559"/>
    <x v="0"/>
    <x v="0"/>
    <x v="1"/>
    <n v="0"/>
    <n v="0"/>
    <n v="0"/>
    <n v="2717096"/>
    <n v="0"/>
    <n v="2717096"/>
    <n v="0"/>
    <m/>
    <n v="0"/>
    <n v="1692622"/>
    <m/>
    <n v="1692622"/>
  </r>
  <r>
    <x v="560"/>
    <x v="4"/>
    <x v="8"/>
    <x v="9"/>
    <n v="0"/>
    <n v="0"/>
    <n v="0"/>
    <n v="902.81"/>
    <n v="0"/>
    <n v="902.81"/>
    <n v="0"/>
    <m/>
    <n v="0"/>
    <n v="353.12"/>
    <m/>
    <n v="353.12"/>
  </r>
  <r>
    <x v="561"/>
    <x v="23"/>
    <x v="15"/>
    <x v="74"/>
    <n v="0"/>
    <n v="0"/>
    <n v="0"/>
    <n v="0"/>
    <n v="0"/>
    <n v="0"/>
    <n v="0"/>
    <m/>
    <n v="0"/>
    <n v="0"/>
    <m/>
    <n v="0"/>
  </r>
  <r>
    <x v="562"/>
    <x v="13"/>
    <x v="15"/>
    <x v="75"/>
    <n v="10757.64"/>
    <n v="0"/>
    <n v="10757.64"/>
    <n v="0"/>
    <n v="0"/>
    <n v="0"/>
    <n v="78364.399999999994"/>
    <m/>
    <n v="78364.399999999994"/>
    <n v="0"/>
    <m/>
    <n v="0"/>
  </r>
  <r>
    <x v="563"/>
    <x v="7"/>
    <x v="7"/>
    <x v="76"/>
    <n v="0"/>
    <n v="0"/>
    <n v="0"/>
    <n v="0"/>
    <n v="0"/>
    <n v="0"/>
    <n v="0"/>
    <m/>
    <n v="0"/>
    <n v="3874175"/>
    <m/>
    <n v="3874175"/>
  </r>
  <r>
    <x v="564"/>
    <x v="7"/>
    <x v="7"/>
    <x v="76"/>
    <n v="0"/>
    <n v="0"/>
    <n v="0"/>
    <n v="0"/>
    <n v="0"/>
    <n v="0"/>
    <n v="0"/>
    <m/>
    <n v="0"/>
    <n v="0"/>
    <m/>
    <n v="0"/>
  </r>
  <r>
    <x v="565"/>
    <x v="7"/>
    <x v="7"/>
    <x v="76"/>
    <n v="0"/>
    <n v="0"/>
    <n v="0"/>
    <n v="0"/>
    <n v="0"/>
    <n v="0"/>
    <n v="0"/>
    <m/>
    <n v="0"/>
    <n v="3118016"/>
    <m/>
    <n v="3118016"/>
  </r>
  <r>
    <x v="566"/>
    <x v="7"/>
    <x v="7"/>
    <x v="76"/>
    <n v="0"/>
    <n v="0"/>
    <n v="0"/>
    <n v="0"/>
    <n v="0"/>
    <n v="0"/>
    <n v="0"/>
    <m/>
    <n v="0"/>
    <n v="0"/>
    <m/>
    <n v="0"/>
  </r>
  <r>
    <x v="567"/>
    <x v="0"/>
    <x v="0"/>
    <x v="1"/>
    <n v="0"/>
    <n v="0"/>
    <n v="0"/>
    <n v="0"/>
    <n v="0"/>
    <n v="0"/>
    <n v="0"/>
    <m/>
    <n v="0"/>
    <n v="0"/>
    <m/>
    <n v="0"/>
  </r>
  <r>
    <x v="568"/>
    <x v="6"/>
    <x v="6"/>
    <x v="7"/>
    <n v="2000"/>
    <n v="0"/>
    <n v="2000"/>
    <n v="0"/>
    <n v="0"/>
    <n v="0"/>
    <n v="0"/>
    <m/>
    <n v="0"/>
    <n v="0"/>
    <m/>
    <n v="0"/>
  </r>
  <r>
    <x v="569"/>
    <x v="1"/>
    <x v="1"/>
    <x v="2"/>
    <n v="3429284"/>
    <n v="0"/>
    <n v="3429284"/>
    <n v="0"/>
    <n v="0"/>
    <n v="0"/>
    <n v="347389"/>
    <m/>
    <n v="347389"/>
    <n v="0"/>
    <m/>
    <n v="0"/>
  </r>
  <r>
    <x v="570"/>
    <x v="0"/>
    <x v="0"/>
    <x v="1"/>
    <n v="0"/>
    <n v="0"/>
    <n v="0"/>
    <n v="0"/>
    <n v="0"/>
    <n v="0"/>
    <n v="0"/>
    <m/>
    <n v="0"/>
    <n v="0"/>
    <m/>
    <n v="0"/>
  </r>
  <r>
    <x v="571"/>
    <x v="0"/>
    <x v="0"/>
    <x v="1"/>
    <n v="0"/>
    <n v="0"/>
    <n v="0"/>
    <n v="122753"/>
    <n v="0"/>
    <n v="122753"/>
    <n v="0"/>
    <m/>
    <n v="0"/>
    <n v="331346"/>
    <m/>
    <n v="331346"/>
  </r>
  <r>
    <x v="572"/>
    <x v="22"/>
    <x v="25"/>
    <x v="77"/>
    <n v="0"/>
    <n v="0"/>
    <n v="0"/>
    <n v="1152229"/>
    <n v="0"/>
    <n v="1152229"/>
    <n v="0"/>
    <m/>
    <n v="0"/>
    <n v="1029792"/>
    <m/>
    <n v="1029792"/>
  </r>
  <r>
    <x v="573"/>
    <x v="19"/>
    <x v="21"/>
    <x v="40"/>
    <n v="222000"/>
    <n v="0"/>
    <n v="222000"/>
    <n v="0"/>
    <n v="0"/>
    <n v="0"/>
    <n v="216000"/>
    <m/>
    <n v="216000"/>
    <n v="0"/>
    <m/>
    <n v="0"/>
  </r>
  <r>
    <x v="574"/>
    <x v="19"/>
    <x v="21"/>
    <x v="40"/>
    <n v="0"/>
    <n v="0"/>
    <n v="0"/>
    <n v="0"/>
    <n v="0"/>
    <n v="0"/>
    <n v="0"/>
    <m/>
    <n v="0"/>
    <n v="0"/>
    <m/>
    <n v="0"/>
  </r>
  <r>
    <x v="575"/>
    <x v="19"/>
    <x v="21"/>
    <x v="40"/>
    <n v="2764949"/>
    <n v="0"/>
    <n v="2764949"/>
    <n v="0"/>
    <n v="0"/>
    <n v="0"/>
    <n v="1684618"/>
    <m/>
    <n v="1684618"/>
    <n v="0"/>
    <m/>
    <n v="0"/>
  </r>
  <r>
    <x v="576"/>
    <x v="19"/>
    <x v="21"/>
    <x v="40"/>
    <n v="2678400"/>
    <n v="0"/>
    <n v="2678400"/>
    <n v="0"/>
    <n v="0"/>
    <n v="0"/>
    <n v="2423600"/>
    <m/>
    <n v="2423600"/>
    <n v="0"/>
    <m/>
    <n v="0"/>
  </r>
  <r>
    <x v="577"/>
    <x v="19"/>
    <x v="21"/>
    <x v="40"/>
    <n v="10002813"/>
    <n v="0"/>
    <n v="10002813"/>
    <n v="0"/>
    <n v="0"/>
    <n v="0"/>
    <n v="8467719"/>
    <m/>
    <n v="8467719"/>
    <n v="0"/>
    <m/>
    <n v="0"/>
  </r>
  <r>
    <x v="578"/>
    <x v="20"/>
    <x v="22"/>
    <x v="41"/>
    <n v="0"/>
    <n v="0"/>
    <n v="0"/>
    <n v="1177784"/>
    <n v="0"/>
    <n v="1177784"/>
    <n v="0"/>
    <m/>
    <n v="0"/>
    <n v="729659"/>
    <m/>
    <n v="729659"/>
  </r>
  <r>
    <x v="579"/>
    <x v="20"/>
    <x v="22"/>
    <x v="41"/>
    <n v="0"/>
    <n v="0"/>
    <n v="0"/>
    <n v="996978842.14999998"/>
    <n v="0"/>
    <n v="996978842.14999998"/>
    <n v="0"/>
    <m/>
    <n v="0"/>
    <n v="714551552.14999998"/>
    <m/>
    <n v="714551552.14999998"/>
  </r>
  <r>
    <x v="580"/>
    <x v="20"/>
    <x v="22"/>
    <x v="41"/>
    <n v="0"/>
    <n v="0"/>
    <n v="0"/>
    <n v="0"/>
    <n v="0"/>
    <n v="0"/>
    <n v="0"/>
    <m/>
    <n v="0"/>
    <n v="0"/>
    <m/>
    <n v="0"/>
  </r>
  <r>
    <x v="581"/>
    <x v="4"/>
    <x v="8"/>
    <x v="24"/>
    <n v="0"/>
    <n v="0"/>
    <n v="0"/>
    <n v="0"/>
    <n v="0"/>
    <n v="0"/>
    <n v="0"/>
    <m/>
    <n v="0"/>
    <n v="0"/>
    <m/>
    <n v="0"/>
  </r>
  <r>
    <x v="582"/>
    <x v="7"/>
    <x v="7"/>
    <x v="8"/>
    <n v="0"/>
    <n v="0"/>
    <n v="0"/>
    <n v="1218462"/>
    <n v="0"/>
    <n v="1218462"/>
    <n v="0"/>
    <m/>
    <n v="0"/>
    <n v="941222"/>
    <m/>
    <n v="941222"/>
  </r>
  <r>
    <x v="583"/>
    <x v="0"/>
    <x v="0"/>
    <x v="0"/>
    <n v="0"/>
    <n v="0"/>
    <n v="0"/>
    <n v="0"/>
    <n v="0"/>
    <n v="0"/>
    <n v="0"/>
    <m/>
    <n v="0"/>
    <n v="0"/>
    <m/>
    <n v="0"/>
  </r>
  <r>
    <x v="584"/>
    <x v="6"/>
    <x v="6"/>
    <x v="7"/>
    <n v="0"/>
    <n v="0"/>
    <n v="0"/>
    <n v="0"/>
    <n v="0"/>
    <n v="0"/>
    <n v="0"/>
    <m/>
    <n v="0"/>
    <n v="0"/>
    <m/>
    <n v="0"/>
  </r>
  <r>
    <x v="585"/>
    <x v="0"/>
    <x v="0"/>
    <x v="1"/>
    <n v="0"/>
    <n v="0"/>
    <n v="0"/>
    <n v="0"/>
    <n v="0"/>
    <n v="0"/>
    <n v="0"/>
    <m/>
    <n v="0"/>
    <n v="0"/>
    <m/>
    <n v="0"/>
  </r>
  <r>
    <x v="586"/>
    <x v="7"/>
    <x v="7"/>
    <x v="8"/>
    <n v="0"/>
    <n v="0"/>
    <n v="0"/>
    <n v="1895328"/>
    <n v="0"/>
    <n v="1895328"/>
    <n v="0"/>
    <m/>
    <n v="0"/>
    <n v="1764791"/>
    <m/>
    <n v="1764791"/>
  </r>
  <r>
    <x v="587"/>
    <x v="0"/>
    <x v="0"/>
    <x v="1"/>
    <n v="0"/>
    <n v="0"/>
    <n v="0"/>
    <n v="0"/>
    <n v="0"/>
    <n v="0"/>
    <n v="0"/>
    <m/>
    <n v="0"/>
    <n v="0"/>
    <m/>
    <n v="0"/>
  </r>
  <r>
    <x v="588"/>
    <x v="8"/>
    <x v="14"/>
    <x v="78"/>
    <n v="0"/>
    <n v="0"/>
    <n v="0"/>
    <n v="8664946"/>
    <n v="0"/>
    <n v="8664946"/>
    <n v="0"/>
    <m/>
    <n v="0"/>
    <n v="8664946"/>
    <m/>
    <n v="8664946"/>
  </r>
  <r>
    <x v="589"/>
    <x v="4"/>
    <x v="12"/>
    <x v="79"/>
    <n v="783594"/>
    <n v="0"/>
    <n v="783594"/>
    <n v="0"/>
    <n v="0"/>
    <n v="0"/>
    <n v="703243"/>
    <m/>
    <n v="703243"/>
    <n v="0"/>
    <m/>
    <n v="0"/>
  </r>
  <r>
    <x v="590"/>
    <x v="20"/>
    <x v="22"/>
    <x v="41"/>
    <n v="0"/>
    <n v="0"/>
    <n v="0"/>
    <n v="22958399.75"/>
    <n v="0"/>
    <n v="22958399.75"/>
    <n v="0"/>
    <m/>
    <n v="0"/>
    <n v="18748332"/>
    <m/>
    <n v="18748332"/>
  </r>
  <r>
    <x v="591"/>
    <x v="14"/>
    <x v="9"/>
    <x v="27"/>
    <n v="0"/>
    <n v="0"/>
    <n v="0"/>
    <n v="0"/>
    <n v="0"/>
    <n v="0"/>
    <n v="0"/>
    <m/>
    <n v="0"/>
    <n v="0"/>
    <m/>
    <n v="0"/>
  </r>
  <r>
    <x v="592"/>
    <x v="14"/>
    <x v="9"/>
    <x v="27"/>
    <n v="0"/>
    <n v="0"/>
    <n v="0"/>
    <n v="0"/>
    <n v="0"/>
    <n v="0"/>
    <n v="0"/>
    <m/>
    <n v="0"/>
    <n v="0"/>
    <m/>
    <n v="0"/>
  </r>
  <r>
    <x v="593"/>
    <x v="14"/>
    <x v="9"/>
    <x v="27"/>
    <n v="0"/>
    <n v="0"/>
    <n v="0"/>
    <n v="0"/>
    <n v="0"/>
    <n v="0"/>
    <n v="0"/>
    <m/>
    <n v="0"/>
    <n v="0"/>
    <m/>
    <n v="0"/>
  </r>
  <r>
    <x v="594"/>
    <x v="14"/>
    <x v="9"/>
    <x v="27"/>
    <n v="0"/>
    <n v="0"/>
    <n v="0"/>
    <n v="0"/>
    <n v="0"/>
    <n v="0"/>
    <n v="0"/>
    <m/>
    <n v="0"/>
    <n v="0"/>
    <m/>
    <n v="0"/>
  </r>
  <r>
    <x v="595"/>
    <x v="0"/>
    <x v="0"/>
    <x v="1"/>
    <n v="0"/>
    <n v="0"/>
    <n v="0"/>
    <n v="0"/>
    <n v="0"/>
    <n v="0"/>
    <n v="0"/>
    <m/>
    <n v="0"/>
    <n v="0"/>
    <m/>
    <n v="0"/>
  </r>
  <r>
    <x v="596"/>
    <x v="6"/>
    <x v="6"/>
    <x v="7"/>
    <n v="0"/>
    <n v="0"/>
    <n v="0"/>
    <n v="0"/>
    <n v="0"/>
    <n v="0"/>
    <n v="0"/>
    <m/>
    <n v="0"/>
    <n v="0"/>
    <m/>
    <n v="0"/>
  </r>
  <r>
    <x v="597"/>
    <x v="0"/>
    <x v="0"/>
    <x v="1"/>
    <n v="0"/>
    <n v="0"/>
    <n v="0"/>
    <n v="0"/>
    <n v="0"/>
    <n v="0"/>
    <n v="0"/>
    <m/>
    <n v="0"/>
    <n v="0"/>
    <m/>
    <n v="0"/>
  </r>
  <r>
    <x v="598"/>
    <x v="1"/>
    <x v="1"/>
    <x v="2"/>
    <n v="1020644"/>
    <n v="0"/>
    <n v="1020644"/>
    <n v="0"/>
    <n v="0"/>
    <n v="0"/>
    <n v="0"/>
    <m/>
    <n v="0"/>
    <n v="0"/>
    <m/>
    <n v="0"/>
  </r>
  <r>
    <x v="599"/>
    <x v="1"/>
    <x v="1"/>
    <x v="2"/>
    <n v="0"/>
    <n v="0"/>
    <n v="0"/>
    <n v="0"/>
    <n v="0"/>
    <n v="0"/>
    <n v="29993"/>
    <m/>
    <n v="29993"/>
    <n v="0"/>
    <m/>
    <n v="0"/>
  </r>
  <r>
    <x v="600"/>
    <x v="0"/>
    <x v="0"/>
    <x v="0"/>
    <n v="0"/>
    <n v="0"/>
    <n v="0"/>
    <n v="0"/>
    <n v="0"/>
    <n v="0"/>
    <n v="0"/>
    <m/>
    <n v="0"/>
    <n v="0"/>
    <m/>
    <n v="0"/>
  </r>
  <r>
    <x v="601"/>
    <x v="0"/>
    <x v="0"/>
    <x v="0"/>
    <n v="0"/>
    <n v="0"/>
    <n v="0"/>
    <n v="0"/>
    <n v="0"/>
    <n v="0"/>
    <n v="0"/>
    <m/>
    <n v="0"/>
    <n v="0"/>
    <m/>
    <n v="0"/>
  </r>
  <r>
    <x v="602"/>
    <x v="0"/>
    <x v="0"/>
    <x v="1"/>
    <n v="0"/>
    <n v="0"/>
    <n v="0"/>
    <n v="0"/>
    <n v="0"/>
    <n v="0"/>
    <n v="0"/>
    <m/>
    <n v="0"/>
    <n v="0"/>
    <m/>
    <n v="0"/>
  </r>
  <r>
    <x v="603"/>
    <x v="0"/>
    <x v="0"/>
    <x v="1"/>
    <n v="0"/>
    <n v="0"/>
    <n v="0"/>
    <n v="0"/>
    <n v="0"/>
    <n v="0"/>
    <n v="0"/>
    <m/>
    <n v="0"/>
    <n v="0"/>
    <m/>
    <n v="0"/>
  </r>
  <r>
    <x v="604"/>
    <x v="4"/>
    <x v="8"/>
    <x v="9"/>
    <n v="0"/>
    <n v="0"/>
    <n v="0"/>
    <n v="0"/>
    <n v="0"/>
    <n v="0"/>
    <n v="0"/>
    <m/>
    <n v="0"/>
    <n v="0"/>
    <m/>
    <n v="0"/>
  </r>
  <r>
    <x v="605"/>
    <x v="19"/>
    <x v="21"/>
    <x v="40"/>
    <n v="0"/>
    <n v="0"/>
    <n v="0"/>
    <n v="0"/>
    <n v="0"/>
    <n v="0"/>
    <n v="59270"/>
    <m/>
    <n v="59270"/>
    <n v="0"/>
    <m/>
    <n v="0"/>
  </r>
  <r>
    <x v="606"/>
    <x v="1"/>
    <x v="1"/>
    <x v="2"/>
    <n v="5205371"/>
    <n v="0"/>
    <n v="5205371"/>
    <n v="0"/>
    <n v="0"/>
    <n v="0"/>
    <n v="2856394"/>
    <m/>
    <n v="2856394"/>
    <n v="0"/>
    <m/>
    <n v="0"/>
  </r>
  <r>
    <x v="607"/>
    <x v="1"/>
    <x v="1"/>
    <x v="2"/>
    <n v="557086"/>
    <n v="0"/>
    <n v="557086"/>
    <n v="0"/>
    <n v="0"/>
    <n v="0"/>
    <n v="168822"/>
    <m/>
    <n v="168822"/>
    <n v="0"/>
    <m/>
    <n v="0"/>
  </r>
  <r>
    <x v="608"/>
    <x v="0"/>
    <x v="0"/>
    <x v="1"/>
    <n v="0"/>
    <n v="0"/>
    <n v="0"/>
    <n v="0"/>
    <n v="0"/>
    <n v="0"/>
    <n v="0"/>
    <m/>
    <n v="0"/>
    <n v="19308"/>
    <m/>
    <n v="19308"/>
  </r>
  <r>
    <x v="609"/>
    <x v="0"/>
    <x v="0"/>
    <x v="1"/>
    <n v="0"/>
    <n v="0"/>
    <n v="0"/>
    <n v="5633372.7000000002"/>
    <n v="0"/>
    <n v="5633372.7000000002"/>
    <n v="0"/>
    <m/>
    <n v="0"/>
    <n v="586169"/>
    <m/>
    <n v="586169"/>
  </r>
  <r>
    <x v="610"/>
    <x v="1"/>
    <x v="1"/>
    <x v="2"/>
    <n v="0"/>
    <n v="0"/>
    <n v="0"/>
    <n v="0"/>
    <n v="0"/>
    <n v="0"/>
    <n v="0"/>
    <m/>
    <n v="0"/>
    <n v="0"/>
    <m/>
    <n v="0"/>
  </r>
  <r>
    <x v="611"/>
    <x v="1"/>
    <x v="1"/>
    <x v="2"/>
    <n v="0"/>
    <n v="0"/>
    <n v="0"/>
    <n v="0"/>
    <n v="0"/>
    <n v="0"/>
    <n v="511714"/>
    <m/>
    <n v="511714"/>
    <n v="0"/>
    <m/>
    <n v="0"/>
  </r>
  <r>
    <x v="612"/>
    <x v="1"/>
    <x v="1"/>
    <x v="2"/>
    <n v="0"/>
    <n v="0"/>
    <n v="0"/>
    <n v="0"/>
    <n v="0"/>
    <n v="0"/>
    <n v="885649"/>
    <m/>
    <n v="885649"/>
    <n v="0"/>
    <m/>
    <n v="0"/>
  </r>
  <r>
    <x v="613"/>
    <x v="0"/>
    <x v="0"/>
    <x v="1"/>
    <n v="0"/>
    <n v="0"/>
    <n v="0"/>
    <n v="198137"/>
    <n v="0"/>
    <n v="198137"/>
    <n v="0"/>
    <m/>
    <n v="0"/>
    <n v="134747"/>
    <m/>
    <n v="134747"/>
  </r>
  <r>
    <x v="614"/>
    <x v="4"/>
    <x v="8"/>
    <x v="9"/>
    <n v="10980"/>
    <n v="0"/>
    <n v="10980"/>
    <n v="0"/>
    <n v="0"/>
    <n v="0"/>
    <n v="55555"/>
    <m/>
    <n v="55555"/>
    <n v="0"/>
    <m/>
    <n v="0"/>
  </r>
  <r>
    <x v="615"/>
    <x v="20"/>
    <x v="22"/>
    <x v="41"/>
    <n v="3229"/>
    <n v="0"/>
    <n v="3229"/>
    <n v="0"/>
    <n v="0"/>
    <n v="0"/>
    <n v="26467"/>
    <m/>
    <n v="26467"/>
    <n v="0"/>
    <m/>
    <n v="0"/>
  </r>
  <r>
    <x v="616"/>
    <x v="7"/>
    <x v="7"/>
    <x v="8"/>
    <n v="0"/>
    <n v="0"/>
    <n v="0"/>
    <n v="3072538"/>
    <n v="0"/>
    <n v="3072538"/>
    <n v="0"/>
    <m/>
    <n v="0"/>
    <n v="1882446"/>
    <m/>
    <n v="1882446"/>
  </r>
  <r>
    <x v="617"/>
    <x v="0"/>
    <x v="0"/>
    <x v="1"/>
    <n v="0"/>
    <n v="0"/>
    <n v="0"/>
    <n v="0"/>
    <n v="0"/>
    <n v="0"/>
    <n v="0"/>
    <m/>
    <n v="0"/>
    <n v="31436"/>
    <m/>
    <n v="31436"/>
  </r>
  <r>
    <x v="618"/>
    <x v="1"/>
    <x v="1"/>
    <x v="2"/>
    <n v="0"/>
    <n v="0"/>
    <n v="0"/>
    <n v="0"/>
    <n v="0"/>
    <n v="0"/>
    <n v="0"/>
    <m/>
    <n v="0"/>
    <n v="0"/>
    <m/>
    <n v="0"/>
  </r>
  <r>
    <x v="619"/>
    <x v="14"/>
    <x v="9"/>
    <x v="31"/>
    <n v="0"/>
    <n v="0"/>
    <n v="0"/>
    <n v="11175"/>
    <n v="0"/>
    <n v="11175"/>
    <n v="0"/>
    <m/>
    <n v="0"/>
    <n v="12150"/>
    <m/>
    <n v="12150"/>
  </r>
  <r>
    <x v="620"/>
    <x v="19"/>
    <x v="21"/>
    <x v="62"/>
    <n v="0"/>
    <n v="0"/>
    <n v="0"/>
    <n v="0"/>
    <n v="0"/>
    <n v="0"/>
    <n v="0"/>
    <m/>
    <n v="0"/>
    <n v="0"/>
    <m/>
    <n v="0"/>
  </r>
  <r>
    <x v="621"/>
    <x v="24"/>
    <x v="29"/>
    <x v="80"/>
    <n v="0"/>
    <n v="0"/>
    <n v="0"/>
    <n v="56842407.57"/>
    <n v="0"/>
    <n v="56842407.57"/>
    <n v="0"/>
    <m/>
    <n v="0"/>
    <n v="43576042.979999997"/>
    <m/>
    <n v="43576042.979999997"/>
  </r>
  <r>
    <x v="622"/>
    <x v="4"/>
    <x v="12"/>
    <x v="29"/>
    <n v="3832008"/>
    <n v="0"/>
    <n v="3832008"/>
    <n v="0"/>
    <n v="0"/>
    <n v="0"/>
    <n v="5000332"/>
    <m/>
    <n v="5000332"/>
    <n v="0"/>
    <m/>
    <n v="0"/>
  </r>
  <r>
    <x v="623"/>
    <x v="4"/>
    <x v="8"/>
    <x v="81"/>
    <n v="183140.58"/>
    <n v="0"/>
    <n v="183140.58"/>
    <n v="0"/>
    <n v="0"/>
    <n v="0"/>
    <n v="301037.90000000002"/>
    <m/>
    <n v="301037.90000000002"/>
    <n v="0"/>
    <m/>
    <n v="0"/>
  </r>
  <r>
    <x v="624"/>
    <x v="4"/>
    <x v="8"/>
    <x v="82"/>
    <n v="275000"/>
    <n v="0"/>
    <n v="275000"/>
    <n v="0"/>
    <n v="0"/>
    <n v="0"/>
    <n v="275000"/>
    <m/>
    <n v="275000"/>
    <n v="0"/>
    <m/>
    <n v="0"/>
  </r>
  <r>
    <x v="625"/>
    <x v="10"/>
    <x v="11"/>
    <x v="19"/>
    <n v="15000"/>
    <n v="0"/>
    <n v="15000"/>
    <n v="0"/>
    <n v="0"/>
    <n v="0"/>
    <n v="0"/>
    <m/>
    <n v="0"/>
    <n v="0"/>
    <m/>
    <n v="0"/>
  </r>
  <r>
    <x v="626"/>
    <x v="6"/>
    <x v="6"/>
    <x v="7"/>
    <n v="11000"/>
    <n v="0"/>
    <n v="11000"/>
    <n v="0"/>
    <n v="0"/>
    <n v="0"/>
    <n v="37000"/>
    <m/>
    <n v="37000"/>
    <n v="0"/>
    <m/>
    <n v="0"/>
  </r>
  <r>
    <x v="627"/>
    <x v="0"/>
    <x v="0"/>
    <x v="1"/>
    <n v="0"/>
    <n v="0"/>
    <n v="0"/>
    <n v="261379"/>
    <n v="0"/>
    <n v="261379"/>
    <n v="0"/>
    <m/>
    <n v="0"/>
    <n v="92070"/>
    <m/>
    <n v="92070"/>
  </r>
  <r>
    <x v="628"/>
    <x v="7"/>
    <x v="7"/>
    <x v="83"/>
    <n v="0"/>
    <n v="0"/>
    <n v="0"/>
    <n v="0"/>
    <n v="0"/>
    <n v="0"/>
    <n v="0"/>
    <m/>
    <n v="0"/>
    <n v="0"/>
    <m/>
    <n v="0"/>
  </r>
  <r>
    <x v="629"/>
    <x v="7"/>
    <x v="7"/>
    <x v="83"/>
    <n v="0"/>
    <n v="0"/>
    <n v="0"/>
    <n v="0"/>
    <n v="0"/>
    <n v="0"/>
    <n v="0"/>
    <m/>
    <n v="0"/>
    <n v="0"/>
    <m/>
    <n v="0"/>
  </r>
  <r>
    <x v="630"/>
    <x v="7"/>
    <x v="7"/>
    <x v="83"/>
    <n v="0"/>
    <n v="0"/>
    <n v="0"/>
    <n v="0"/>
    <n v="0"/>
    <n v="0"/>
    <n v="0"/>
    <m/>
    <n v="0"/>
    <n v="0"/>
    <m/>
    <n v="0"/>
  </r>
  <r>
    <x v="631"/>
    <x v="1"/>
    <x v="1"/>
    <x v="2"/>
    <n v="0"/>
    <n v="0"/>
    <n v="0"/>
    <n v="0"/>
    <n v="0"/>
    <n v="0"/>
    <n v="0"/>
    <m/>
    <n v="0"/>
    <n v="0"/>
    <m/>
    <n v="0"/>
  </r>
  <r>
    <x v="632"/>
    <x v="4"/>
    <x v="8"/>
    <x v="9"/>
    <n v="0"/>
    <n v="0"/>
    <n v="0"/>
    <n v="28255.9"/>
    <n v="0"/>
    <n v="28255.9"/>
    <n v="16101.89"/>
    <m/>
    <n v="16101.89"/>
    <n v="0"/>
    <m/>
    <n v="0"/>
  </r>
  <r>
    <x v="633"/>
    <x v="1"/>
    <x v="1"/>
    <x v="2"/>
    <n v="0"/>
    <n v="0"/>
    <n v="0"/>
    <n v="0"/>
    <n v="0"/>
    <n v="0"/>
    <n v="0"/>
    <m/>
    <n v="0"/>
    <n v="0"/>
    <m/>
    <n v="0"/>
  </r>
  <r>
    <x v="634"/>
    <x v="6"/>
    <x v="6"/>
    <x v="7"/>
    <n v="14000"/>
    <n v="0"/>
    <n v="14000"/>
    <n v="0"/>
    <n v="0"/>
    <n v="0"/>
    <n v="4000"/>
    <m/>
    <n v="4000"/>
    <n v="0"/>
    <m/>
    <n v="0"/>
  </r>
  <r>
    <x v="635"/>
    <x v="6"/>
    <x v="6"/>
    <x v="7"/>
    <n v="0"/>
    <n v="0"/>
    <n v="0"/>
    <n v="0"/>
    <n v="0"/>
    <n v="0"/>
    <n v="0"/>
    <m/>
    <n v="0"/>
    <n v="0"/>
    <m/>
    <n v="0"/>
  </r>
  <r>
    <x v="636"/>
    <x v="1"/>
    <x v="1"/>
    <x v="2"/>
    <n v="0"/>
    <n v="0"/>
    <n v="0"/>
    <n v="0"/>
    <n v="0"/>
    <n v="0"/>
    <n v="0"/>
    <m/>
    <n v="0"/>
    <n v="0"/>
    <m/>
    <n v="0"/>
  </r>
  <r>
    <x v="637"/>
    <x v="0"/>
    <x v="0"/>
    <x v="1"/>
    <n v="0"/>
    <n v="0"/>
    <n v="0"/>
    <n v="361080"/>
    <n v="0"/>
    <n v="361080"/>
    <n v="0"/>
    <m/>
    <n v="0"/>
    <n v="455952"/>
    <m/>
    <n v="455952"/>
  </r>
  <r>
    <x v="638"/>
    <x v="3"/>
    <x v="3"/>
    <x v="4"/>
    <n v="0"/>
    <n v="0"/>
    <n v="0"/>
    <n v="0"/>
    <n v="0"/>
    <n v="0"/>
    <n v="0"/>
    <m/>
    <n v="0"/>
    <n v="0"/>
    <m/>
    <n v="0"/>
  </r>
  <r>
    <x v="639"/>
    <x v="14"/>
    <x v="9"/>
    <x v="31"/>
    <n v="0"/>
    <n v="0"/>
    <n v="0"/>
    <n v="86477"/>
    <n v="0"/>
    <n v="86477"/>
    <n v="0"/>
    <m/>
    <n v="0"/>
    <n v="80773"/>
    <m/>
    <n v="80773"/>
  </r>
  <r>
    <x v="640"/>
    <x v="14"/>
    <x v="9"/>
    <x v="31"/>
    <n v="0"/>
    <n v="0"/>
    <n v="0"/>
    <n v="12998.22"/>
    <n v="0"/>
    <n v="12998.22"/>
    <n v="0"/>
    <m/>
    <n v="0"/>
    <n v="85088.53"/>
    <m/>
    <n v="85088.53"/>
  </r>
  <r>
    <x v="641"/>
    <x v="3"/>
    <x v="3"/>
    <x v="4"/>
    <n v="0"/>
    <n v="0"/>
    <n v="0"/>
    <n v="0"/>
    <n v="0"/>
    <n v="0"/>
    <n v="0"/>
    <m/>
    <n v="0"/>
    <n v="0"/>
    <m/>
    <n v="0"/>
  </r>
  <r>
    <x v="642"/>
    <x v="3"/>
    <x v="3"/>
    <x v="4"/>
    <n v="0"/>
    <n v="0"/>
    <n v="0"/>
    <n v="0"/>
    <n v="0"/>
    <n v="0"/>
    <n v="0"/>
    <m/>
    <n v="0"/>
    <n v="0"/>
    <m/>
    <n v="0"/>
  </r>
  <r>
    <x v="643"/>
    <x v="3"/>
    <x v="3"/>
    <x v="4"/>
    <n v="0"/>
    <n v="0"/>
    <n v="0"/>
    <n v="0"/>
    <n v="0"/>
    <n v="0"/>
    <n v="68778.240000000005"/>
    <m/>
    <n v="68778.240000000005"/>
    <n v="0"/>
    <m/>
    <n v="0"/>
  </r>
  <r>
    <x v="644"/>
    <x v="3"/>
    <x v="3"/>
    <x v="4"/>
    <n v="0"/>
    <n v="0"/>
    <n v="0"/>
    <n v="0"/>
    <n v="0"/>
    <n v="0"/>
    <n v="0"/>
    <m/>
    <n v="0"/>
    <n v="0"/>
    <m/>
    <n v="0"/>
  </r>
  <r>
    <x v="645"/>
    <x v="3"/>
    <x v="3"/>
    <x v="4"/>
    <n v="0"/>
    <n v="0"/>
    <n v="0"/>
    <n v="0"/>
    <n v="0"/>
    <n v="0"/>
    <n v="0"/>
    <m/>
    <n v="0"/>
    <n v="0"/>
    <m/>
    <n v="0"/>
  </r>
  <r>
    <x v="646"/>
    <x v="4"/>
    <x v="8"/>
    <x v="24"/>
    <n v="0"/>
    <n v="0"/>
    <n v="0"/>
    <n v="0"/>
    <n v="0"/>
    <n v="0"/>
    <n v="0"/>
    <m/>
    <n v="0"/>
    <n v="0"/>
    <m/>
    <n v="0"/>
  </r>
  <r>
    <x v="647"/>
    <x v="3"/>
    <x v="3"/>
    <x v="4"/>
    <n v="0"/>
    <n v="0"/>
    <n v="0"/>
    <n v="0"/>
    <n v="0"/>
    <n v="0"/>
    <n v="0"/>
    <m/>
    <n v="0"/>
    <n v="0"/>
    <m/>
    <n v="0"/>
  </r>
  <r>
    <x v="648"/>
    <x v="14"/>
    <x v="9"/>
    <x v="31"/>
    <n v="0"/>
    <n v="0"/>
    <n v="0"/>
    <n v="5000"/>
    <n v="0"/>
    <n v="5000"/>
    <n v="0"/>
    <m/>
    <n v="0"/>
    <n v="2925"/>
    <m/>
    <n v="2925"/>
  </r>
  <r>
    <x v="649"/>
    <x v="14"/>
    <x v="9"/>
    <x v="31"/>
    <n v="0"/>
    <n v="0"/>
    <n v="0"/>
    <n v="11758"/>
    <n v="0"/>
    <n v="11758"/>
    <n v="0"/>
    <m/>
    <n v="0"/>
    <n v="3756"/>
    <m/>
    <n v="3756"/>
  </r>
  <r>
    <x v="650"/>
    <x v="14"/>
    <x v="9"/>
    <x v="31"/>
    <n v="0"/>
    <n v="0"/>
    <n v="0"/>
    <n v="0"/>
    <n v="0"/>
    <n v="0"/>
    <n v="0"/>
    <m/>
    <n v="0"/>
    <n v="12373"/>
    <m/>
    <n v="12373"/>
  </r>
  <r>
    <x v="651"/>
    <x v="14"/>
    <x v="9"/>
    <x v="31"/>
    <n v="0"/>
    <n v="0"/>
    <n v="0"/>
    <n v="44158.04"/>
    <n v="0"/>
    <n v="44158.04"/>
    <n v="0"/>
    <m/>
    <n v="0"/>
    <n v="10862.04"/>
    <m/>
    <n v="10862.04"/>
  </r>
  <r>
    <x v="652"/>
    <x v="14"/>
    <x v="9"/>
    <x v="31"/>
    <n v="0"/>
    <n v="0"/>
    <n v="0"/>
    <n v="47015"/>
    <n v="0"/>
    <n v="47015"/>
    <n v="0"/>
    <m/>
    <n v="0"/>
    <n v="29491"/>
    <m/>
    <n v="29491"/>
  </r>
  <r>
    <x v="653"/>
    <x v="14"/>
    <x v="9"/>
    <x v="31"/>
    <n v="0"/>
    <n v="0"/>
    <n v="0"/>
    <n v="7000"/>
    <n v="0"/>
    <n v="7000"/>
    <n v="0"/>
    <m/>
    <n v="0"/>
    <n v="10850"/>
    <m/>
    <n v="10850"/>
  </r>
  <r>
    <x v="654"/>
    <x v="14"/>
    <x v="9"/>
    <x v="31"/>
    <n v="0"/>
    <n v="0"/>
    <n v="0"/>
    <n v="4651"/>
    <n v="0"/>
    <n v="4651"/>
    <n v="0"/>
    <m/>
    <n v="0"/>
    <n v="5839"/>
    <m/>
    <n v="5839"/>
  </r>
  <r>
    <x v="655"/>
    <x v="14"/>
    <x v="9"/>
    <x v="31"/>
    <n v="0"/>
    <n v="0"/>
    <n v="0"/>
    <n v="59000"/>
    <n v="0"/>
    <n v="59000"/>
    <n v="0"/>
    <m/>
    <n v="0"/>
    <n v="122000"/>
    <m/>
    <n v="122000"/>
  </r>
  <r>
    <x v="656"/>
    <x v="4"/>
    <x v="8"/>
    <x v="84"/>
    <n v="70996"/>
    <n v="0"/>
    <n v="70996"/>
    <n v="0"/>
    <n v="0"/>
    <n v="0"/>
    <n v="65764"/>
    <m/>
    <n v="65764"/>
    <n v="0"/>
    <m/>
    <n v="0"/>
  </r>
  <r>
    <x v="657"/>
    <x v="0"/>
    <x v="0"/>
    <x v="0"/>
    <n v="0"/>
    <n v="0"/>
    <n v="0"/>
    <n v="3708"/>
    <n v="0"/>
    <n v="3708"/>
    <n v="0"/>
    <m/>
    <n v="0"/>
    <n v="3662"/>
    <m/>
    <n v="3662"/>
  </r>
  <r>
    <x v="658"/>
    <x v="4"/>
    <x v="12"/>
    <x v="20"/>
    <n v="103100"/>
    <n v="0"/>
    <n v="103100"/>
    <n v="0"/>
    <n v="0"/>
    <n v="0"/>
    <n v="40650"/>
    <m/>
    <n v="40650"/>
    <n v="0"/>
    <m/>
    <n v="0"/>
  </r>
  <r>
    <x v="659"/>
    <x v="8"/>
    <x v="9"/>
    <x v="11"/>
    <n v="0"/>
    <n v="0"/>
    <n v="0"/>
    <n v="0"/>
    <n v="0"/>
    <n v="0"/>
    <n v="0"/>
    <m/>
    <n v="0"/>
    <n v="0"/>
    <m/>
    <n v="0"/>
  </r>
  <r>
    <x v="660"/>
    <x v="0"/>
    <x v="0"/>
    <x v="1"/>
    <n v="0"/>
    <n v="0"/>
    <n v="0"/>
    <n v="0"/>
    <n v="0"/>
    <n v="0"/>
    <n v="0"/>
    <m/>
    <n v="0"/>
    <n v="41312"/>
    <m/>
    <n v="41312"/>
  </r>
  <r>
    <x v="661"/>
    <x v="20"/>
    <x v="22"/>
    <x v="41"/>
    <n v="199577.3"/>
    <n v="0"/>
    <n v="199577.3"/>
    <n v="0"/>
    <n v="0"/>
    <n v="0"/>
    <n v="72962"/>
    <m/>
    <n v="72962"/>
    <n v="0"/>
    <m/>
    <n v="0"/>
  </r>
  <r>
    <x v="662"/>
    <x v="4"/>
    <x v="8"/>
    <x v="32"/>
    <n v="282444"/>
    <n v="0"/>
    <n v="282444"/>
    <n v="0"/>
    <n v="0"/>
    <n v="0"/>
    <n v="116491"/>
    <m/>
    <n v="116491"/>
    <n v="0"/>
    <m/>
    <n v="0"/>
  </r>
  <r>
    <x v="663"/>
    <x v="0"/>
    <x v="0"/>
    <x v="1"/>
    <n v="0"/>
    <n v="0"/>
    <n v="0"/>
    <n v="411065"/>
    <n v="0"/>
    <n v="411065"/>
    <n v="0"/>
    <m/>
    <n v="0"/>
    <n v="109340"/>
    <m/>
    <n v="109340"/>
  </r>
  <r>
    <x v="664"/>
    <x v="1"/>
    <x v="1"/>
    <x v="2"/>
    <n v="365534"/>
    <n v="0"/>
    <n v="365534"/>
    <n v="0"/>
    <n v="0"/>
    <n v="0"/>
    <n v="519122"/>
    <m/>
    <n v="519122"/>
    <n v="0"/>
    <m/>
    <n v="0"/>
  </r>
  <r>
    <x v="665"/>
    <x v="15"/>
    <x v="16"/>
    <x v="28"/>
    <n v="938042.5"/>
    <n v="0"/>
    <n v="938042.5"/>
    <n v="0"/>
    <n v="0"/>
    <n v="0"/>
    <n v="1264812.5"/>
    <m/>
    <n v="1264812.5"/>
    <n v="0"/>
    <m/>
    <n v="0"/>
  </r>
  <r>
    <x v="666"/>
    <x v="15"/>
    <x v="16"/>
    <x v="28"/>
    <n v="0"/>
    <n v="0"/>
    <n v="0"/>
    <n v="0"/>
    <n v="0"/>
    <n v="0"/>
    <n v="0"/>
    <m/>
    <n v="0"/>
    <n v="0"/>
    <m/>
    <n v="0"/>
  </r>
  <r>
    <x v="667"/>
    <x v="0"/>
    <x v="0"/>
    <x v="0"/>
    <n v="56700"/>
    <n v="0"/>
    <n v="56700"/>
    <n v="0"/>
    <n v="0"/>
    <n v="0"/>
    <m/>
    <m/>
    <m/>
    <m/>
    <m/>
    <m/>
  </r>
  <r>
    <x v="668"/>
    <x v="1"/>
    <x v="1"/>
    <x v="2"/>
    <n v="876095"/>
    <n v="0"/>
    <n v="876095"/>
    <n v="0"/>
    <n v="0"/>
    <n v="0"/>
    <m/>
    <m/>
    <m/>
    <m/>
    <m/>
    <m/>
  </r>
  <r>
    <x v="669"/>
    <x v="0"/>
    <x v="0"/>
    <x v="0"/>
    <n v="0"/>
    <n v="0"/>
    <n v="0"/>
    <n v="28252"/>
    <n v="0"/>
    <n v="28252"/>
    <m/>
    <m/>
    <m/>
    <m/>
    <m/>
    <m/>
  </r>
  <r>
    <x v="670"/>
    <x v="4"/>
    <x v="4"/>
    <x v="85"/>
    <n v="154050"/>
    <n v="0"/>
    <n v="154050"/>
    <n v="0"/>
    <n v="0"/>
    <n v="0"/>
    <m/>
    <m/>
    <m/>
    <m/>
    <m/>
    <m/>
  </r>
  <r>
    <x v="671"/>
    <x v="14"/>
    <x v="9"/>
    <x v="27"/>
    <n v="0"/>
    <n v="0"/>
    <n v="0"/>
    <n v="0"/>
    <n v="0"/>
    <n v="0"/>
    <m/>
    <m/>
    <m/>
    <m/>
    <m/>
    <m/>
  </r>
  <r>
    <x v="672"/>
    <x v="14"/>
    <x v="9"/>
    <x v="27"/>
    <n v="0"/>
    <n v="0"/>
    <n v="0"/>
    <n v="2903011.18"/>
    <n v="0"/>
    <n v="2903011.18"/>
    <m/>
    <m/>
    <m/>
    <m/>
    <m/>
    <m/>
  </r>
  <r>
    <x v="673"/>
    <x v="14"/>
    <x v="9"/>
    <x v="27"/>
    <n v="0"/>
    <n v="0"/>
    <n v="0"/>
    <n v="0"/>
    <n v="0"/>
    <n v="0"/>
    <m/>
    <m/>
    <m/>
    <m/>
    <m/>
    <m/>
  </r>
  <r>
    <x v="674"/>
    <x v="2"/>
    <x v="2"/>
    <x v="3"/>
    <n v="1031300"/>
    <n v="0"/>
    <n v="1031300"/>
    <n v="0"/>
    <n v="0"/>
    <n v="0"/>
    <m/>
    <m/>
    <m/>
    <m/>
    <m/>
    <m/>
  </r>
  <r>
    <x v="675"/>
    <x v="0"/>
    <x v="0"/>
    <x v="1"/>
    <n v="0"/>
    <n v="0"/>
    <n v="0"/>
    <n v="244960"/>
    <n v="0"/>
    <n v="244960"/>
    <m/>
    <m/>
    <m/>
    <m/>
    <m/>
    <m/>
  </r>
  <r>
    <x v="676"/>
    <x v="4"/>
    <x v="4"/>
    <x v="86"/>
    <n v="1397360"/>
    <n v="0"/>
    <n v="1397360"/>
    <n v="0"/>
    <n v="0"/>
    <n v="0"/>
    <m/>
    <m/>
    <m/>
    <m/>
    <m/>
    <m/>
  </r>
  <r>
    <x v="677"/>
    <x v="0"/>
    <x v="0"/>
    <x v="0"/>
    <n v="0"/>
    <n v="0"/>
    <n v="0"/>
    <n v="29986"/>
    <n v="0"/>
    <n v="29986"/>
    <m/>
    <m/>
    <m/>
    <m/>
    <m/>
    <m/>
  </r>
  <r>
    <x v="678"/>
    <x v="4"/>
    <x v="8"/>
    <x v="17"/>
    <n v="351972"/>
    <n v="0"/>
    <n v="351972"/>
    <n v="0"/>
    <n v="0"/>
    <n v="0"/>
    <m/>
    <m/>
    <m/>
    <m/>
    <m/>
    <m/>
  </r>
  <r>
    <x v="679"/>
    <x v="15"/>
    <x v="16"/>
    <x v="28"/>
    <n v="826334"/>
    <n v="0"/>
    <n v="826334"/>
    <n v="0"/>
    <n v="0"/>
    <n v="0"/>
    <m/>
    <m/>
    <m/>
    <m/>
    <m/>
    <m/>
  </r>
  <r>
    <x v="680"/>
    <x v="20"/>
    <x v="22"/>
    <x v="41"/>
    <n v="39401489"/>
    <n v="0"/>
    <n v="39401489"/>
    <n v="0"/>
    <n v="0"/>
    <n v="0"/>
    <m/>
    <m/>
    <m/>
    <m/>
    <m/>
    <m/>
  </r>
  <r>
    <x v="681"/>
    <x v="0"/>
    <x v="0"/>
    <x v="0"/>
    <n v="0"/>
    <n v="0"/>
    <n v="0"/>
    <n v="78588"/>
    <n v="0"/>
    <n v="78588"/>
    <m/>
    <m/>
    <m/>
    <m/>
    <m/>
    <m/>
  </r>
  <r>
    <x v="682"/>
    <x v="4"/>
    <x v="8"/>
    <x v="24"/>
    <n v="896"/>
    <n v="0"/>
    <n v="896"/>
    <n v="0"/>
    <n v="0"/>
    <n v="0"/>
    <m/>
    <m/>
    <m/>
    <m/>
    <m/>
    <m/>
  </r>
  <r>
    <x v="683"/>
    <x v="0"/>
    <x v="0"/>
    <x v="0"/>
    <n v="0"/>
    <n v="0"/>
    <n v="0"/>
    <n v="227278"/>
    <n v="0"/>
    <n v="227278"/>
    <m/>
    <m/>
    <m/>
    <m/>
    <m/>
    <m/>
  </r>
  <r>
    <x v="684"/>
    <x v="17"/>
    <x v="18"/>
    <x v="37"/>
    <n v="250000"/>
    <n v="0"/>
    <n v="250000"/>
    <n v="0"/>
    <n v="0"/>
    <n v="0"/>
    <m/>
    <m/>
    <m/>
    <m/>
    <m/>
    <m/>
  </r>
  <r>
    <x v="685"/>
    <x v="4"/>
    <x v="12"/>
    <x v="20"/>
    <n v="60"/>
    <n v="0"/>
    <n v="60"/>
    <n v="0"/>
    <n v="0"/>
    <n v="0"/>
    <m/>
    <m/>
    <m/>
    <m/>
    <m/>
    <m/>
  </r>
  <r>
    <x v="686"/>
    <x v="7"/>
    <x v="7"/>
    <x v="8"/>
    <n v="0"/>
    <n v="0"/>
    <n v="0"/>
    <n v="2165420"/>
    <n v="0"/>
    <n v="2165420"/>
    <m/>
    <m/>
    <m/>
    <m/>
    <m/>
    <m/>
  </r>
  <r>
    <x v="687"/>
    <x v="2"/>
    <x v="2"/>
    <x v="3"/>
    <n v="927610"/>
    <n v="0"/>
    <n v="927610"/>
    <n v="0"/>
    <n v="0"/>
    <n v="0"/>
    <m/>
    <m/>
    <m/>
    <m/>
    <m/>
    <m/>
  </r>
  <r>
    <x v="688"/>
    <x v="2"/>
    <x v="2"/>
    <x v="3"/>
    <n v="1200000"/>
    <n v="0"/>
    <n v="1200000"/>
    <n v="0"/>
    <n v="0"/>
    <n v="0"/>
    <m/>
    <m/>
    <m/>
    <m/>
    <m/>
    <m/>
  </r>
  <r>
    <x v="689"/>
    <x v="14"/>
    <x v="9"/>
    <x v="27"/>
    <n v="0"/>
    <n v="0"/>
    <n v="0"/>
    <n v="308166.59000000003"/>
    <n v="0"/>
    <n v="308166.59000000003"/>
    <m/>
    <m/>
    <m/>
    <m/>
    <m/>
    <m/>
  </r>
  <r>
    <x v="690"/>
    <x v="14"/>
    <x v="9"/>
    <x v="27"/>
    <n v="315731.11"/>
    <n v="0"/>
    <n v="315731.11"/>
    <n v="0"/>
    <n v="0"/>
    <n v="0"/>
    <m/>
    <m/>
    <m/>
    <m/>
    <m/>
    <m/>
  </r>
  <r>
    <x v="691"/>
    <x v="2"/>
    <x v="2"/>
    <x v="3"/>
    <n v="300000"/>
    <n v="0"/>
    <n v="300000"/>
    <n v="0"/>
    <n v="0"/>
    <n v="0"/>
    <m/>
    <m/>
    <m/>
    <m/>
    <m/>
    <m/>
  </r>
  <r>
    <x v="692"/>
    <x v="4"/>
    <x v="8"/>
    <x v="9"/>
    <n v="345100"/>
    <n v="0"/>
    <n v="345100"/>
    <n v="0"/>
    <n v="0"/>
    <n v="0"/>
    <m/>
    <m/>
    <m/>
    <m/>
    <m/>
    <m/>
  </r>
  <r>
    <x v="693"/>
    <x v="2"/>
    <x v="2"/>
    <x v="3"/>
    <n v="200000"/>
    <n v="0"/>
    <n v="200000"/>
    <n v="0"/>
    <n v="0"/>
    <n v="0"/>
    <m/>
    <m/>
    <m/>
    <m/>
    <m/>
    <m/>
  </r>
  <r>
    <x v="694"/>
    <x v="0"/>
    <x v="0"/>
    <x v="1"/>
    <n v="0"/>
    <n v="0"/>
    <n v="0"/>
    <n v="266778"/>
    <n v="0"/>
    <n v="266778"/>
    <m/>
    <m/>
    <m/>
    <m/>
    <m/>
    <m/>
  </r>
  <r>
    <x v="695"/>
    <x v="5"/>
    <x v="5"/>
    <x v="53"/>
    <n v="6177"/>
    <n v="0"/>
    <n v="6177"/>
    <n v="0"/>
    <n v="0"/>
    <n v="0"/>
    <m/>
    <m/>
    <m/>
    <m/>
    <m/>
    <m/>
  </r>
  <r>
    <x v="696"/>
    <x v="4"/>
    <x v="8"/>
    <x v="24"/>
    <n v="600"/>
    <n v="0"/>
    <n v="600"/>
    <n v="0"/>
    <n v="0"/>
    <n v="0"/>
    <m/>
    <m/>
    <m/>
    <m/>
    <m/>
    <m/>
  </r>
  <r>
    <x v="697"/>
    <x v="10"/>
    <x v="11"/>
    <x v="58"/>
    <n v="193596"/>
    <n v="0"/>
    <n v="193596"/>
    <n v="0"/>
    <n v="0"/>
    <n v="0"/>
    <m/>
    <m/>
    <m/>
    <m/>
    <m/>
    <m/>
  </r>
  <r>
    <x v="698"/>
    <x v="0"/>
    <x v="0"/>
    <x v="1"/>
    <n v="0"/>
    <n v="0"/>
    <n v="0"/>
    <n v="9742192"/>
    <n v="0"/>
    <n v="9742192"/>
    <m/>
    <m/>
    <m/>
    <m/>
    <m/>
    <m/>
  </r>
  <r>
    <x v="699"/>
    <x v="6"/>
    <x v="6"/>
    <x v="7"/>
    <n v="53000"/>
    <n v="0"/>
    <n v="53000"/>
    <n v="0"/>
    <n v="0"/>
    <n v="0"/>
    <m/>
    <m/>
    <m/>
    <m/>
    <m/>
    <m/>
  </r>
  <r>
    <x v="700"/>
    <x v="0"/>
    <x v="0"/>
    <x v="1"/>
    <n v="0"/>
    <n v="0"/>
    <n v="0"/>
    <n v="0"/>
    <n v="0"/>
    <n v="0"/>
    <m/>
    <m/>
    <m/>
    <m/>
    <m/>
    <m/>
  </r>
  <r>
    <x v="701"/>
    <x v="0"/>
    <x v="0"/>
    <x v="1"/>
    <n v="0"/>
    <n v="0"/>
    <n v="0"/>
    <n v="82682"/>
    <n v="0"/>
    <n v="82682"/>
    <m/>
    <m/>
    <m/>
    <m/>
    <m/>
    <m/>
  </r>
  <r>
    <x v="702"/>
    <x v="4"/>
    <x v="8"/>
    <x v="24"/>
    <n v="0"/>
    <n v="0"/>
    <n v="0"/>
    <n v="0"/>
    <n v="0"/>
    <n v="0"/>
    <m/>
    <m/>
    <m/>
    <m/>
    <m/>
    <m/>
  </r>
  <r>
    <x v="703"/>
    <x v="0"/>
    <x v="0"/>
    <x v="1"/>
    <n v="0"/>
    <n v="0"/>
    <n v="0"/>
    <n v="270000"/>
    <n v="0"/>
    <n v="270000"/>
    <m/>
    <m/>
    <m/>
    <m/>
    <m/>
    <m/>
  </r>
  <r>
    <x v="704"/>
    <x v="0"/>
    <x v="0"/>
    <x v="0"/>
    <n v="0"/>
    <n v="0"/>
    <n v="0"/>
    <n v="52156"/>
    <n v="0"/>
    <n v="52156"/>
    <m/>
    <m/>
    <m/>
    <m/>
    <m/>
    <m/>
  </r>
  <r>
    <x v="705"/>
    <x v="6"/>
    <x v="6"/>
    <x v="7"/>
    <n v="8000"/>
    <n v="0"/>
    <n v="8000"/>
    <n v="0"/>
    <n v="0"/>
    <n v="0"/>
    <m/>
    <m/>
    <m/>
    <m/>
    <m/>
    <m/>
  </r>
  <r>
    <x v="706"/>
    <x v="11"/>
    <x v="13"/>
    <x v="87"/>
    <n v="711000"/>
    <n v="0"/>
    <n v="711000"/>
    <n v="0"/>
    <n v="0"/>
    <n v="0"/>
    <m/>
    <m/>
    <m/>
    <m/>
    <m/>
    <m/>
  </r>
  <r>
    <x v="707"/>
    <x v="11"/>
    <x v="13"/>
    <x v="87"/>
    <n v="153050"/>
    <n v="0"/>
    <n v="153050"/>
    <n v="0"/>
    <n v="0"/>
    <n v="0"/>
    <m/>
    <m/>
    <m/>
    <m/>
    <m/>
    <m/>
  </r>
  <r>
    <x v="708"/>
    <x v="11"/>
    <x v="13"/>
    <x v="87"/>
    <n v="2070258"/>
    <n v="0"/>
    <n v="2070258"/>
    <n v="0"/>
    <n v="0"/>
    <n v="0"/>
    <m/>
    <m/>
    <m/>
    <m/>
    <m/>
    <m/>
  </r>
  <r>
    <x v="709"/>
    <x v="11"/>
    <x v="13"/>
    <x v="87"/>
    <n v="27003"/>
    <n v="0"/>
    <n v="27003"/>
    <n v="0"/>
    <n v="0"/>
    <n v="0"/>
    <m/>
    <m/>
    <m/>
    <m/>
    <m/>
    <m/>
  </r>
  <r>
    <x v="710"/>
    <x v="3"/>
    <x v="3"/>
    <x v="4"/>
    <n v="0"/>
    <n v="0"/>
    <n v="0"/>
    <n v="0"/>
    <n v="0"/>
    <n v="0"/>
    <m/>
    <m/>
    <m/>
    <m/>
    <m/>
    <m/>
  </r>
  <r>
    <x v="711"/>
    <x v="4"/>
    <x v="12"/>
    <x v="29"/>
    <n v="17458745"/>
    <n v="0"/>
    <n v="17458745"/>
    <n v="0"/>
    <n v="0"/>
    <n v="0"/>
    <m/>
    <m/>
    <m/>
    <m/>
    <m/>
    <m/>
  </r>
  <r>
    <x v="712"/>
    <x v="6"/>
    <x v="6"/>
    <x v="7"/>
    <n v="4000"/>
    <n v="0"/>
    <n v="4000"/>
    <n v="0"/>
    <n v="0"/>
    <n v="0"/>
    <m/>
    <m/>
    <m/>
    <m/>
    <m/>
    <m/>
  </r>
  <r>
    <x v="713"/>
    <x v="5"/>
    <x v="5"/>
    <x v="88"/>
    <n v="413262"/>
    <n v="0"/>
    <n v="413262"/>
    <n v="0"/>
    <n v="0"/>
    <n v="0"/>
    <m/>
    <m/>
    <m/>
    <m/>
    <m/>
    <m/>
  </r>
  <r>
    <x v="714"/>
    <x v="1"/>
    <x v="1"/>
    <x v="2"/>
    <n v="4622711"/>
    <n v="0"/>
    <n v="4622711"/>
    <n v="0"/>
    <n v="0"/>
    <n v="0"/>
    <m/>
    <m/>
    <m/>
    <m/>
    <m/>
    <m/>
  </r>
  <r>
    <x v="715"/>
    <x v="6"/>
    <x v="6"/>
    <x v="7"/>
    <n v="14000"/>
    <n v="0"/>
    <n v="14000"/>
    <n v="0"/>
    <n v="0"/>
    <n v="0"/>
    <m/>
    <m/>
    <m/>
    <m/>
    <m/>
    <m/>
  </r>
  <r>
    <x v="716"/>
    <x v="7"/>
    <x v="7"/>
    <x v="76"/>
    <n v="0"/>
    <n v="0"/>
    <n v="0"/>
    <n v="7186632"/>
    <n v="0"/>
    <n v="7186632"/>
    <m/>
    <m/>
    <m/>
    <m/>
    <m/>
    <m/>
  </r>
  <r>
    <x v="717"/>
    <x v="7"/>
    <x v="7"/>
    <x v="76"/>
    <n v="0"/>
    <n v="0"/>
    <n v="0"/>
    <n v="21743710"/>
    <n v="0"/>
    <n v="21743710"/>
    <m/>
    <m/>
    <m/>
    <m/>
    <m/>
    <m/>
  </r>
  <r>
    <x v="718"/>
    <x v="0"/>
    <x v="0"/>
    <x v="1"/>
    <n v="0"/>
    <n v="0"/>
    <n v="0"/>
    <n v="429511"/>
    <n v="0"/>
    <n v="429511"/>
    <m/>
    <m/>
    <m/>
    <m/>
    <m/>
    <m/>
  </r>
  <r>
    <x v="719"/>
    <x v="14"/>
    <x v="9"/>
    <x v="27"/>
    <n v="0"/>
    <n v="0"/>
    <n v="0"/>
    <n v="0"/>
    <n v="0"/>
    <n v="0"/>
    <m/>
    <m/>
    <m/>
    <m/>
    <m/>
    <m/>
  </r>
  <r>
    <x v="720"/>
    <x v="14"/>
    <x v="9"/>
    <x v="27"/>
    <n v="0"/>
    <n v="0"/>
    <n v="0"/>
    <n v="2903011.08"/>
    <n v="0"/>
    <n v="2903011.08"/>
    <m/>
    <m/>
    <m/>
    <m/>
    <m/>
    <m/>
  </r>
  <r>
    <x v="721"/>
    <x v="14"/>
    <x v="9"/>
    <x v="27"/>
    <n v="0"/>
    <n v="0"/>
    <n v="0"/>
    <n v="0"/>
    <n v="0"/>
    <n v="0"/>
    <m/>
    <m/>
    <m/>
    <m/>
    <m/>
    <m/>
  </r>
  <r>
    <x v="722"/>
    <x v="4"/>
    <x v="8"/>
    <x v="9"/>
    <n v="0"/>
    <n v="0"/>
    <n v="0"/>
    <n v="0"/>
    <n v="0"/>
    <n v="0"/>
    <m/>
    <m/>
    <m/>
    <m/>
    <m/>
    <m/>
  </r>
  <r>
    <x v="723"/>
    <x v="0"/>
    <x v="0"/>
    <x v="1"/>
    <n v="0"/>
    <n v="0"/>
    <n v="0"/>
    <n v="36998"/>
    <n v="0"/>
    <n v="36998"/>
    <m/>
    <m/>
    <m/>
    <m/>
    <m/>
    <m/>
  </r>
  <r>
    <x v="724"/>
    <x v="1"/>
    <x v="1"/>
    <x v="2"/>
    <n v="1005946"/>
    <n v="0"/>
    <n v="1005946"/>
    <n v="0"/>
    <n v="0"/>
    <n v="0"/>
    <m/>
    <m/>
    <m/>
    <m/>
    <m/>
    <m/>
  </r>
  <r>
    <x v="725"/>
    <x v="2"/>
    <x v="2"/>
    <x v="3"/>
    <n v="2100000"/>
    <n v="0"/>
    <n v="2100000"/>
    <n v="0"/>
    <n v="0"/>
    <n v="0"/>
    <m/>
    <m/>
    <m/>
    <m/>
    <m/>
    <m/>
  </r>
  <r>
    <x v="726"/>
    <x v="4"/>
    <x v="8"/>
    <x v="30"/>
    <n v="14890"/>
    <n v="0"/>
    <n v="14890"/>
    <n v="0"/>
    <n v="0"/>
    <n v="0"/>
    <m/>
    <m/>
    <m/>
    <m/>
    <m/>
    <m/>
  </r>
  <r>
    <x v="727"/>
    <x v="6"/>
    <x v="6"/>
    <x v="7"/>
    <n v="5000"/>
    <n v="0"/>
    <n v="5000"/>
    <n v="0"/>
    <n v="0"/>
    <n v="0"/>
    <m/>
    <m/>
    <m/>
    <m/>
    <m/>
    <m/>
  </r>
  <r>
    <x v="728"/>
    <x v="6"/>
    <x v="6"/>
    <x v="7"/>
    <n v="1000"/>
    <n v="0"/>
    <n v="1000"/>
    <n v="0"/>
    <n v="0"/>
    <n v="0"/>
    <m/>
    <m/>
    <m/>
    <m/>
    <m/>
    <m/>
  </r>
  <r>
    <x v="729"/>
    <x v="3"/>
    <x v="3"/>
    <x v="4"/>
    <n v="81429.8"/>
    <n v="0"/>
    <n v="81429.8"/>
    <n v="0"/>
    <n v="0"/>
    <n v="0"/>
    <m/>
    <m/>
    <m/>
    <m/>
    <m/>
    <m/>
  </r>
  <r>
    <x v="730"/>
    <x v="3"/>
    <x v="3"/>
    <x v="4"/>
    <n v="36262"/>
    <n v="0"/>
    <n v="36262"/>
    <n v="0"/>
    <n v="0"/>
    <n v="0"/>
    <m/>
    <m/>
    <m/>
    <m/>
    <m/>
    <m/>
  </r>
  <r>
    <x v="731"/>
    <x v="14"/>
    <x v="9"/>
    <x v="31"/>
    <n v="0"/>
    <n v="0"/>
    <n v="0"/>
    <n v="91593"/>
    <n v="0"/>
    <n v="91593"/>
    <m/>
    <m/>
    <m/>
    <m/>
    <m/>
    <m/>
  </r>
  <r>
    <x v="732"/>
    <x v="3"/>
    <x v="3"/>
    <x v="4"/>
    <n v="616388"/>
    <n v="0"/>
    <n v="616388"/>
    <n v="0"/>
    <n v="0"/>
    <n v="0"/>
    <m/>
    <m/>
    <m/>
    <m/>
    <m/>
    <m/>
  </r>
  <r>
    <x v="733"/>
    <x v="0"/>
    <x v="0"/>
    <x v="1"/>
    <n v="0"/>
    <n v="0"/>
    <n v="0"/>
    <n v="1659637"/>
    <n v="0"/>
    <n v="1659637"/>
    <m/>
    <m/>
    <m/>
    <m/>
    <m/>
    <m/>
  </r>
  <r>
    <x v="734"/>
    <x v="0"/>
    <x v="0"/>
    <x v="0"/>
    <n v="633"/>
    <n v="0"/>
    <n v="633"/>
    <n v="0"/>
    <n v="0"/>
    <n v="0"/>
    <m/>
    <m/>
    <m/>
    <m/>
    <m/>
    <m/>
  </r>
  <r>
    <x v="735"/>
    <x v="11"/>
    <x v="13"/>
    <x v="87"/>
    <n v="4115523"/>
    <n v="0"/>
    <n v="4115523"/>
    <n v="0"/>
    <n v="0"/>
    <n v="0"/>
    <m/>
    <m/>
    <m/>
    <m/>
    <m/>
    <m/>
  </r>
  <r>
    <x v="736"/>
    <x v="11"/>
    <x v="13"/>
    <x v="87"/>
    <n v="16722713"/>
    <n v="0"/>
    <n v="16722713"/>
    <n v="0"/>
    <n v="0"/>
    <n v="0"/>
    <m/>
    <m/>
    <m/>
    <m/>
    <m/>
    <m/>
  </r>
  <r>
    <x v="737"/>
    <x v="4"/>
    <x v="12"/>
    <x v="64"/>
    <n v="150000"/>
    <n v="0"/>
    <n v="150000"/>
    <n v="0"/>
    <n v="0"/>
    <n v="0"/>
    <n v="277187"/>
    <m/>
    <n v="277187"/>
    <n v="0"/>
    <m/>
    <n v="0"/>
  </r>
  <r>
    <x v="738"/>
    <x v="1"/>
    <x v="1"/>
    <x v="2"/>
    <n v="0"/>
    <n v="0"/>
    <n v="0"/>
    <n v="0"/>
    <n v="0"/>
    <n v="0"/>
    <n v="0"/>
    <m/>
    <n v="0"/>
    <n v="0"/>
    <m/>
    <n v="0"/>
  </r>
  <r>
    <x v="739"/>
    <x v="0"/>
    <x v="0"/>
    <x v="0"/>
    <n v="0"/>
    <n v="0"/>
    <n v="0"/>
    <n v="207360"/>
    <n v="0"/>
    <n v="207360"/>
    <n v="0"/>
    <m/>
    <n v="0"/>
    <n v="0"/>
    <m/>
    <n v="0"/>
  </r>
  <r>
    <x v="740"/>
    <x v="0"/>
    <x v="0"/>
    <x v="1"/>
    <n v="0"/>
    <n v="0"/>
    <n v="0"/>
    <n v="0"/>
    <n v="0"/>
    <n v="0"/>
    <n v="0"/>
    <m/>
    <n v="0"/>
    <n v="1871806"/>
    <m/>
    <n v="1871806"/>
  </r>
  <r>
    <x v="741"/>
    <x v="0"/>
    <x v="0"/>
    <x v="1"/>
    <n v="0"/>
    <n v="0"/>
    <n v="0"/>
    <n v="0"/>
    <n v="0"/>
    <n v="0"/>
    <n v="0"/>
    <m/>
    <n v="0"/>
    <n v="0"/>
    <m/>
    <n v="0"/>
  </r>
  <r>
    <x v="742"/>
    <x v="4"/>
    <x v="8"/>
    <x v="24"/>
    <n v="0"/>
    <n v="0"/>
    <n v="0"/>
    <n v="0"/>
    <n v="0"/>
    <n v="0"/>
    <n v="122521"/>
    <m/>
    <n v="122521"/>
    <n v="0"/>
    <m/>
    <n v="0"/>
  </r>
  <r>
    <x v="743"/>
    <x v="4"/>
    <x v="8"/>
    <x v="24"/>
    <n v="0"/>
    <n v="0"/>
    <n v="0"/>
    <n v="0"/>
    <n v="0"/>
    <n v="0"/>
    <n v="0"/>
    <m/>
    <n v="0"/>
    <n v="0"/>
    <m/>
    <n v="0"/>
  </r>
  <r>
    <x v="744"/>
    <x v="4"/>
    <x v="8"/>
    <x v="24"/>
    <n v="0"/>
    <n v="0"/>
    <n v="0"/>
    <n v="0"/>
    <n v="0"/>
    <n v="0"/>
    <n v="0"/>
    <m/>
    <n v="0"/>
    <n v="0"/>
    <m/>
    <n v="0"/>
  </r>
  <r>
    <x v="745"/>
    <x v="4"/>
    <x v="8"/>
    <x v="24"/>
    <n v="0"/>
    <n v="0"/>
    <n v="0"/>
    <n v="0"/>
    <n v="0"/>
    <n v="0"/>
    <n v="0"/>
    <m/>
    <n v="0"/>
    <n v="0"/>
    <m/>
    <n v="0"/>
  </r>
  <r>
    <x v="746"/>
    <x v="4"/>
    <x v="8"/>
    <x v="30"/>
    <n v="0"/>
    <n v="0"/>
    <n v="0"/>
    <n v="0"/>
    <n v="0"/>
    <n v="0"/>
    <n v="0"/>
    <m/>
    <n v="0"/>
    <n v="0"/>
    <m/>
    <n v="0"/>
  </r>
  <r>
    <x v="747"/>
    <x v="0"/>
    <x v="0"/>
    <x v="0"/>
    <n v="0"/>
    <n v="0"/>
    <n v="0"/>
    <n v="0"/>
    <n v="0"/>
    <n v="0"/>
    <n v="0"/>
    <m/>
    <n v="0"/>
    <n v="0"/>
    <m/>
    <n v="0"/>
  </r>
  <r>
    <x v="748"/>
    <x v="10"/>
    <x v="11"/>
    <x v="19"/>
    <n v="0"/>
    <n v="0"/>
    <n v="0"/>
    <n v="0"/>
    <n v="0"/>
    <n v="0"/>
    <n v="48970"/>
    <m/>
    <n v="48970"/>
    <n v="0"/>
    <m/>
    <n v="0"/>
  </r>
  <r>
    <x v="749"/>
    <x v="0"/>
    <x v="0"/>
    <x v="1"/>
    <n v="0"/>
    <n v="0"/>
    <n v="0"/>
    <n v="0"/>
    <n v="0"/>
    <n v="0"/>
    <n v="0"/>
    <m/>
    <n v="0"/>
    <n v="0"/>
    <m/>
    <n v="0"/>
  </r>
  <r>
    <x v="750"/>
    <x v="0"/>
    <x v="0"/>
    <x v="0"/>
    <n v="0"/>
    <n v="0"/>
    <n v="0"/>
    <n v="0"/>
    <n v="0"/>
    <n v="0"/>
    <n v="0"/>
    <m/>
    <n v="0"/>
    <n v="0"/>
    <m/>
    <n v="0"/>
  </r>
  <r>
    <x v="751"/>
    <x v="14"/>
    <x v="9"/>
    <x v="27"/>
    <n v="0"/>
    <n v="0"/>
    <n v="0"/>
    <n v="0"/>
    <n v="0"/>
    <n v="0"/>
    <n v="0"/>
    <m/>
    <n v="0"/>
    <n v="2852087"/>
    <m/>
    <n v="2852087"/>
  </r>
  <r>
    <x v="752"/>
    <x v="0"/>
    <x v="0"/>
    <x v="0"/>
    <n v="0"/>
    <n v="0"/>
    <n v="0"/>
    <n v="28004"/>
    <n v="0"/>
    <n v="28004"/>
    <n v="0"/>
    <m/>
    <n v="0"/>
    <n v="0"/>
    <m/>
    <n v="0"/>
  </r>
  <r>
    <x v="753"/>
    <x v="0"/>
    <x v="0"/>
    <x v="0"/>
    <n v="0"/>
    <n v="0"/>
    <n v="0"/>
    <n v="0"/>
    <n v="0"/>
    <n v="0"/>
    <n v="0"/>
    <m/>
    <n v="0"/>
    <n v="0"/>
    <m/>
    <n v="0"/>
  </r>
  <r>
    <x v="754"/>
    <x v="0"/>
    <x v="0"/>
    <x v="0"/>
    <n v="0"/>
    <n v="0"/>
    <n v="0"/>
    <n v="13500"/>
    <n v="0"/>
    <n v="13500"/>
    <n v="0"/>
    <m/>
    <n v="0"/>
    <n v="0"/>
    <m/>
    <n v="0"/>
  </r>
  <r>
    <x v="755"/>
    <x v="14"/>
    <x v="9"/>
    <x v="27"/>
    <n v="0"/>
    <n v="0"/>
    <n v="0"/>
    <n v="0"/>
    <n v="0"/>
    <n v="0"/>
    <n v="0"/>
    <m/>
    <n v="0"/>
    <n v="446301"/>
    <m/>
    <n v="446301"/>
  </r>
  <r>
    <x v="756"/>
    <x v="10"/>
    <x v="11"/>
    <x v="58"/>
    <n v="948949"/>
    <n v="0"/>
    <n v="948949"/>
    <n v="0"/>
    <n v="0"/>
    <n v="0"/>
    <n v="859878"/>
    <m/>
    <n v="859878"/>
    <n v="0"/>
    <m/>
    <n v="0"/>
  </r>
  <r>
    <x v="757"/>
    <x v="0"/>
    <x v="0"/>
    <x v="1"/>
    <n v="0"/>
    <n v="0"/>
    <n v="0"/>
    <n v="0"/>
    <n v="0"/>
    <n v="0"/>
    <n v="0"/>
    <m/>
    <n v="0"/>
    <n v="71036"/>
    <m/>
    <n v="71036"/>
  </r>
  <r>
    <x v="758"/>
    <x v="1"/>
    <x v="1"/>
    <x v="2"/>
    <n v="488208"/>
    <n v="0"/>
    <n v="488208"/>
    <n v="0"/>
    <n v="0"/>
    <n v="0"/>
    <n v="565401"/>
    <m/>
    <n v="565401"/>
    <n v="0"/>
    <m/>
    <n v="0"/>
  </r>
  <r>
    <x v="759"/>
    <x v="0"/>
    <x v="0"/>
    <x v="0"/>
    <n v="0"/>
    <n v="0"/>
    <n v="0"/>
    <n v="0"/>
    <n v="0"/>
    <n v="0"/>
    <n v="0"/>
    <m/>
    <n v="0"/>
    <n v="0"/>
    <m/>
    <n v="0"/>
  </r>
  <r>
    <x v="760"/>
    <x v="0"/>
    <x v="0"/>
    <x v="0"/>
    <n v="0"/>
    <n v="0"/>
    <n v="0"/>
    <n v="0"/>
    <n v="0"/>
    <n v="0"/>
    <n v="0"/>
    <m/>
    <n v="0"/>
    <n v="0"/>
    <m/>
    <n v="0"/>
  </r>
  <r>
    <x v="761"/>
    <x v="1"/>
    <x v="1"/>
    <x v="2"/>
    <n v="0"/>
    <n v="0"/>
    <n v="0"/>
    <n v="0"/>
    <n v="0"/>
    <n v="0"/>
    <n v="0"/>
    <m/>
    <n v="0"/>
    <n v="0"/>
    <m/>
    <n v="0"/>
  </r>
  <r>
    <x v="762"/>
    <x v="8"/>
    <x v="9"/>
    <x v="11"/>
    <n v="0"/>
    <n v="0"/>
    <n v="0"/>
    <n v="0"/>
    <n v="0"/>
    <n v="0"/>
    <n v="0"/>
    <m/>
    <n v="0"/>
    <n v="0"/>
    <m/>
    <n v="0"/>
  </r>
  <r>
    <x v="763"/>
    <x v="0"/>
    <x v="0"/>
    <x v="0"/>
    <n v="0"/>
    <n v="0"/>
    <n v="0"/>
    <n v="29358"/>
    <n v="0"/>
    <n v="29358"/>
    <n v="0"/>
    <m/>
    <n v="0"/>
    <n v="0"/>
    <m/>
    <n v="0"/>
  </r>
  <r>
    <x v="764"/>
    <x v="3"/>
    <x v="3"/>
    <x v="4"/>
    <n v="0"/>
    <n v="0"/>
    <n v="0"/>
    <n v="0"/>
    <n v="0"/>
    <n v="0"/>
    <n v="0"/>
    <m/>
    <n v="0"/>
    <n v="0"/>
    <m/>
    <n v="0"/>
  </r>
  <r>
    <x v="765"/>
    <x v="1"/>
    <x v="1"/>
    <x v="2"/>
    <n v="0"/>
    <n v="0"/>
    <n v="0"/>
    <n v="0"/>
    <n v="0"/>
    <n v="0"/>
    <n v="0"/>
    <m/>
    <n v="0"/>
    <n v="0"/>
    <m/>
    <n v="0"/>
  </r>
  <r>
    <x v="766"/>
    <x v="0"/>
    <x v="0"/>
    <x v="1"/>
    <n v="0"/>
    <n v="0"/>
    <n v="0"/>
    <n v="30090"/>
    <n v="0"/>
    <n v="30090"/>
    <n v="0"/>
    <m/>
    <n v="0"/>
    <n v="19934"/>
    <m/>
    <n v="19934"/>
  </r>
  <r>
    <x v="767"/>
    <x v="1"/>
    <x v="1"/>
    <x v="2"/>
    <n v="0"/>
    <n v="0"/>
    <n v="0"/>
    <n v="0"/>
    <n v="0"/>
    <n v="0"/>
    <n v="0"/>
    <m/>
    <n v="0"/>
    <n v="0"/>
    <m/>
    <n v="0"/>
  </r>
  <r>
    <x v="768"/>
    <x v="7"/>
    <x v="7"/>
    <x v="76"/>
    <n v="0"/>
    <n v="0"/>
    <n v="0"/>
    <n v="10481463"/>
    <n v="0"/>
    <n v="10481463"/>
    <n v="0"/>
    <m/>
    <n v="0"/>
    <n v="14600000"/>
    <m/>
    <n v="14600000"/>
  </r>
  <r>
    <x v="769"/>
    <x v="14"/>
    <x v="9"/>
    <x v="27"/>
    <n v="0"/>
    <n v="0"/>
    <n v="0"/>
    <n v="0"/>
    <n v="0"/>
    <n v="0"/>
    <n v="0"/>
    <m/>
    <n v="0"/>
    <n v="0"/>
    <m/>
    <n v="0"/>
  </r>
  <r>
    <x v="770"/>
    <x v="14"/>
    <x v="9"/>
    <x v="27"/>
    <n v="0"/>
    <n v="0"/>
    <n v="0"/>
    <n v="0"/>
    <n v="0"/>
    <n v="0"/>
    <n v="53295.15"/>
    <m/>
    <n v="53295.15"/>
    <n v="0"/>
    <m/>
    <n v="0"/>
  </r>
  <r>
    <x v="771"/>
    <x v="14"/>
    <x v="9"/>
    <x v="27"/>
    <n v="0"/>
    <n v="0"/>
    <n v="0"/>
    <n v="0"/>
    <n v="0"/>
    <n v="0"/>
    <n v="0"/>
    <m/>
    <n v="0"/>
    <n v="2852634"/>
    <m/>
    <n v="2852634"/>
  </r>
  <r>
    <x v="772"/>
    <x v="1"/>
    <x v="1"/>
    <x v="2"/>
    <n v="0"/>
    <n v="0"/>
    <n v="0"/>
    <n v="0"/>
    <n v="0"/>
    <n v="0"/>
    <n v="0"/>
    <m/>
    <n v="0"/>
    <n v="0"/>
    <m/>
    <n v="0"/>
  </r>
  <r>
    <x v="773"/>
    <x v="4"/>
    <x v="8"/>
    <x v="24"/>
    <n v="0"/>
    <n v="0"/>
    <n v="0"/>
    <n v="0"/>
    <n v="0"/>
    <n v="0"/>
    <n v="0"/>
    <m/>
    <n v="0"/>
    <n v="0"/>
    <m/>
    <n v="0"/>
  </r>
  <r>
    <x v="774"/>
    <x v="2"/>
    <x v="2"/>
    <x v="33"/>
    <n v="0"/>
    <n v="0"/>
    <n v="0"/>
    <n v="0"/>
    <n v="0"/>
    <n v="0"/>
    <n v="0"/>
    <m/>
    <n v="0"/>
    <n v="0"/>
    <m/>
    <n v="0"/>
  </r>
  <r>
    <x v="775"/>
    <x v="2"/>
    <x v="2"/>
    <x v="33"/>
    <n v="0"/>
    <n v="0"/>
    <n v="0"/>
    <n v="0"/>
    <n v="0"/>
    <n v="0"/>
    <n v="0"/>
    <m/>
    <n v="0"/>
    <n v="0"/>
    <m/>
    <n v="0"/>
  </r>
  <r>
    <x v="776"/>
    <x v="2"/>
    <x v="2"/>
    <x v="33"/>
    <n v="0"/>
    <n v="0"/>
    <n v="0"/>
    <n v="0"/>
    <n v="0"/>
    <n v="0"/>
    <n v="0"/>
    <m/>
    <n v="0"/>
    <n v="0"/>
    <m/>
    <n v="0"/>
  </r>
  <r>
    <x v="777"/>
    <x v="1"/>
    <x v="1"/>
    <x v="2"/>
    <n v="0"/>
    <n v="0"/>
    <n v="0"/>
    <n v="0"/>
    <n v="0"/>
    <n v="0"/>
    <n v="179827"/>
    <m/>
    <n v="179827"/>
    <n v="0"/>
    <m/>
    <n v="0"/>
  </r>
  <r>
    <x v="778"/>
    <x v="11"/>
    <x v="13"/>
    <x v="22"/>
    <n v="2991111"/>
    <n v="0"/>
    <n v="2991111"/>
    <n v="0"/>
    <n v="0"/>
    <n v="0"/>
    <n v="2991111"/>
    <m/>
    <n v="2991111"/>
    <n v="0"/>
    <m/>
    <n v="0"/>
  </r>
  <r>
    <x v="779"/>
    <x v="4"/>
    <x v="8"/>
    <x v="89"/>
    <n v="677742"/>
    <n v="0"/>
    <n v="677742"/>
    <n v="0"/>
    <n v="0"/>
    <n v="0"/>
    <n v="521794"/>
    <m/>
    <n v="521794"/>
    <n v="0"/>
    <m/>
    <n v="0"/>
  </r>
  <r>
    <x v="780"/>
    <x v="4"/>
    <x v="8"/>
    <x v="89"/>
    <n v="295158.12"/>
    <n v="0"/>
    <n v="295158.12"/>
    <n v="0"/>
    <n v="0"/>
    <n v="0"/>
    <n v="271912.74"/>
    <m/>
    <n v="271912.74"/>
    <n v="0"/>
    <m/>
    <n v="0"/>
  </r>
  <r>
    <x v="781"/>
    <x v="0"/>
    <x v="0"/>
    <x v="1"/>
    <n v="0"/>
    <n v="0"/>
    <n v="0"/>
    <n v="0"/>
    <n v="0"/>
    <n v="0"/>
    <n v="0"/>
    <m/>
    <n v="0"/>
    <n v="0"/>
    <m/>
    <n v="0"/>
  </r>
  <r>
    <x v="782"/>
    <x v="0"/>
    <x v="0"/>
    <x v="1"/>
    <n v="0"/>
    <n v="0"/>
    <n v="0"/>
    <n v="0"/>
    <n v="0"/>
    <n v="0"/>
    <n v="0"/>
    <m/>
    <n v="0"/>
    <n v="29906"/>
    <m/>
    <n v="29906"/>
  </r>
  <r>
    <x v="783"/>
    <x v="0"/>
    <x v="0"/>
    <x v="1"/>
    <n v="0"/>
    <n v="0"/>
    <n v="0"/>
    <n v="6011326"/>
    <n v="0"/>
    <n v="6011326"/>
    <n v="0"/>
    <m/>
    <n v="0"/>
    <n v="1429369"/>
    <m/>
    <n v="1429369"/>
  </r>
  <r>
    <x v="784"/>
    <x v="0"/>
    <x v="0"/>
    <x v="1"/>
    <n v="0"/>
    <n v="0"/>
    <n v="0"/>
    <n v="0"/>
    <n v="0"/>
    <n v="0"/>
    <n v="0"/>
    <m/>
    <n v="0"/>
    <n v="12900"/>
    <m/>
    <n v="12900"/>
  </r>
  <r>
    <x v="785"/>
    <x v="0"/>
    <x v="0"/>
    <x v="1"/>
    <n v="0"/>
    <n v="0"/>
    <n v="0"/>
    <n v="0"/>
    <n v="0"/>
    <n v="0"/>
    <n v="0"/>
    <m/>
    <n v="0"/>
    <n v="0"/>
    <m/>
    <n v="0"/>
  </r>
  <r>
    <x v="786"/>
    <x v="0"/>
    <x v="0"/>
    <x v="1"/>
    <n v="0"/>
    <n v="0"/>
    <n v="0"/>
    <n v="0"/>
    <n v="0"/>
    <n v="0"/>
    <n v="0"/>
    <m/>
    <n v="0"/>
    <n v="0"/>
    <m/>
    <n v="0"/>
  </r>
  <r>
    <x v="787"/>
    <x v="1"/>
    <x v="1"/>
    <x v="2"/>
    <n v="0"/>
    <n v="0"/>
    <n v="0"/>
    <n v="0"/>
    <n v="0"/>
    <n v="0"/>
    <n v="0"/>
    <m/>
    <n v="0"/>
    <n v="0"/>
    <m/>
    <n v="0"/>
  </r>
  <r>
    <x v="788"/>
    <x v="0"/>
    <x v="0"/>
    <x v="1"/>
    <n v="0"/>
    <n v="0"/>
    <n v="0"/>
    <n v="226800"/>
    <n v="0"/>
    <n v="226800"/>
    <n v="0"/>
    <m/>
    <n v="0"/>
    <n v="232050"/>
    <m/>
    <n v="232050"/>
  </r>
  <r>
    <x v="789"/>
    <x v="4"/>
    <x v="12"/>
    <x v="20"/>
    <n v="0"/>
    <n v="0"/>
    <n v="0"/>
    <n v="0"/>
    <n v="0"/>
    <n v="0"/>
    <n v="0"/>
    <m/>
    <n v="0"/>
    <n v="0"/>
    <m/>
    <n v="0"/>
  </r>
  <r>
    <x v="790"/>
    <x v="4"/>
    <x v="12"/>
    <x v="20"/>
    <n v="170365"/>
    <n v="0"/>
    <n v="170365"/>
    <n v="0"/>
    <n v="0"/>
    <n v="0"/>
    <n v="290915"/>
    <m/>
    <n v="290915"/>
    <n v="0"/>
    <m/>
    <n v="0"/>
  </r>
  <r>
    <x v="791"/>
    <x v="4"/>
    <x v="12"/>
    <x v="90"/>
    <n v="6303933"/>
    <n v="0"/>
    <n v="6303933"/>
    <n v="0"/>
    <n v="0"/>
    <n v="0"/>
    <n v="6129998"/>
    <m/>
    <n v="6129998"/>
    <n v="0"/>
    <m/>
    <n v="0"/>
  </r>
  <r>
    <x v="792"/>
    <x v="15"/>
    <x v="16"/>
    <x v="28"/>
    <n v="637901422.5"/>
    <n v="0"/>
    <n v="637901422.5"/>
    <n v="0"/>
    <n v="0"/>
    <n v="0"/>
    <n v="384685059"/>
    <m/>
    <n v="384685059"/>
    <n v="0"/>
    <m/>
    <n v="0"/>
  </r>
  <r>
    <x v="793"/>
    <x v="5"/>
    <x v="5"/>
    <x v="6"/>
    <n v="4265067.0199999996"/>
    <n v="0"/>
    <n v="4265067.0199999996"/>
    <n v="0"/>
    <n v="0"/>
    <n v="0"/>
    <n v="1371677.02"/>
    <m/>
    <n v="1371677.02"/>
    <n v="0"/>
    <m/>
    <n v="0"/>
  </r>
  <r>
    <x v="794"/>
    <x v="11"/>
    <x v="13"/>
    <x v="87"/>
    <n v="1138497.31"/>
    <n v="0"/>
    <n v="1138497.31"/>
    <n v="0"/>
    <n v="0"/>
    <n v="0"/>
    <n v="133008"/>
    <m/>
    <n v="133008"/>
    <n v="0"/>
    <m/>
    <n v="0"/>
  </r>
  <r>
    <x v="795"/>
    <x v="11"/>
    <x v="13"/>
    <x v="87"/>
    <n v="15442705.91"/>
    <n v="0"/>
    <n v="15442705.91"/>
    <n v="0"/>
    <n v="0"/>
    <n v="0"/>
    <n v="180000"/>
    <m/>
    <n v="180000"/>
    <n v="0"/>
    <m/>
    <n v="0"/>
  </r>
  <r>
    <x v="796"/>
    <x v="0"/>
    <x v="0"/>
    <x v="0"/>
    <n v="0"/>
    <n v="0"/>
    <n v="0"/>
    <n v="0"/>
    <n v="0"/>
    <n v="0"/>
    <n v="0"/>
    <m/>
    <n v="0"/>
    <n v="0"/>
    <m/>
    <n v="0"/>
  </r>
  <r>
    <x v="797"/>
    <x v="4"/>
    <x v="8"/>
    <x v="9"/>
    <n v="24987"/>
    <n v="0"/>
    <n v="24987"/>
    <n v="0"/>
    <n v="0"/>
    <n v="0"/>
    <n v="7547"/>
    <m/>
    <n v="7547"/>
    <n v="0"/>
    <m/>
    <n v="0"/>
  </r>
  <r>
    <x v="798"/>
    <x v="0"/>
    <x v="0"/>
    <x v="1"/>
    <n v="0"/>
    <n v="0"/>
    <n v="0"/>
    <n v="0"/>
    <n v="0"/>
    <n v="0"/>
    <n v="0"/>
    <m/>
    <n v="0"/>
    <n v="0"/>
    <m/>
    <n v="0"/>
  </r>
  <r>
    <x v="799"/>
    <x v="0"/>
    <x v="0"/>
    <x v="1"/>
    <n v="0"/>
    <n v="0"/>
    <n v="0"/>
    <n v="0"/>
    <n v="0"/>
    <n v="0"/>
    <n v="0"/>
    <m/>
    <n v="0"/>
    <n v="0"/>
    <m/>
    <n v="0"/>
  </r>
  <r>
    <x v="800"/>
    <x v="1"/>
    <x v="1"/>
    <x v="2"/>
    <n v="43044826"/>
    <n v="0"/>
    <n v="43044826"/>
    <n v="0"/>
    <n v="0"/>
    <n v="0"/>
    <n v="31034983"/>
    <m/>
    <n v="31034983"/>
    <n v="0"/>
    <m/>
    <n v="0"/>
  </r>
  <r>
    <x v="801"/>
    <x v="2"/>
    <x v="2"/>
    <x v="3"/>
    <n v="4945556"/>
    <n v="0"/>
    <n v="4945556"/>
    <n v="0"/>
    <n v="0"/>
    <n v="0"/>
    <n v="2745000"/>
    <m/>
    <n v="2745000"/>
    <n v="0"/>
    <m/>
    <n v="0"/>
  </r>
  <r>
    <x v="802"/>
    <x v="2"/>
    <x v="2"/>
    <x v="3"/>
    <n v="1000000"/>
    <n v="0"/>
    <n v="1000000"/>
    <n v="0"/>
    <n v="0"/>
    <n v="0"/>
    <n v="2745000"/>
    <m/>
    <m/>
    <m/>
    <m/>
    <m/>
  </r>
  <r>
    <x v="803"/>
    <x v="0"/>
    <x v="0"/>
    <x v="0"/>
    <n v="0"/>
    <n v="0"/>
    <n v="0"/>
    <n v="0"/>
    <n v="0"/>
    <n v="0"/>
    <n v="0"/>
    <m/>
    <n v="0"/>
    <n v="19017"/>
    <m/>
    <n v="19017"/>
  </r>
  <r>
    <x v="804"/>
    <x v="2"/>
    <x v="2"/>
    <x v="3"/>
    <n v="0"/>
    <n v="0"/>
    <n v="0"/>
    <n v="0"/>
    <n v="0"/>
    <n v="0"/>
    <n v="0"/>
    <m/>
    <n v="0"/>
    <n v="0"/>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H962" firstHeaderRow="0" firstDataRow="1" firstDataCol="4"/>
  <pivotFields count="16">
    <pivotField axis="axisRow" showAll="0">
      <items count="806">
        <item x="0"/>
        <item x="802"/>
        <item x="22"/>
        <item x="36"/>
        <item x="20"/>
        <item x="42"/>
        <item x="30"/>
        <item x="32"/>
        <item x="33"/>
        <item x="505"/>
        <item x="34"/>
        <item x="67"/>
        <item x="528"/>
        <item x="747"/>
        <item x="35"/>
        <item x="37"/>
        <item x="38"/>
        <item x="39"/>
        <item x="40"/>
        <item x="68"/>
        <item x="43"/>
        <item x="50"/>
        <item x="47"/>
        <item x="54"/>
        <item x="55"/>
        <item x="15"/>
        <item x="10"/>
        <item x="122"/>
        <item x="71"/>
        <item x="72"/>
        <item x="73"/>
        <item x="74"/>
        <item x="79"/>
        <item x="80"/>
        <item x="82"/>
        <item x="21"/>
        <item x="667"/>
        <item x="85"/>
        <item x="86"/>
        <item x="87"/>
        <item x="88"/>
        <item x="668"/>
        <item x="89"/>
        <item x="90"/>
        <item x="91"/>
        <item x="93"/>
        <item x="94"/>
        <item x="92"/>
        <item x="95"/>
        <item x="24"/>
        <item x="97"/>
        <item x="107"/>
        <item x="108"/>
        <item x="669"/>
        <item x="109"/>
        <item x="110"/>
        <item x="113"/>
        <item x="114"/>
        <item x="748"/>
        <item x="115"/>
        <item x="116"/>
        <item x="117"/>
        <item x="118"/>
        <item x="119"/>
        <item x="125"/>
        <item x="749"/>
        <item x="126"/>
        <item x="128"/>
        <item x="129"/>
        <item x="750"/>
        <item x="52"/>
        <item x="132"/>
        <item x="28"/>
        <item x="133"/>
        <item x="136"/>
        <item x="131"/>
        <item x="137"/>
        <item x="670"/>
        <item x="138"/>
        <item x="139"/>
        <item x="53"/>
        <item x="29"/>
        <item x="144"/>
        <item x="143"/>
        <item x="175"/>
        <item x="145"/>
        <item x="142"/>
        <item x="146"/>
        <item x="147"/>
        <item x="148"/>
        <item x="149"/>
        <item x="152"/>
        <item x="151"/>
        <item x="154"/>
        <item x="671"/>
        <item x="548"/>
        <item x="140"/>
        <item x="155"/>
        <item x="156"/>
        <item x="157"/>
        <item x="150"/>
        <item x="153"/>
        <item x="158"/>
        <item x="177"/>
        <item x="178"/>
        <item x="181"/>
        <item x="179"/>
        <item x="751"/>
        <item x="672"/>
        <item x="673"/>
        <item x="180"/>
        <item x="182"/>
        <item x="674"/>
        <item x="183"/>
        <item x="184"/>
        <item x="185"/>
        <item x="186"/>
        <item x="187"/>
        <item x="57"/>
        <item x="188"/>
        <item x="238"/>
        <item x="189"/>
        <item x="675"/>
        <item x="190"/>
        <item x="191"/>
        <item x="192"/>
        <item x="193"/>
        <item x="194"/>
        <item x="195"/>
        <item x="112"/>
        <item x="676"/>
        <item x="196"/>
        <item x="197"/>
        <item x="198"/>
        <item x="677"/>
        <item x="199"/>
        <item x="200"/>
        <item x="101"/>
        <item x="201"/>
        <item x="202"/>
        <item x="203"/>
        <item x="204"/>
        <item x="205"/>
        <item x="206"/>
        <item x="207"/>
        <item x="208"/>
        <item x="111"/>
        <item x="209"/>
        <item x="516"/>
        <item x="678"/>
        <item x="210"/>
        <item x="211"/>
        <item x="679"/>
        <item x="127"/>
        <item x="753"/>
        <item x="212"/>
        <item x="1"/>
        <item x="752"/>
        <item x="213"/>
        <item x="214"/>
        <item x="215"/>
        <item x="216"/>
        <item x="217"/>
        <item x="218"/>
        <item x="220"/>
        <item x="221"/>
        <item x="219"/>
        <item x="222"/>
        <item x="223"/>
        <item x="224"/>
        <item x="225"/>
        <item x="228"/>
        <item x="229"/>
        <item x="230"/>
        <item x="231"/>
        <item x="232"/>
        <item x="233"/>
        <item x="234"/>
        <item x="235"/>
        <item x="236"/>
        <item x="237"/>
        <item x="240"/>
        <item x="18"/>
        <item x="239"/>
        <item x="241"/>
        <item x="245"/>
        <item x="242"/>
        <item x="243"/>
        <item x="680"/>
        <item x="246"/>
        <item x="247"/>
        <item x="63"/>
        <item x="249"/>
        <item x="681"/>
        <item x="64"/>
        <item x="250"/>
        <item x="251"/>
        <item x="252"/>
        <item x="253"/>
        <item x="682"/>
        <item x="254"/>
        <item x="683"/>
        <item x="255"/>
        <item x="256"/>
        <item x="257"/>
        <item x="258"/>
        <item x="259"/>
        <item x="260"/>
        <item x="262"/>
        <item x="263"/>
        <item x="264"/>
        <item x="265"/>
        <item x="266"/>
        <item x="267"/>
        <item x="268"/>
        <item x="269"/>
        <item x="270"/>
        <item x="75"/>
        <item x="271"/>
        <item x="272"/>
        <item x="273"/>
        <item x="274"/>
        <item x="275"/>
        <item x="684"/>
        <item x="276"/>
        <item x="277"/>
        <item x="278"/>
        <item x="279"/>
        <item x="130"/>
        <item x="280"/>
        <item x="281"/>
        <item x="282"/>
        <item x="283"/>
        <item x="685"/>
        <item x="284"/>
        <item x="285"/>
        <item x="286"/>
        <item x="686"/>
        <item x="287"/>
        <item x="754"/>
        <item x="687"/>
        <item x="288"/>
        <item x="289"/>
        <item x="290"/>
        <item x="351"/>
        <item x="292"/>
        <item x="295"/>
        <item x="293"/>
        <item x="298"/>
        <item x="296"/>
        <item x="297"/>
        <item x="299"/>
        <item x="301"/>
        <item x="302"/>
        <item x="303"/>
        <item x="291"/>
        <item x="304"/>
        <item x="305"/>
        <item x="688"/>
        <item x="306"/>
        <item x="307"/>
        <item x="309"/>
        <item x="310"/>
        <item x="689"/>
        <item x="690"/>
        <item x="314"/>
        <item x="317"/>
        <item x="316"/>
        <item x="315"/>
        <item x="319"/>
        <item x="312"/>
        <item x="313"/>
        <item x="318"/>
        <item x="311"/>
        <item x="320"/>
        <item x="322"/>
        <item x="755"/>
        <item x="321"/>
        <item x="691"/>
        <item x="323"/>
        <item x="324"/>
        <item x="3"/>
        <item x="325"/>
        <item x="692"/>
        <item x="326"/>
        <item x="506"/>
        <item x="512"/>
        <item x="509"/>
        <item x="327"/>
        <item x="693"/>
        <item x="694"/>
        <item x="328"/>
        <item x="329"/>
        <item x="83"/>
        <item x="330"/>
        <item x="545"/>
        <item x="546"/>
        <item x="549"/>
        <item x="331"/>
        <item x="332"/>
        <item x="333"/>
        <item x="695"/>
        <item x="334"/>
        <item x="335"/>
        <item x="337"/>
        <item x="340"/>
        <item x="341"/>
        <item x="342"/>
        <item x="343"/>
        <item x="344"/>
        <item x="345"/>
        <item x="346"/>
        <item x="347"/>
        <item x="348"/>
        <item x="756"/>
        <item x="507"/>
        <item x="349"/>
        <item x="350"/>
        <item x="135"/>
        <item x="696"/>
        <item x="352"/>
        <item x="353"/>
        <item x="354"/>
        <item x="355"/>
        <item x="134"/>
        <item x="356"/>
        <item x="357"/>
        <item x="358"/>
        <item x="359"/>
        <item x="486"/>
        <item x="336"/>
        <item x="360"/>
        <item x="697"/>
        <item x="361"/>
        <item x="362"/>
        <item x="363"/>
        <item x="364"/>
        <item x="365"/>
        <item x="84"/>
        <item x="366"/>
        <item x="369"/>
        <item x="98"/>
        <item x="757"/>
        <item x="370"/>
        <item x="371"/>
        <item x="96"/>
        <item x="99"/>
        <item x="372"/>
        <item x="373"/>
        <item x="376"/>
        <item x="758"/>
        <item x="377"/>
        <item x="378"/>
        <item x="379"/>
        <item x="380"/>
        <item x="381"/>
        <item x="382"/>
        <item x="383"/>
        <item x="384"/>
        <item x="552"/>
        <item x="385"/>
        <item x="386"/>
        <item x="387"/>
        <item x="56"/>
        <item x="801"/>
        <item x="25"/>
        <item x="103"/>
        <item x="388"/>
        <item x="389"/>
        <item x="390"/>
        <item x="391"/>
        <item x="698"/>
        <item x="392"/>
        <item x="393"/>
        <item x="395"/>
        <item x="396"/>
        <item x="759"/>
        <item x="397"/>
        <item x="398"/>
        <item x="399"/>
        <item x="400"/>
        <item x="76"/>
        <item x="77"/>
        <item x="401"/>
        <item x="102"/>
        <item x="402"/>
        <item x="403"/>
        <item x="404"/>
        <item x="405"/>
        <item x="406"/>
        <item x="760"/>
        <item x="407"/>
        <item x="408"/>
        <item x="66"/>
        <item x="409"/>
        <item x="17"/>
        <item x="410"/>
        <item x="62"/>
        <item x="411"/>
        <item x="412"/>
        <item x="413"/>
        <item x="414"/>
        <item x="415"/>
        <item x="416"/>
        <item x="418"/>
        <item x="417"/>
        <item x="419"/>
        <item x="420"/>
        <item x="27"/>
        <item x="421"/>
        <item x="100"/>
        <item x="11"/>
        <item x="422"/>
        <item x="423"/>
        <item x="761"/>
        <item x="424"/>
        <item x="425"/>
        <item x="762"/>
        <item x="426"/>
        <item x="427"/>
        <item x="763"/>
        <item x="428"/>
        <item x="429"/>
        <item x="430"/>
        <item x="699"/>
        <item x="49"/>
        <item x="23"/>
        <item x="431"/>
        <item x="432"/>
        <item x="433"/>
        <item x="434"/>
        <item x="16"/>
        <item x="435"/>
        <item x="48"/>
        <item x="436"/>
        <item x="437"/>
        <item x="438"/>
        <item x="700"/>
        <item x="439"/>
        <item x="440"/>
        <item x="441"/>
        <item x="442"/>
        <item x="443"/>
        <item x="444"/>
        <item x="445"/>
        <item x="446"/>
        <item x="447"/>
        <item x="448"/>
        <item x="449"/>
        <item x="701"/>
        <item x="450"/>
        <item x="451"/>
        <item x="452"/>
        <item x="453"/>
        <item x="454"/>
        <item x="455"/>
        <item x="456"/>
        <item x="457"/>
        <item x="458"/>
        <item x="459"/>
        <item x="702"/>
        <item x="460"/>
        <item x="461"/>
        <item x="104"/>
        <item x="462"/>
        <item x="463"/>
        <item x="464"/>
        <item x="703"/>
        <item x="106"/>
        <item x="465"/>
        <item x="466"/>
        <item x="248"/>
        <item x="467"/>
        <item x="468"/>
        <item x="469"/>
        <item x="470"/>
        <item x="471"/>
        <item x="472"/>
        <item x="473"/>
        <item x="474"/>
        <item x="704"/>
        <item x="475"/>
        <item x="476"/>
        <item x="477"/>
        <item x="478"/>
        <item x="479"/>
        <item x="480"/>
        <item x="481"/>
        <item x="705"/>
        <item x="482"/>
        <item x="14"/>
        <item x="483"/>
        <item x="105"/>
        <item x="484"/>
        <item x="708"/>
        <item x="707"/>
        <item x="706"/>
        <item x="709"/>
        <item x="485"/>
        <item x="81"/>
        <item x="487"/>
        <item x="488"/>
        <item x="489"/>
        <item x="490"/>
        <item x="492"/>
        <item x="493"/>
        <item x="494"/>
        <item x="495"/>
        <item x="496"/>
        <item x="497"/>
        <item x="498"/>
        <item x="499"/>
        <item x="500"/>
        <item x="501"/>
        <item x="502"/>
        <item x="503"/>
        <item x="504"/>
        <item x="508"/>
        <item x="510"/>
        <item x="511"/>
        <item x="764"/>
        <item x="710"/>
        <item x="513"/>
        <item x="339"/>
        <item x="515"/>
        <item x="517"/>
        <item x="518"/>
        <item x="519"/>
        <item x="711"/>
        <item x="338"/>
        <item x="520"/>
        <item x="521"/>
        <item x="522"/>
        <item x="523"/>
        <item x="524"/>
        <item x="525"/>
        <item x="526"/>
        <item x="527"/>
        <item x="69"/>
        <item x="529"/>
        <item x="530"/>
        <item x="531"/>
        <item x="765"/>
        <item x="532"/>
        <item x="714"/>
        <item x="533"/>
        <item x="534"/>
        <item x="51"/>
        <item x="535"/>
        <item x="19"/>
        <item x="536"/>
        <item x="44"/>
        <item x="537"/>
        <item x="538"/>
        <item x="539"/>
        <item x="540"/>
        <item x="541"/>
        <item x="542"/>
        <item x="543"/>
        <item x="544"/>
        <item x="547"/>
        <item x="551"/>
        <item x="514"/>
        <item x="553"/>
        <item x="554"/>
        <item x="555"/>
        <item x="556"/>
        <item x="557"/>
        <item x="712"/>
        <item x="558"/>
        <item x="713"/>
        <item x="559"/>
        <item x="560"/>
        <item x="725"/>
        <item x="717"/>
        <item x="8"/>
        <item x="766"/>
        <item x="716"/>
        <item x="768"/>
        <item x="561"/>
        <item x="562"/>
        <item x="563"/>
        <item x="564"/>
        <item x="565"/>
        <item x="566"/>
        <item x="567"/>
        <item x="568"/>
        <item x="569"/>
        <item x="570"/>
        <item x="70"/>
        <item x="571"/>
        <item x="572"/>
        <item x="573"/>
        <item x="575"/>
        <item x="574"/>
        <item x="576"/>
        <item x="577"/>
        <item x="578"/>
        <item x="579"/>
        <item x="244"/>
        <item x="580"/>
        <item x="581"/>
        <item x="124"/>
        <item x="123"/>
        <item x="582"/>
        <item x="583"/>
        <item x="584"/>
        <item x="585"/>
        <item x="586"/>
        <item x="715"/>
        <item x="767"/>
        <item x="587"/>
        <item x="61"/>
        <item x="12"/>
        <item x="26"/>
        <item x="6"/>
        <item x="588"/>
        <item x="589"/>
        <item x="718"/>
        <item x="13"/>
        <item x="590"/>
        <item x="161"/>
        <item x="166"/>
        <item x="141"/>
        <item x="162"/>
        <item x="159"/>
        <item x="163"/>
        <item x="164"/>
        <item x="165"/>
        <item x="171"/>
        <item x="719"/>
        <item x="168"/>
        <item x="169"/>
        <item x="550"/>
        <item x="591"/>
        <item x="172"/>
        <item x="173"/>
        <item x="174"/>
        <item x="160"/>
        <item x="167"/>
        <item x="170"/>
        <item x="176"/>
        <item x="592"/>
        <item x="593"/>
        <item x="769"/>
        <item x="594"/>
        <item x="771"/>
        <item x="720"/>
        <item x="721"/>
        <item x="770"/>
        <item x="595"/>
        <item x="596"/>
        <item x="597"/>
        <item x="598"/>
        <item x="599"/>
        <item x="600"/>
        <item x="601"/>
        <item x="5"/>
        <item x="602"/>
        <item x="308"/>
        <item x="603"/>
        <item x="722"/>
        <item x="604"/>
        <item x="605"/>
        <item x="367"/>
        <item x="368"/>
        <item x="606"/>
        <item x="607"/>
        <item x="772"/>
        <item x="59"/>
        <item x="608"/>
        <item x="609"/>
        <item x="724"/>
        <item x="610"/>
        <item x="723"/>
        <item x="611"/>
        <item x="612"/>
        <item x="613"/>
        <item x="9"/>
        <item x="78"/>
        <item x="614"/>
        <item x="615"/>
        <item x="616"/>
        <item x="617"/>
        <item x="374"/>
        <item x="618"/>
        <item x="65"/>
        <item x="41"/>
        <item x="619"/>
        <item x="620"/>
        <item x="726"/>
        <item x="621"/>
        <item x="622"/>
        <item x="623"/>
        <item x="624"/>
        <item x="625"/>
        <item x="727"/>
        <item x="46"/>
        <item x="799"/>
        <item x="626"/>
        <item x="627"/>
        <item x="628"/>
        <item x="629"/>
        <item x="630"/>
        <item x="631"/>
        <item x="632"/>
        <item x="633"/>
        <item x="728"/>
        <item x="634"/>
        <item x="375"/>
        <item x="635"/>
        <item x="636"/>
        <item x="729"/>
        <item x="643"/>
        <item x="642"/>
        <item x="637"/>
        <item x="394"/>
        <item x="644"/>
        <item x="645"/>
        <item x="640"/>
        <item x="638"/>
        <item x="639"/>
        <item x="730"/>
        <item x="31"/>
        <item x="641"/>
        <item x="646"/>
        <item x="647"/>
        <item x="648"/>
        <item x="649"/>
        <item x="650"/>
        <item x="651"/>
        <item x="652"/>
        <item x="731"/>
        <item x="653"/>
        <item x="654"/>
        <item x="732"/>
        <item x="655"/>
        <item x="656"/>
        <item x="657"/>
        <item x="658"/>
        <item x="659"/>
        <item x="660"/>
        <item x="661"/>
        <item x="662"/>
        <item x="663"/>
        <item x="664"/>
        <item x="60"/>
        <item x="665"/>
        <item x="666"/>
        <item x="737"/>
        <item x="738"/>
        <item x="739"/>
        <item x="4"/>
        <item x="740"/>
        <item x="741"/>
        <item x="742"/>
        <item x="743"/>
        <item x="745"/>
        <item x="746"/>
        <item x="773"/>
        <item x="774"/>
        <item x="775"/>
        <item x="776"/>
        <item x="744"/>
        <item x="120"/>
        <item x="777"/>
        <item x="778"/>
        <item x="779"/>
        <item x="780"/>
        <item x="781"/>
        <item x="782"/>
        <item x="783"/>
        <item x="733"/>
        <item x="784"/>
        <item x="734"/>
        <item x="45"/>
        <item x="121"/>
        <item x="785"/>
        <item x="2"/>
        <item x="786"/>
        <item x="736"/>
        <item x="787"/>
        <item x="788"/>
        <item x="789"/>
        <item x="790"/>
        <item x="791"/>
        <item x="792"/>
        <item x="793"/>
        <item x="794"/>
        <item x="735"/>
        <item x="795"/>
        <item x="796"/>
        <item x="797"/>
        <item x="798"/>
        <item x="800"/>
        <item x="803"/>
        <item x="58"/>
        <item x="804"/>
        <item x="226"/>
        <item x="227"/>
        <item x="261"/>
        <item x="7"/>
        <item x="294"/>
        <item x="300"/>
        <item x="491"/>
        <item t="default"/>
      </items>
    </pivotField>
    <pivotField axis="axisRow" outline="0" showAll="0">
      <items count="28">
        <item x="11"/>
        <item x="17"/>
        <item x="2"/>
        <item m="1" x="25"/>
        <item x="1"/>
        <item x="13"/>
        <item x="23"/>
        <item x="6"/>
        <item x="5"/>
        <item x="12"/>
        <item x="7"/>
        <item x="16"/>
        <item x="24"/>
        <item x="0"/>
        <item x="22"/>
        <item x="14"/>
        <item x="21"/>
        <item x="9"/>
        <item m="1" x="26"/>
        <item x="19"/>
        <item x="10"/>
        <item x="8"/>
        <item x="3"/>
        <item x="4"/>
        <item x="15"/>
        <item x="18"/>
        <item x="20"/>
        <item t="default"/>
      </items>
    </pivotField>
    <pivotField axis="axisRow" outline="0" showAll="0">
      <items count="36">
        <item m="1" x="31"/>
        <item x="17"/>
        <item x="20"/>
        <item x="21"/>
        <item x="11"/>
        <item m="1" x="32"/>
        <item x="7"/>
        <item x="26"/>
        <item x="27"/>
        <item x="5"/>
        <item x="9"/>
        <item m="1" x="30"/>
        <item x="6"/>
        <item x="10"/>
        <item x="16"/>
        <item x="14"/>
        <item x="22"/>
        <item x="23"/>
        <item x="29"/>
        <item m="1" x="34"/>
        <item x="28"/>
        <item x="0"/>
        <item m="1" x="33"/>
        <item x="1"/>
        <item x="2"/>
        <item x="3"/>
        <item x="4"/>
        <item x="8"/>
        <item x="12"/>
        <item x="13"/>
        <item x="15"/>
        <item x="18"/>
        <item x="19"/>
        <item x="24"/>
        <item x="25"/>
        <item t="default"/>
      </items>
    </pivotField>
    <pivotField axis="axisRow" outline="0" showAll="0">
      <items count="125">
        <item x="3"/>
        <item x="4"/>
        <item x="6"/>
        <item x="12"/>
        <item x="15"/>
        <item x="75"/>
        <item x="74"/>
        <item x="37"/>
        <item x="33"/>
        <item x="23"/>
        <item x="87"/>
        <item x="26"/>
        <item x="45"/>
        <item x="70"/>
        <item x="34"/>
        <item x="35"/>
        <item x="39"/>
        <item x="42"/>
        <item x="43"/>
        <item x="77"/>
        <item m="1" x="109"/>
        <item m="1" x="108"/>
        <item m="1" x="107"/>
        <item m="1" x="111"/>
        <item m="1" x="118"/>
        <item m="1" x="102"/>
        <item m="1" x="110"/>
        <item m="1" x="115"/>
        <item m="1" x="93"/>
        <item m="1" x="123"/>
        <item m="1" x="117"/>
        <item m="1" x="114"/>
        <item m="1" x="106"/>
        <item m="1" x="119"/>
        <item m="1" x="122"/>
        <item x="48"/>
        <item x="49"/>
        <item x="27"/>
        <item x="88"/>
        <item x="53"/>
        <item x="58"/>
        <item x="55"/>
        <item x="44"/>
        <item x="7"/>
        <item x="36"/>
        <item m="1" x="96"/>
        <item m="1" x="98"/>
        <item m="1" x="112"/>
        <item m="1" x="120"/>
        <item m="1" x="101"/>
        <item m="1" x="91"/>
        <item m="1" x="116"/>
        <item m="1" x="97"/>
        <item m="1" x="104"/>
        <item m="1" x="100"/>
        <item x="61"/>
        <item x="63"/>
        <item x="19"/>
        <item m="1" x="95"/>
        <item m="1" x="103"/>
        <item m="1" x="92"/>
        <item x="57"/>
        <item x="54"/>
        <item x="67"/>
        <item x="38"/>
        <item x="28"/>
        <item x="40"/>
        <item x="41"/>
        <item x="14"/>
        <item x="76"/>
        <item x="80"/>
        <item x="83"/>
        <item x="78"/>
        <item m="1" x="94"/>
        <item m="1" x="105"/>
        <item m="1" x="99"/>
        <item m="1" x="121"/>
        <item x="62"/>
        <item x="31"/>
        <item x="66"/>
        <item x="22"/>
        <item x="69"/>
        <item x="1"/>
        <item x="0"/>
        <item x="11"/>
        <item x="2"/>
        <item x="8"/>
        <item x="5"/>
        <item x="9"/>
        <item x="10"/>
        <item x="13"/>
        <item x="16"/>
        <item x="17"/>
        <item x="18"/>
        <item x="20"/>
        <item x="21"/>
        <item x="24"/>
        <item x="25"/>
        <item x="29"/>
        <item x="30"/>
        <item x="32"/>
        <item x="46"/>
        <item x="47"/>
        <item x="50"/>
        <item x="51"/>
        <item x="52"/>
        <item x="56"/>
        <item x="60"/>
        <item x="64"/>
        <item x="65"/>
        <item x="68"/>
        <item x="71"/>
        <item x="72"/>
        <item x="73"/>
        <item x="79"/>
        <item x="81"/>
        <item x="82"/>
        <item x="84"/>
        <item x="85"/>
        <item x="86"/>
        <item x="89"/>
        <item x="90"/>
        <item x="59"/>
        <item m="1" x="113"/>
        <item t="default"/>
      </items>
    </pivotField>
    <pivotField numFmtId="43" showAll="0"/>
    <pivotField numFmtId="43" showAll="0"/>
    <pivotField dataField="1" numFmtId="43" showAll="0"/>
    <pivotField numFmtId="43" showAll="0"/>
    <pivotField numFmtId="43" showAll="0"/>
    <pivotField dataField="1" numFmtId="43" showAll="0"/>
    <pivotField showAll="0"/>
    <pivotField showAll="0"/>
    <pivotField dataField="1" showAll="0"/>
    <pivotField showAll="0"/>
    <pivotField showAll="0"/>
    <pivotField dataField="1" showAll="0"/>
  </pivotFields>
  <rowFields count="4">
    <field x="1"/>
    <field x="2"/>
    <field x="3"/>
    <field x="0"/>
  </rowFields>
  <rowItems count="959">
    <i>
      <x/>
      <x v="29"/>
      <x v="10"/>
      <x v="494"/>
    </i>
    <i r="3">
      <x v="495"/>
    </i>
    <i r="3">
      <x v="496"/>
    </i>
    <i r="3">
      <x v="497"/>
    </i>
    <i r="3">
      <x v="780"/>
    </i>
    <i r="3">
      <x v="788"/>
    </i>
    <i r="3">
      <x v="789"/>
    </i>
    <i r="3">
      <x v="790"/>
    </i>
    <i t="default" r="2">
      <x v="10"/>
    </i>
    <i r="2">
      <x v="80"/>
      <x v="68"/>
    </i>
    <i r="3">
      <x v="75"/>
    </i>
    <i r="3">
      <x v="133"/>
    </i>
    <i r="3">
      <x v="202"/>
    </i>
    <i r="3">
      <x v="228"/>
    </i>
    <i r="3">
      <x v="231"/>
    </i>
    <i r="3">
      <x v="234"/>
    </i>
    <i r="3">
      <x v="441"/>
    </i>
    <i r="3">
      <x v="479"/>
    </i>
    <i r="3">
      <x v="766"/>
    </i>
    <i t="default" r="2">
      <x v="80"/>
    </i>
    <i r="2">
      <x v="81"/>
      <x v="508"/>
    </i>
    <i r="3">
      <x v="509"/>
    </i>
    <i r="3">
      <x v="510"/>
    </i>
    <i r="3">
      <x v="511"/>
    </i>
    <i r="3">
      <x v="512"/>
    </i>
    <i r="3">
      <x v="513"/>
    </i>
    <i r="3">
      <x v="514"/>
    </i>
    <i r="3">
      <x v="515"/>
    </i>
    <i t="default" r="2">
      <x v="81"/>
    </i>
    <i t="default" r="1">
      <x v="29"/>
    </i>
    <i t="default">
      <x/>
    </i>
    <i>
      <x v="1"/>
      <x v="31"/>
      <x v="7"/>
      <x v="163"/>
    </i>
    <i r="3">
      <x v="166"/>
    </i>
    <i r="3">
      <x v="167"/>
    </i>
    <i r="3">
      <x v="171"/>
    </i>
    <i r="3">
      <x v="223"/>
    </i>
    <i r="3">
      <x v="224"/>
    </i>
    <i r="3">
      <x v="225"/>
    </i>
    <i r="3">
      <x v="226"/>
    </i>
    <i r="3">
      <x v="329"/>
    </i>
    <i t="default" r="2">
      <x v="7"/>
    </i>
    <i t="default" r="1">
      <x v="31"/>
    </i>
    <i t="default">
      <x v="1"/>
    </i>
    <i>
      <x v="2"/>
      <x v="24"/>
      <x/>
      <x v="1"/>
    </i>
    <i r="3">
      <x v="112"/>
    </i>
    <i r="3">
      <x v="240"/>
    </i>
    <i r="3">
      <x v="258"/>
    </i>
    <i r="3">
      <x v="278"/>
    </i>
    <i r="3">
      <x v="289"/>
    </i>
    <i r="3">
      <x v="364"/>
    </i>
    <i r="3">
      <x v="426"/>
    </i>
    <i r="3">
      <x v="573"/>
    </i>
    <i r="3">
      <x v="709"/>
    </i>
    <i r="3">
      <x v="797"/>
    </i>
    <i t="default" r="2">
      <x/>
    </i>
    <i r="2">
      <x v="8"/>
      <x v="150"/>
    </i>
    <i r="3">
      <x v="525"/>
    </i>
    <i r="3">
      <x v="760"/>
    </i>
    <i r="3">
      <x v="761"/>
    </i>
    <i r="3">
      <x v="762"/>
    </i>
    <i t="default" r="2">
      <x v="8"/>
    </i>
    <i r="2">
      <x v="44"/>
      <x v="162"/>
    </i>
    <i r="3">
      <x v="164"/>
    </i>
    <i r="3">
      <x v="165"/>
    </i>
    <i r="3">
      <x v="168"/>
    </i>
    <i r="3">
      <x v="169"/>
    </i>
    <i t="default" r="2">
      <x v="44"/>
    </i>
    <i t="default" r="1">
      <x v="24"/>
    </i>
    <i t="default">
      <x v="2"/>
    </i>
    <i>
      <x v="4"/>
      <x v="23"/>
      <x v="85"/>
      <x v="3"/>
    </i>
    <i r="3">
      <x v="14"/>
    </i>
    <i r="3">
      <x v="16"/>
    </i>
    <i r="3">
      <x v="17"/>
    </i>
    <i r="3">
      <x v="26"/>
    </i>
    <i r="3">
      <x v="27"/>
    </i>
    <i r="3">
      <x v="37"/>
    </i>
    <i r="3">
      <x v="38"/>
    </i>
    <i r="3">
      <x v="41"/>
    </i>
    <i r="3">
      <x v="63"/>
    </i>
    <i r="3">
      <x v="114"/>
    </i>
    <i r="3">
      <x v="117"/>
    </i>
    <i r="3">
      <x v="118"/>
    </i>
    <i r="3">
      <x v="123"/>
    </i>
    <i r="3">
      <x v="142"/>
    </i>
    <i r="3">
      <x v="159"/>
    </i>
    <i r="3">
      <x v="179"/>
    </i>
    <i r="3">
      <x v="191"/>
    </i>
    <i r="3">
      <x v="200"/>
    </i>
    <i r="3">
      <x v="260"/>
    </i>
    <i r="3">
      <x v="261"/>
    </i>
    <i r="3">
      <x v="292"/>
    </i>
    <i r="3">
      <x v="340"/>
    </i>
    <i r="3">
      <x v="343"/>
    </i>
    <i r="3">
      <x v="350"/>
    </i>
    <i r="3">
      <x v="352"/>
    </i>
    <i r="3">
      <x v="353"/>
    </i>
    <i r="3">
      <x v="354"/>
    </i>
    <i r="3">
      <x v="373"/>
    </i>
    <i r="3">
      <x v="383"/>
    </i>
    <i r="3">
      <x v="397"/>
    </i>
    <i r="3">
      <x v="414"/>
    </i>
    <i r="3">
      <x v="416"/>
    </i>
    <i r="3">
      <x v="429"/>
    </i>
    <i r="3">
      <x v="447"/>
    </i>
    <i r="3">
      <x v="448"/>
    </i>
    <i r="3">
      <x v="466"/>
    </i>
    <i r="3">
      <x v="485"/>
    </i>
    <i r="3">
      <x v="489"/>
    </i>
    <i r="3">
      <x v="500"/>
    </i>
    <i r="3">
      <x v="540"/>
    </i>
    <i r="3">
      <x v="541"/>
    </i>
    <i r="3">
      <x v="542"/>
    </i>
    <i r="3">
      <x v="543"/>
    </i>
    <i r="3">
      <x v="544"/>
    </i>
    <i r="3">
      <x v="587"/>
    </i>
    <i r="3">
      <x v="602"/>
    </i>
    <i r="3">
      <x v="603"/>
    </i>
    <i r="3">
      <x v="610"/>
    </i>
    <i r="3">
      <x v="612"/>
    </i>
    <i r="3">
      <x v="653"/>
    </i>
    <i r="3">
      <x v="654"/>
    </i>
    <i r="3">
      <x v="659"/>
    </i>
    <i r="3">
      <x v="666"/>
    </i>
    <i r="3">
      <x v="667"/>
    </i>
    <i r="3">
      <x v="668"/>
    </i>
    <i r="3">
      <x v="669"/>
    </i>
    <i r="3">
      <x v="672"/>
    </i>
    <i r="3">
      <x v="673"/>
    </i>
    <i r="3">
      <x v="675"/>
    </i>
    <i r="3">
      <x v="676"/>
    </i>
    <i r="3">
      <x v="678"/>
    </i>
    <i r="3">
      <x v="685"/>
    </i>
    <i r="3">
      <x v="704"/>
    </i>
    <i r="3">
      <x v="706"/>
    </i>
    <i r="3">
      <x v="711"/>
    </i>
    <i r="3">
      <x v="716"/>
    </i>
    <i r="3">
      <x v="745"/>
    </i>
    <i r="3">
      <x v="746"/>
    </i>
    <i r="3">
      <x v="750"/>
    </i>
    <i r="3">
      <x v="764"/>
    </i>
    <i r="3">
      <x v="765"/>
    </i>
    <i r="3">
      <x v="776"/>
    </i>
    <i r="3">
      <x v="781"/>
    </i>
    <i r="3">
      <x v="794"/>
    </i>
    <i r="3">
      <x v="796"/>
    </i>
    <i t="default" r="2">
      <x v="85"/>
    </i>
    <i t="default" r="1">
      <x v="23"/>
    </i>
    <i t="default">
      <x v="4"/>
    </i>
    <i>
      <x v="5"/>
      <x v="30"/>
      <x v="5"/>
      <x v="580"/>
    </i>
    <i t="default" r="2">
      <x v="5"/>
    </i>
    <i r="2">
      <x v="11"/>
      <x v="79"/>
    </i>
    <i t="default" r="2">
      <x v="11"/>
    </i>
    <i t="default" r="1">
      <x v="30"/>
    </i>
    <i t="default">
      <x v="5"/>
    </i>
    <i>
      <x v="6"/>
      <x v="30"/>
      <x v="6"/>
      <x v="579"/>
    </i>
    <i t="default" r="2">
      <x v="6"/>
    </i>
    <i t="default" r="1">
      <x v="30"/>
    </i>
    <i t="default">
      <x v="6"/>
    </i>
    <i>
      <x v="7"/>
      <x v="12"/>
      <x v="43"/>
      <x v="21"/>
    </i>
    <i r="3">
      <x v="22"/>
    </i>
    <i r="3">
      <x v="64"/>
    </i>
    <i r="3">
      <x v="119"/>
    </i>
    <i r="3">
      <x v="120"/>
    </i>
    <i r="3">
      <x v="180"/>
    </i>
    <i r="3">
      <x v="183"/>
    </i>
    <i r="3">
      <x v="184"/>
    </i>
    <i r="3">
      <x v="257"/>
    </i>
    <i r="3">
      <x v="356"/>
    </i>
    <i r="3">
      <x v="367"/>
    </i>
    <i r="3">
      <x v="394"/>
    </i>
    <i r="3">
      <x v="399"/>
    </i>
    <i r="3">
      <x v="400"/>
    </i>
    <i r="3">
      <x v="415"/>
    </i>
    <i r="3">
      <x v="423"/>
    </i>
    <i r="3">
      <x v="424"/>
    </i>
    <i r="3">
      <x v="425"/>
    </i>
    <i r="3">
      <x v="428"/>
    </i>
    <i r="3">
      <x v="433"/>
    </i>
    <i r="3">
      <x v="487"/>
    </i>
    <i r="3">
      <x v="488"/>
    </i>
    <i r="3">
      <x v="546"/>
    </i>
    <i r="3">
      <x v="547"/>
    </i>
    <i r="3">
      <x v="551"/>
    </i>
    <i r="3">
      <x v="555"/>
    </i>
    <i r="3">
      <x v="568"/>
    </i>
    <i r="3">
      <x v="586"/>
    </i>
    <i r="3">
      <x v="606"/>
    </i>
    <i r="3">
      <x v="609"/>
    </i>
    <i r="3">
      <x v="651"/>
    </i>
    <i r="3">
      <x v="696"/>
    </i>
    <i r="3">
      <x v="697"/>
    </i>
    <i r="3">
      <x v="699"/>
    </i>
    <i r="3">
      <x v="707"/>
    </i>
    <i r="3">
      <x v="708"/>
    </i>
    <i r="3">
      <x v="710"/>
    </i>
    <i r="3">
      <x v="775"/>
    </i>
    <i t="default" r="2">
      <x v="43"/>
    </i>
    <i t="default" r="1">
      <x v="12"/>
    </i>
    <i t="default">
      <x v="7"/>
    </i>
    <i>
      <x v="8"/>
      <x v="9"/>
      <x v="2"/>
      <x v="5"/>
    </i>
    <i r="3">
      <x v="18"/>
    </i>
    <i r="3">
      <x v="19"/>
    </i>
    <i r="3">
      <x v="136"/>
    </i>
    <i r="3">
      <x v="137"/>
    </i>
    <i r="3">
      <x v="155"/>
    </i>
    <i r="3">
      <x v="195"/>
    </i>
    <i r="3">
      <x v="294"/>
    </i>
    <i r="3">
      <x v="338"/>
    </i>
    <i r="3">
      <x v="392"/>
    </i>
    <i r="3">
      <x v="418"/>
    </i>
    <i r="3">
      <x v="445"/>
    </i>
    <i r="3">
      <x v="787"/>
    </i>
    <i t="default" r="2">
      <x v="2"/>
    </i>
    <i r="2">
      <x v="15"/>
      <x v="161"/>
    </i>
    <i t="default" r="2">
      <x v="15"/>
    </i>
    <i r="2">
      <x v="38"/>
      <x v="570"/>
    </i>
    <i t="default" r="2">
      <x v="38"/>
    </i>
    <i r="2">
      <x v="39"/>
      <x v="301"/>
    </i>
    <i r="3">
      <x v="302"/>
    </i>
    <i t="default" r="2">
      <x v="39"/>
    </i>
    <i r="2">
      <x v="62"/>
      <x v="303"/>
    </i>
    <i r="3">
      <x v="498"/>
    </i>
    <i t="default" r="2">
      <x v="62"/>
    </i>
    <i t="default" r="1">
      <x v="9"/>
    </i>
    <i t="default">
      <x v="8"/>
    </i>
    <i>
      <x v="9"/>
      <x v="15"/>
      <x v="9"/>
      <x v="71"/>
    </i>
    <i r="3">
      <x v="567"/>
    </i>
    <i t="default" r="2">
      <x v="9"/>
    </i>
    <i t="default" r="1">
      <x v="15"/>
    </i>
    <i r="1">
      <x v="17"/>
      <x v="42"/>
      <x v="203"/>
    </i>
    <i t="default" r="2">
      <x v="42"/>
    </i>
    <i t="default" r="1">
      <x v="17"/>
    </i>
    <i t="default">
      <x v="9"/>
    </i>
    <i>
      <x v="10"/>
      <x v="6"/>
      <x v="69"/>
      <x v="574"/>
    </i>
    <i r="3">
      <x v="577"/>
    </i>
    <i r="3">
      <x v="578"/>
    </i>
    <i r="3">
      <x v="581"/>
    </i>
    <i r="3">
      <x v="582"/>
    </i>
    <i r="3">
      <x v="583"/>
    </i>
    <i r="3">
      <x v="584"/>
    </i>
    <i t="default" r="2">
      <x v="69"/>
    </i>
    <i r="2">
      <x v="71"/>
      <x v="701"/>
    </i>
    <i r="3">
      <x v="702"/>
    </i>
    <i r="3">
      <x v="703"/>
    </i>
    <i t="default" r="2">
      <x v="71"/>
    </i>
    <i r="2">
      <x v="86"/>
      <x v="28"/>
    </i>
    <i r="3">
      <x v="30"/>
    </i>
    <i r="3">
      <x v="54"/>
    </i>
    <i r="3">
      <x v="237"/>
    </i>
    <i r="3">
      <x v="256"/>
    </i>
    <i r="3">
      <x v="349"/>
    </i>
    <i r="3">
      <x v="360"/>
    </i>
    <i r="3">
      <x v="604"/>
    </i>
    <i r="3">
      <x v="608"/>
    </i>
    <i r="3">
      <x v="682"/>
    </i>
    <i t="default" r="2">
      <x v="86"/>
    </i>
    <i t="default" r="1">
      <x v="6"/>
    </i>
    <i t="default">
      <x v="10"/>
    </i>
    <i>
      <x v="11"/>
      <x v="1"/>
      <x v="14"/>
      <x v="160"/>
    </i>
    <i t="default" r="2">
      <x v="14"/>
    </i>
    <i t="default" r="1">
      <x v="1"/>
    </i>
    <i t="default">
      <x v="11"/>
    </i>
    <i>
      <x v="12"/>
      <x v="18"/>
      <x v="70"/>
      <x v="691"/>
    </i>
    <i t="default" r="2">
      <x v="70"/>
    </i>
    <i t="default" r="1">
      <x v="18"/>
    </i>
    <i t="default">
      <x v="12"/>
    </i>
    <i>
      <x v="13"/>
      <x v="21"/>
      <x v="82"/>
      <x v="20"/>
    </i>
    <i r="3">
      <x v="23"/>
    </i>
    <i r="3">
      <x v="24"/>
    </i>
    <i r="3">
      <x v="25"/>
    </i>
    <i r="3">
      <x v="31"/>
    </i>
    <i r="3">
      <x v="39"/>
    </i>
    <i r="3">
      <x v="43"/>
    </i>
    <i r="3">
      <x v="52"/>
    </i>
    <i r="3">
      <x v="60"/>
    </i>
    <i r="3">
      <x v="61"/>
    </i>
    <i r="3">
      <x v="62"/>
    </i>
    <i r="3">
      <x v="65"/>
    </i>
    <i r="3">
      <x v="70"/>
    </i>
    <i r="3">
      <x v="80"/>
    </i>
    <i r="3">
      <x v="115"/>
    </i>
    <i r="3">
      <x v="116"/>
    </i>
    <i r="3">
      <x v="122"/>
    </i>
    <i r="3">
      <x v="124"/>
    </i>
    <i r="3">
      <x v="158"/>
    </i>
    <i r="3">
      <x v="181"/>
    </i>
    <i r="3">
      <x v="182"/>
    </i>
    <i r="3">
      <x v="196"/>
    </i>
    <i r="3">
      <x v="197"/>
    </i>
    <i r="3">
      <x v="198"/>
    </i>
    <i r="3">
      <x v="221"/>
    </i>
    <i r="3">
      <x v="222"/>
    </i>
    <i r="3">
      <x v="235"/>
    </i>
    <i r="3">
      <x v="236"/>
    </i>
    <i r="3">
      <x v="241"/>
    </i>
    <i r="3">
      <x v="253"/>
    </i>
    <i r="3">
      <x v="259"/>
    </i>
    <i r="3">
      <x v="279"/>
    </i>
    <i r="3">
      <x v="281"/>
    </i>
    <i r="3">
      <x v="288"/>
    </i>
    <i r="3">
      <x v="290"/>
    </i>
    <i r="3">
      <x v="291"/>
    </i>
    <i r="3">
      <x v="330"/>
    </i>
    <i r="3">
      <x v="337"/>
    </i>
    <i r="3">
      <x v="339"/>
    </i>
    <i r="3">
      <x v="342"/>
    </i>
    <i r="3">
      <x v="344"/>
    </i>
    <i r="3">
      <x v="351"/>
    </i>
    <i r="3">
      <x v="361"/>
    </i>
    <i r="3">
      <x v="362"/>
    </i>
    <i r="3">
      <x v="363"/>
    </i>
    <i r="3">
      <x v="368"/>
    </i>
    <i r="3">
      <x v="371"/>
    </i>
    <i r="3">
      <x v="372"/>
    </i>
    <i r="3">
      <x v="374"/>
    </i>
    <i r="3">
      <x v="385"/>
    </i>
    <i r="3">
      <x v="391"/>
    </i>
    <i r="3">
      <x v="395"/>
    </i>
    <i r="3">
      <x v="407"/>
    </i>
    <i r="3">
      <x v="411"/>
    </i>
    <i r="3">
      <x v="427"/>
    </i>
    <i r="3">
      <x v="431"/>
    </i>
    <i r="3">
      <x v="437"/>
    </i>
    <i r="3">
      <x v="449"/>
    </i>
    <i r="3">
      <x v="467"/>
    </i>
    <i r="3">
      <x v="469"/>
    </i>
    <i r="3">
      <x v="486"/>
    </i>
    <i r="3">
      <x v="490"/>
    </i>
    <i r="3">
      <x v="493"/>
    </i>
    <i r="3">
      <x v="526"/>
    </i>
    <i r="3">
      <x v="527"/>
    </i>
    <i r="3">
      <x v="545"/>
    </i>
    <i r="3">
      <x v="548"/>
    </i>
    <i r="3">
      <x v="550"/>
    </i>
    <i r="3">
      <x v="554"/>
    </i>
    <i r="3">
      <x v="571"/>
    </i>
    <i r="3">
      <x v="576"/>
    </i>
    <i r="3">
      <x v="585"/>
    </i>
    <i r="3">
      <x v="588"/>
    </i>
    <i r="3">
      <x v="590"/>
    </i>
    <i r="3">
      <x v="607"/>
    </i>
    <i r="3">
      <x v="611"/>
    </i>
    <i r="3">
      <x v="613"/>
    </i>
    <i r="3">
      <x v="618"/>
    </i>
    <i r="3">
      <x v="619"/>
    </i>
    <i r="3">
      <x v="650"/>
    </i>
    <i r="3">
      <x v="652"/>
    </i>
    <i r="3">
      <x v="658"/>
    </i>
    <i r="3">
      <x v="660"/>
    </i>
    <i r="3">
      <x v="664"/>
    </i>
    <i r="3">
      <x v="665"/>
    </i>
    <i r="3">
      <x v="670"/>
    </i>
    <i r="3">
      <x v="671"/>
    </i>
    <i r="3">
      <x v="674"/>
    </i>
    <i r="3">
      <x v="677"/>
    </i>
    <i r="3">
      <x v="683"/>
    </i>
    <i r="3">
      <x v="698"/>
    </i>
    <i r="3">
      <x v="700"/>
    </i>
    <i r="3">
      <x v="715"/>
    </i>
    <i r="3">
      <x v="741"/>
    </i>
    <i r="3">
      <x v="744"/>
    </i>
    <i r="3">
      <x v="752"/>
    </i>
    <i r="3">
      <x v="753"/>
    </i>
    <i r="3">
      <x v="754"/>
    </i>
    <i r="3">
      <x v="769"/>
    </i>
    <i r="3">
      <x v="770"/>
    </i>
    <i r="3">
      <x v="771"/>
    </i>
    <i r="3">
      <x v="772"/>
    </i>
    <i r="3">
      <x v="773"/>
    </i>
    <i r="3">
      <x v="777"/>
    </i>
    <i r="3">
      <x v="778"/>
    </i>
    <i r="3">
      <x v="779"/>
    </i>
    <i r="3">
      <x v="782"/>
    </i>
    <i r="3">
      <x v="793"/>
    </i>
    <i t="default" r="2">
      <x v="82"/>
    </i>
    <i r="2">
      <x v="83"/>
      <x/>
    </i>
    <i r="3">
      <x v="2"/>
    </i>
    <i r="3">
      <x v="4"/>
    </i>
    <i r="3">
      <x v="11"/>
    </i>
    <i r="3">
      <x v="12"/>
    </i>
    <i r="3">
      <x v="13"/>
    </i>
    <i r="3">
      <x v="15"/>
    </i>
    <i r="3">
      <x v="29"/>
    </i>
    <i r="3">
      <x v="35"/>
    </i>
    <i r="3">
      <x v="36"/>
    </i>
    <i r="3">
      <x v="40"/>
    </i>
    <i r="3">
      <x v="48"/>
    </i>
    <i r="3">
      <x v="49"/>
    </i>
    <i r="3">
      <x v="50"/>
    </i>
    <i r="3">
      <x v="53"/>
    </i>
    <i r="3">
      <x v="69"/>
    </i>
    <i r="3">
      <x v="72"/>
    </i>
    <i r="3">
      <x v="81"/>
    </i>
    <i r="3">
      <x v="111"/>
    </i>
    <i r="3">
      <x v="113"/>
    </i>
    <i r="3">
      <x v="134"/>
    </i>
    <i r="3">
      <x v="154"/>
    </i>
    <i r="3">
      <x v="156"/>
    </i>
    <i r="3">
      <x v="157"/>
    </i>
    <i r="3">
      <x v="189"/>
    </i>
    <i r="3">
      <x v="193"/>
    </i>
    <i r="3">
      <x v="194"/>
    </i>
    <i r="3">
      <x v="201"/>
    </i>
    <i r="3">
      <x v="220"/>
    </i>
    <i r="3">
      <x v="230"/>
    </i>
    <i r="3">
      <x v="239"/>
    </i>
    <i r="3">
      <x v="243"/>
    </i>
    <i r="3">
      <x v="251"/>
    </i>
    <i r="3">
      <x v="254"/>
    </i>
    <i r="3">
      <x v="255"/>
    </i>
    <i r="3">
      <x v="341"/>
    </i>
    <i r="3">
      <x v="345"/>
    </i>
    <i r="3">
      <x v="346"/>
    </i>
    <i r="3">
      <x v="347"/>
    </i>
    <i r="3">
      <x v="348"/>
    </i>
    <i r="3">
      <x v="355"/>
    </i>
    <i r="3">
      <x v="357"/>
    </i>
    <i r="3">
      <x v="358"/>
    </i>
    <i r="3">
      <x v="365"/>
    </i>
    <i r="3">
      <x v="366"/>
    </i>
    <i r="3">
      <x v="369"/>
    </i>
    <i r="3">
      <x v="376"/>
    </i>
    <i r="3">
      <x v="384"/>
    </i>
    <i r="3">
      <x v="390"/>
    </i>
    <i r="3">
      <x v="393"/>
    </i>
    <i r="3">
      <x v="396"/>
    </i>
    <i r="3">
      <x v="398"/>
    </i>
    <i r="3">
      <x v="408"/>
    </i>
    <i r="3">
      <x v="410"/>
    </i>
    <i r="3">
      <x v="413"/>
    </i>
    <i r="3">
      <x v="419"/>
    </i>
    <i r="3">
      <x v="420"/>
    </i>
    <i r="3">
      <x v="421"/>
    </i>
    <i r="3">
      <x v="422"/>
    </i>
    <i r="3">
      <x v="430"/>
    </i>
    <i r="3">
      <x v="432"/>
    </i>
    <i r="3">
      <x v="440"/>
    </i>
    <i r="3">
      <x v="468"/>
    </i>
    <i r="3">
      <x v="470"/>
    </i>
    <i r="3">
      <x v="472"/>
    </i>
    <i r="3">
      <x v="473"/>
    </i>
    <i r="3">
      <x v="480"/>
    </i>
    <i r="3">
      <x v="481"/>
    </i>
    <i r="3">
      <x v="483"/>
    </i>
    <i r="3">
      <x v="492"/>
    </i>
    <i r="3">
      <x v="537"/>
    </i>
    <i r="3">
      <x v="538"/>
    </i>
    <i r="3">
      <x v="549"/>
    </i>
    <i r="3">
      <x v="561"/>
    </i>
    <i r="3">
      <x v="575"/>
    </i>
    <i r="3">
      <x v="589"/>
    </i>
    <i r="3">
      <x v="605"/>
    </i>
    <i r="3">
      <x v="614"/>
    </i>
    <i r="3">
      <x v="615"/>
    </i>
    <i r="3">
      <x v="655"/>
    </i>
    <i r="3">
      <x v="656"/>
    </i>
    <i r="3">
      <x v="657"/>
    </i>
    <i r="3">
      <x v="684"/>
    </i>
    <i r="3">
      <x v="686"/>
    </i>
    <i r="3">
      <x v="687"/>
    </i>
    <i r="3">
      <x v="738"/>
    </i>
    <i r="3">
      <x v="751"/>
    </i>
    <i r="3">
      <x v="774"/>
    </i>
    <i r="3">
      <x v="791"/>
    </i>
    <i r="3">
      <x v="795"/>
    </i>
    <i r="3">
      <x v="801"/>
    </i>
    <i r="3">
      <x v="803"/>
    </i>
    <i t="default" r="2">
      <x v="83"/>
    </i>
    <i t="default" r="1">
      <x v="21"/>
    </i>
    <i t="default">
      <x v="13"/>
    </i>
    <i>
      <x v="14"/>
      <x v="34"/>
      <x v="19"/>
      <x v="591"/>
    </i>
    <i t="default" r="2">
      <x v="19"/>
    </i>
    <i r="2">
      <x v="122"/>
      <x v="328"/>
    </i>
    <i t="default" r="2">
      <x v="122"/>
    </i>
    <i t="default" r="1">
      <x v="34"/>
    </i>
    <i t="default">
      <x v="14"/>
    </i>
    <i>
      <x v="15"/>
      <x v="10"/>
      <x v="37"/>
      <x v="82"/>
    </i>
    <i r="3">
      <x v="83"/>
    </i>
    <i r="3">
      <x v="84"/>
    </i>
    <i r="3">
      <x v="85"/>
    </i>
    <i r="3">
      <x v="86"/>
    </i>
    <i r="3">
      <x v="87"/>
    </i>
    <i r="3">
      <x v="88"/>
    </i>
    <i r="3">
      <x v="89"/>
    </i>
    <i r="3">
      <x v="90"/>
    </i>
    <i r="3">
      <x v="91"/>
    </i>
    <i r="3">
      <x v="92"/>
    </i>
    <i r="3">
      <x v="93"/>
    </i>
    <i r="3">
      <x v="94"/>
    </i>
    <i r="3">
      <x v="95"/>
    </i>
    <i r="3">
      <x v="96"/>
    </i>
    <i r="3">
      <x v="97"/>
    </i>
    <i r="3">
      <x v="98"/>
    </i>
    <i r="3">
      <x v="99"/>
    </i>
    <i r="3">
      <x v="100"/>
    </i>
    <i r="3">
      <x v="101"/>
    </i>
    <i r="3">
      <x v="102"/>
    </i>
    <i r="3">
      <x v="103"/>
    </i>
    <i r="3">
      <x v="104"/>
    </i>
    <i r="3">
      <x v="105"/>
    </i>
    <i r="3">
      <x v="106"/>
    </i>
    <i r="3">
      <x v="107"/>
    </i>
    <i r="3">
      <x v="108"/>
    </i>
    <i r="3">
      <x v="109"/>
    </i>
    <i r="3">
      <x v="110"/>
    </i>
    <i r="3">
      <x v="145"/>
    </i>
    <i r="3">
      <x v="263"/>
    </i>
    <i r="3">
      <x v="264"/>
    </i>
    <i r="3">
      <x v="265"/>
    </i>
    <i r="3">
      <x v="266"/>
    </i>
    <i r="3">
      <x v="267"/>
    </i>
    <i r="3">
      <x v="268"/>
    </i>
    <i r="3">
      <x v="269"/>
    </i>
    <i r="3">
      <x v="270"/>
    </i>
    <i r="3">
      <x v="271"/>
    </i>
    <i r="3">
      <x v="272"/>
    </i>
    <i r="3">
      <x v="273"/>
    </i>
    <i r="3">
      <x v="274"/>
    </i>
    <i r="3">
      <x v="275"/>
    </i>
    <i r="3">
      <x v="276"/>
    </i>
    <i r="3">
      <x v="277"/>
    </i>
    <i r="3">
      <x v="295"/>
    </i>
    <i r="3">
      <x v="296"/>
    </i>
    <i r="3">
      <x v="297"/>
    </i>
    <i r="3">
      <x v="434"/>
    </i>
    <i r="3">
      <x v="557"/>
    </i>
    <i r="3">
      <x v="558"/>
    </i>
    <i r="3">
      <x v="559"/>
    </i>
    <i r="3">
      <x v="560"/>
    </i>
    <i r="3">
      <x v="621"/>
    </i>
    <i r="3">
      <x v="622"/>
    </i>
    <i r="3">
      <x v="623"/>
    </i>
    <i r="3">
      <x v="624"/>
    </i>
    <i r="3">
      <x v="625"/>
    </i>
    <i r="3">
      <x v="626"/>
    </i>
    <i r="3">
      <x v="627"/>
    </i>
    <i r="3">
      <x v="628"/>
    </i>
    <i r="3">
      <x v="629"/>
    </i>
    <i r="3">
      <x v="630"/>
    </i>
    <i r="3">
      <x v="631"/>
    </i>
    <i r="3">
      <x v="632"/>
    </i>
    <i r="3">
      <x v="633"/>
    </i>
    <i r="3">
      <x v="634"/>
    </i>
    <i r="3">
      <x v="635"/>
    </i>
    <i r="3">
      <x v="636"/>
    </i>
    <i r="3">
      <x v="637"/>
    </i>
    <i r="3">
      <x v="638"/>
    </i>
    <i r="3">
      <x v="639"/>
    </i>
    <i r="3">
      <x v="640"/>
    </i>
    <i r="3">
      <x v="641"/>
    </i>
    <i r="3">
      <x v="642"/>
    </i>
    <i r="3">
      <x v="643"/>
    </i>
    <i r="3">
      <x v="644"/>
    </i>
    <i r="3">
      <x v="645"/>
    </i>
    <i r="3">
      <x v="646"/>
    </i>
    <i r="3">
      <x v="647"/>
    </i>
    <i r="3">
      <x v="648"/>
    </i>
    <i r="3">
      <x v="649"/>
    </i>
    <i t="default" r="2">
      <x v="37"/>
    </i>
    <i r="2">
      <x v="78"/>
      <x v="138"/>
    </i>
    <i r="3">
      <x v="139"/>
    </i>
    <i r="3">
      <x v="688"/>
    </i>
    <i r="3">
      <x v="719"/>
    </i>
    <i r="3">
      <x v="721"/>
    </i>
    <i r="3">
      <x v="727"/>
    </i>
    <i r="3">
      <x v="728"/>
    </i>
    <i r="3">
      <x v="729"/>
    </i>
    <i r="3">
      <x v="730"/>
    </i>
    <i r="3">
      <x v="731"/>
    </i>
    <i r="3">
      <x v="732"/>
    </i>
    <i r="3">
      <x v="733"/>
    </i>
    <i r="3">
      <x v="734"/>
    </i>
    <i r="3">
      <x v="736"/>
    </i>
    <i t="default" r="2">
      <x v="78"/>
    </i>
    <i t="default" r="1">
      <x v="10"/>
    </i>
    <i t="default">
      <x v="15"/>
    </i>
    <i>
      <x v="16"/>
      <x v="33"/>
      <x v="13"/>
      <x v="148"/>
    </i>
    <i t="default" r="2">
      <x v="13"/>
    </i>
    <i r="2">
      <x v="64"/>
      <x v="282"/>
    </i>
    <i r="3">
      <x v="379"/>
    </i>
    <i t="default" r="2">
      <x v="64"/>
    </i>
    <i t="default" r="1">
      <x v="33"/>
    </i>
    <i t="default">
      <x v="16"/>
    </i>
    <i>
      <x v="17"/>
      <x v="13"/>
      <x v="35"/>
      <x v="227"/>
    </i>
    <i t="default" r="2">
      <x v="35"/>
    </i>
    <i r="2">
      <x v="41"/>
      <x v="304"/>
    </i>
    <i t="default" r="2">
      <x v="41"/>
    </i>
    <i r="2">
      <x v="63"/>
      <x v="504"/>
    </i>
    <i t="default" r="2">
      <x v="63"/>
    </i>
    <i r="2">
      <x v="68"/>
      <x v="463"/>
    </i>
    <i t="default" r="2">
      <x v="68"/>
    </i>
    <i t="default" r="1">
      <x v="13"/>
    </i>
    <i t="default">
      <x v="17"/>
    </i>
    <i>
      <x v="19"/>
      <x v="3"/>
      <x v="12"/>
      <x v="204"/>
    </i>
    <i r="3">
      <x v="242"/>
    </i>
    <i r="3">
      <x v="506"/>
    </i>
    <i t="default" r="2">
      <x v="12"/>
    </i>
    <i r="2">
      <x v="66"/>
      <x v="186"/>
    </i>
    <i r="3">
      <x v="207"/>
    </i>
    <i r="3">
      <x v="284"/>
    </i>
    <i r="3">
      <x v="378"/>
    </i>
    <i r="3">
      <x v="563"/>
    </i>
    <i r="3">
      <x v="592"/>
    </i>
    <i r="3">
      <x v="593"/>
    </i>
    <i r="3">
      <x v="594"/>
    </i>
    <i r="3">
      <x v="595"/>
    </i>
    <i r="3">
      <x v="596"/>
    </i>
    <i r="3">
      <x v="663"/>
    </i>
    <i r="3">
      <x v="800"/>
    </i>
    <i t="default" r="2">
      <x v="66"/>
    </i>
    <i r="2">
      <x v="77"/>
      <x v="409"/>
    </i>
    <i r="3">
      <x v="689"/>
    </i>
    <i t="default" r="2">
      <x v="77"/>
    </i>
    <i t="default" r="1">
      <x v="3"/>
    </i>
    <i t="default">
      <x v="19"/>
    </i>
    <i>
      <x v="20"/>
      <x v="4"/>
      <x v="40"/>
      <x v="307"/>
    </i>
    <i r="3">
      <x v="308"/>
    </i>
    <i r="3">
      <x v="309"/>
    </i>
    <i r="3">
      <x v="310"/>
    </i>
    <i r="3">
      <x v="311"/>
    </i>
    <i r="3">
      <x v="314"/>
    </i>
    <i r="3">
      <x v="331"/>
    </i>
    <i r="3">
      <x v="332"/>
    </i>
    <i r="3">
      <x v="333"/>
    </i>
    <i r="3">
      <x v="334"/>
    </i>
    <i r="3">
      <x v="335"/>
    </i>
    <i r="3">
      <x v="377"/>
    </i>
    <i t="default" r="2">
      <x v="40"/>
    </i>
    <i r="2">
      <x v="57"/>
      <x v="57"/>
    </i>
    <i r="3">
      <x v="58"/>
    </i>
    <i r="3">
      <x v="59"/>
    </i>
    <i r="3">
      <x v="695"/>
    </i>
    <i t="default" r="2">
      <x v="57"/>
    </i>
    <i t="default" r="1">
      <x v="4"/>
    </i>
    <i t="default">
      <x v="20"/>
    </i>
    <i>
      <x v="21"/>
      <x v="2"/>
      <x v="16"/>
      <x v="172"/>
    </i>
    <i r="3">
      <x v="173"/>
    </i>
    <i r="3">
      <x v="174"/>
    </i>
    <i r="3">
      <x v="175"/>
    </i>
    <i r="3">
      <x v="176"/>
    </i>
    <i r="3">
      <x v="177"/>
    </i>
    <i r="3">
      <x v="178"/>
    </i>
    <i t="default" r="2">
      <x v="16"/>
    </i>
    <i t="default" r="1">
      <x v="2"/>
    </i>
    <i r="1">
      <x v="7"/>
      <x v="55"/>
      <x v="401"/>
    </i>
    <i r="3">
      <x v="402"/>
    </i>
    <i r="3">
      <x v="403"/>
    </i>
    <i r="3">
      <x v="404"/>
    </i>
    <i r="3">
      <x v="405"/>
    </i>
    <i r="3">
      <x v="406"/>
    </i>
    <i t="default" r="2">
      <x v="55"/>
    </i>
    <i t="default" r="1">
      <x v="7"/>
    </i>
    <i r="1">
      <x v="8"/>
      <x v="56"/>
      <x v="446"/>
    </i>
    <i t="default" r="2">
      <x v="56"/>
    </i>
    <i t="default" r="1">
      <x v="8"/>
    </i>
    <i r="1">
      <x v="10"/>
      <x v="17"/>
      <x v="190"/>
    </i>
    <i r="3">
      <x v="471"/>
    </i>
    <i t="default" r="2">
      <x v="17"/>
    </i>
    <i r="2">
      <x v="84"/>
      <x v="34"/>
    </i>
    <i r="3">
      <x v="293"/>
    </i>
    <i r="3">
      <x v="417"/>
    </i>
    <i r="3">
      <x v="491"/>
    </i>
    <i r="3">
      <x v="539"/>
    </i>
    <i r="3">
      <x v="740"/>
    </i>
    <i t="default" r="2">
      <x v="84"/>
    </i>
    <i t="default" r="1">
      <x v="10"/>
    </i>
    <i r="1">
      <x v="13"/>
      <x v="3"/>
      <x v="42"/>
    </i>
    <i t="default" r="2">
      <x v="3"/>
    </i>
    <i t="default" r="1">
      <x v="13"/>
    </i>
    <i r="1">
      <x v="15"/>
      <x v="36"/>
      <x v="238"/>
    </i>
    <i t="default" r="2">
      <x v="36"/>
    </i>
    <i r="2">
      <x v="72"/>
      <x v="616"/>
    </i>
    <i t="default" r="2">
      <x v="72"/>
    </i>
    <i r="2">
      <x v="79"/>
      <x v="503"/>
    </i>
    <i r="3">
      <x v="804"/>
    </i>
    <i t="default" r="2">
      <x v="79"/>
    </i>
    <i t="default" r="1">
      <x v="15"/>
    </i>
    <i r="1">
      <x v="20"/>
      <x v="64"/>
      <x v="359"/>
    </i>
    <i t="default" r="2">
      <x v="64"/>
    </i>
    <i t="default" r="1">
      <x v="20"/>
    </i>
    <i r="1">
      <x v="27"/>
      <x v="61"/>
      <x v="306"/>
    </i>
    <i t="default" r="2">
      <x v="61"/>
    </i>
    <i t="default" r="1">
      <x v="27"/>
    </i>
    <i t="default">
      <x v="21"/>
    </i>
    <i>
      <x v="22"/>
      <x v="25"/>
      <x v="1"/>
      <x v="6"/>
    </i>
    <i r="3">
      <x v="7"/>
    </i>
    <i r="3">
      <x v="8"/>
    </i>
    <i r="3">
      <x v="9"/>
    </i>
    <i r="3">
      <x v="285"/>
    </i>
    <i r="3">
      <x v="286"/>
    </i>
    <i r="3">
      <x v="287"/>
    </i>
    <i r="3">
      <x v="315"/>
    </i>
    <i r="3">
      <x v="516"/>
    </i>
    <i r="3">
      <x v="517"/>
    </i>
    <i r="3">
      <x v="518"/>
    </i>
    <i r="3">
      <x v="519"/>
    </i>
    <i r="3">
      <x v="520"/>
    </i>
    <i r="3">
      <x v="521"/>
    </i>
    <i r="3">
      <x v="522"/>
    </i>
    <i r="3">
      <x v="712"/>
    </i>
    <i r="3">
      <x v="713"/>
    </i>
    <i r="3">
      <x v="714"/>
    </i>
    <i r="3">
      <x v="717"/>
    </i>
    <i r="3">
      <x v="718"/>
    </i>
    <i r="3">
      <x v="720"/>
    </i>
    <i r="3">
      <x v="722"/>
    </i>
    <i r="3">
      <x v="723"/>
    </i>
    <i r="3">
      <x v="724"/>
    </i>
    <i r="3">
      <x v="726"/>
    </i>
    <i r="3">
      <x v="735"/>
    </i>
    <i t="default" r="2">
      <x v="1"/>
    </i>
    <i t="default" r="1">
      <x v="25"/>
    </i>
    <i t="default">
      <x v="22"/>
    </i>
    <i>
      <x v="23"/>
      <x v="26"/>
      <x v="87"/>
      <x v="10"/>
    </i>
    <i t="default" r="2">
      <x v="87"/>
    </i>
    <i r="2">
      <x v="93"/>
      <x v="129"/>
    </i>
    <i r="3">
      <x v="131"/>
    </i>
    <i r="3">
      <x v="132"/>
    </i>
    <i t="default" r="2">
      <x v="93"/>
    </i>
    <i r="2">
      <x v="101"/>
      <x v="210"/>
    </i>
    <i t="default" r="2">
      <x v="101"/>
    </i>
    <i r="2">
      <x v="104"/>
      <x v="298"/>
    </i>
    <i r="3">
      <x v="299"/>
    </i>
    <i t="default" r="2">
      <x v="104"/>
    </i>
    <i r="2">
      <x v="118"/>
      <x v="77"/>
    </i>
    <i t="default" r="2">
      <x v="118"/>
    </i>
    <i r="2">
      <x v="119"/>
      <x v="130"/>
    </i>
    <i t="default" r="2">
      <x v="119"/>
    </i>
    <i t="default" r="1">
      <x v="26"/>
    </i>
    <i r="1">
      <x v="27"/>
      <x v="4"/>
      <x v="51"/>
    </i>
    <i t="default" r="2">
      <x v="4"/>
    </i>
    <i r="2">
      <x v="18"/>
      <x v="192"/>
    </i>
    <i t="default" r="2">
      <x v="18"/>
    </i>
    <i r="2">
      <x v="88"/>
      <x v="32"/>
    </i>
    <i r="3">
      <x v="143"/>
    </i>
    <i r="3">
      <x v="144"/>
    </i>
    <i r="3">
      <x v="217"/>
    </i>
    <i r="3">
      <x v="245"/>
    </i>
    <i r="3">
      <x v="252"/>
    </i>
    <i r="3">
      <x v="283"/>
    </i>
    <i r="3">
      <x v="381"/>
    </i>
    <i r="3">
      <x v="382"/>
    </i>
    <i r="3">
      <x v="412"/>
    </i>
    <i r="3">
      <x v="459"/>
    </i>
    <i r="3">
      <x v="482"/>
    </i>
    <i r="3">
      <x v="564"/>
    </i>
    <i r="3">
      <x v="572"/>
    </i>
    <i r="3">
      <x v="661"/>
    </i>
    <i r="3">
      <x v="662"/>
    </i>
    <i r="3">
      <x v="679"/>
    </i>
    <i r="3">
      <x v="680"/>
    </i>
    <i r="3">
      <x v="705"/>
    </i>
    <i r="3">
      <x v="792"/>
    </i>
    <i t="default" r="2">
      <x v="88"/>
    </i>
    <i r="2">
      <x v="89"/>
      <x v="33"/>
    </i>
    <i r="3">
      <x v="499"/>
    </i>
    <i t="default" r="2">
      <x v="89"/>
    </i>
    <i r="2">
      <x v="90"/>
      <x v="44"/>
    </i>
    <i r="3">
      <x v="45"/>
    </i>
    <i r="3">
      <x v="46"/>
    </i>
    <i r="3">
      <x v="47"/>
    </i>
    <i t="default" r="2">
      <x v="90"/>
    </i>
    <i r="2">
      <x v="91"/>
      <x v="55"/>
    </i>
    <i r="3">
      <x v="56"/>
    </i>
    <i t="default" r="2">
      <x v="91"/>
    </i>
    <i r="2">
      <x v="92"/>
      <x v="146"/>
    </i>
    <i r="3">
      <x v="149"/>
    </i>
    <i t="default" r="2">
      <x v="92"/>
    </i>
    <i r="2">
      <x v="95"/>
      <x v="67"/>
    </i>
    <i r="3">
      <x v="438"/>
    </i>
    <i r="3">
      <x v="439"/>
    </i>
    <i r="3">
      <x v="442"/>
    </i>
    <i r="3">
      <x v="444"/>
    </i>
    <i t="default" r="2">
      <x v="95"/>
    </i>
    <i r="2">
      <x v="96"/>
      <x v="73"/>
    </i>
    <i r="3">
      <x v="147"/>
    </i>
    <i r="3">
      <x v="151"/>
    </i>
    <i r="3">
      <x v="199"/>
    </i>
    <i r="3">
      <x v="205"/>
    </i>
    <i r="3">
      <x v="206"/>
    </i>
    <i r="3">
      <x v="208"/>
    </i>
    <i r="3">
      <x v="216"/>
    </i>
    <i r="3">
      <x v="244"/>
    </i>
    <i r="3">
      <x v="305"/>
    </i>
    <i r="3">
      <x v="312"/>
    </i>
    <i r="3">
      <x v="313"/>
    </i>
    <i r="3">
      <x v="316"/>
    </i>
    <i r="3">
      <x v="317"/>
    </i>
    <i r="3">
      <x v="318"/>
    </i>
    <i r="3">
      <x v="319"/>
    </i>
    <i r="3">
      <x v="320"/>
    </i>
    <i r="3">
      <x v="321"/>
    </i>
    <i r="3">
      <x v="322"/>
    </i>
    <i r="3">
      <x v="323"/>
    </i>
    <i r="3">
      <x v="324"/>
    </i>
    <i r="3">
      <x v="325"/>
    </i>
    <i r="3">
      <x v="326"/>
    </i>
    <i r="3">
      <x v="327"/>
    </i>
    <i r="3">
      <x v="370"/>
    </i>
    <i r="3">
      <x v="375"/>
    </i>
    <i r="3">
      <x v="435"/>
    </i>
    <i r="3">
      <x v="436"/>
    </i>
    <i r="3">
      <x v="460"/>
    </i>
    <i r="3">
      <x v="474"/>
    </i>
    <i r="3">
      <x v="475"/>
    </i>
    <i r="3">
      <x v="476"/>
    </i>
    <i r="3">
      <x v="477"/>
    </i>
    <i r="3">
      <x v="478"/>
    </i>
    <i r="3">
      <x v="502"/>
    </i>
    <i r="3">
      <x v="553"/>
    </i>
    <i r="3">
      <x v="569"/>
    </i>
    <i r="3">
      <x v="601"/>
    </i>
    <i r="3">
      <x v="725"/>
    </i>
    <i r="3">
      <x v="755"/>
    </i>
    <i r="3">
      <x v="756"/>
    </i>
    <i r="3">
      <x v="757"/>
    </i>
    <i r="3">
      <x v="759"/>
    </i>
    <i r="3">
      <x v="763"/>
    </i>
    <i t="default" r="2">
      <x v="96"/>
    </i>
    <i r="2">
      <x v="99"/>
      <x v="135"/>
    </i>
    <i r="3">
      <x v="246"/>
    </i>
    <i r="3">
      <x v="247"/>
    </i>
    <i r="3">
      <x v="248"/>
    </i>
    <i r="3">
      <x v="249"/>
    </i>
    <i r="3">
      <x v="250"/>
    </i>
    <i r="3">
      <x v="380"/>
    </i>
    <i r="3">
      <x v="461"/>
    </i>
    <i r="3">
      <x v="462"/>
    </i>
    <i r="3">
      <x v="501"/>
    </i>
    <i r="3">
      <x v="690"/>
    </i>
    <i r="3">
      <x v="758"/>
    </i>
    <i r="3">
      <x v="802"/>
    </i>
    <i t="default" r="2">
      <x v="99"/>
    </i>
    <i r="2">
      <x v="100"/>
      <x v="140"/>
    </i>
    <i r="3">
      <x v="141"/>
    </i>
    <i r="3">
      <x v="743"/>
    </i>
    <i t="default" r="2">
      <x v="100"/>
    </i>
    <i r="2">
      <x v="103"/>
      <x v="262"/>
    </i>
    <i r="3">
      <x v="443"/>
    </i>
    <i t="default" r="2">
      <x v="103"/>
    </i>
    <i r="2">
      <x v="105"/>
      <x v="300"/>
    </i>
    <i t="default" r="2">
      <x v="105"/>
    </i>
    <i r="2">
      <x v="106"/>
      <x v="523"/>
    </i>
    <i t="default" r="2">
      <x v="106"/>
    </i>
    <i r="2">
      <x v="107"/>
      <x v="336"/>
    </i>
    <i t="default" r="2">
      <x v="107"/>
    </i>
    <i r="2">
      <x v="109"/>
      <x v="456"/>
    </i>
    <i r="3">
      <x v="457"/>
    </i>
    <i r="3">
      <x v="566"/>
    </i>
    <i t="default" r="2">
      <x v="109"/>
    </i>
    <i r="2">
      <x v="115"/>
      <x v="693"/>
    </i>
    <i t="default" r="2">
      <x v="115"/>
    </i>
    <i r="2">
      <x v="116"/>
      <x v="694"/>
    </i>
    <i t="default" r="2">
      <x v="116"/>
    </i>
    <i r="2">
      <x v="117"/>
      <x v="737"/>
    </i>
    <i t="default" r="2">
      <x v="117"/>
    </i>
    <i r="2">
      <x v="120"/>
      <x v="767"/>
    </i>
    <i r="3">
      <x v="768"/>
    </i>
    <i t="default" r="2">
      <x v="120"/>
    </i>
    <i t="default" r="1">
      <x v="27"/>
    </i>
    <i r="1">
      <x v="28"/>
      <x v="94"/>
      <x v="66"/>
    </i>
    <i r="3">
      <x v="76"/>
    </i>
    <i r="3">
      <x v="78"/>
    </i>
    <i r="3">
      <x v="153"/>
    </i>
    <i r="3">
      <x v="212"/>
    </i>
    <i r="3">
      <x v="213"/>
    </i>
    <i r="3">
      <x v="215"/>
    </i>
    <i r="3">
      <x v="218"/>
    </i>
    <i r="3">
      <x v="233"/>
    </i>
    <i r="3">
      <x v="739"/>
    </i>
    <i r="3">
      <x v="783"/>
    </i>
    <i r="3">
      <x v="784"/>
    </i>
    <i t="default" r="2">
      <x v="94"/>
    </i>
    <i r="2">
      <x v="97"/>
      <x v="74"/>
    </i>
    <i r="3">
      <x v="126"/>
    </i>
    <i r="3">
      <x v="386"/>
    </i>
    <i r="3">
      <x v="387"/>
    </i>
    <i r="3">
      <x v="388"/>
    </i>
    <i r="3">
      <x v="389"/>
    </i>
    <i r="3">
      <x v="453"/>
    </i>
    <i t="default" r="2">
      <x v="97"/>
    </i>
    <i r="2">
      <x v="98"/>
      <x v="127"/>
    </i>
    <i r="3">
      <x v="128"/>
    </i>
    <i r="3">
      <x v="214"/>
    </i>
    <i r="3">
      <x v="452"/>
    </i>
    <i r="3">
      <x v="484"/>
    </i>
    <i r="3">
      <x v="528"/>
    </i>
    <i r="3">
      <x v="531"/>
    </i>
    <i r="3">
      <x v="552"/>
    </i>
    <i r="3">
      <x v="692"/>
    </i>
    <i t="default" r="2">
      <x v="98"/>
    </i>
    <i r="2">
      <x v="102"/>
      <x v="219"/>
    </i>
    <i t="default" r="2">
      <x v="102"/>
    </i>
    <i r="2">
      <x v="108"/>
      <x v="454"/>
    </i>
    <i r="3">
      <x v="455"/>
    </i>
    <i r="3">
      <x v="465"/>
    </i>
    <i r="3">
      <x v="533"/>
    </i>
    <i r="3">
      <x v="749"/>
    </i>
    <i t="default" r="2">
      <x v="108"/>
    </i>
    <i r="2">
      <x v="111"/>
      <x v="536"/>
    </i>
    <i t="default" r="2">
      <x v="111"/>
    </i>
    <i r="2">
      <x v="112"/>
      <x v="556"/>
    </i>
    <i t="default" r="2">
      <x v="112"/>
    </i>
    <i r="2">
      <x v="113"/>
      <x v="565"/>
    </i>
    <i t="default" r="2">
      <x v="113"/>
    </i>
    <i r="2">
      <x v="114"/>
      <x v="617"/>
    </i>
    <i t="default" r="2">
      <x v="114"/>
    </i>
    <i r="2">
      <x v="121"/>
      <x v="785"/>
    </i>
    <i t="default" r="2">
      <x v="121"/>
    </i>
    <i t="default" r="1">
      <x v="28"/>
    </i>
    <i t="default">
      <x v="23"/>
    </i>
    <i>
      <x v="24"/>
      <x v="14"/>
      <x v="65"/>
      <x v="121"/>
    </i>
    <i r="3">
      <x v="125"/>
    </i>
    <i r="3">
      <x v="152"/>
    </i>
    <i r="3">
      <x v="209"/>
    </i>
    <i r="3">
      <x v="229"/>
    </i>
    <i r="3">
      <x v="280"/>
    </i>
    <i r="3">
      <x v="450"/>
    </i>
    <i r="3">
      <x v="451"/>
    </i>
    <i r="3">
      <x v="458"/>
    </i>
    <i r="3">
      <x v="529"/>
    </i>
    <i r="3">
      <x v="530"/>
    </i>
    <i r="3">
      <x v="532"/>
    </i>
    <i r="3">
      <x v="534"/>
    </i>
    <i r="3">
      <x v="535"/>
    </i>
    <i r="3">
      <x v="747"/>
    </i>
    <i r="3">
      <x v="748"/>
    </i>
    <i r="3">
      <x v="786"/>
    </i>
    <i t="default" r="2">
      <x v="65"/>
    </i>
    <i t="default" r="1">
      <x v="14"/>
    </i>
    <i t="default">
      <x v="24"/>
    </i>
    <i>
      <x v="25"/>
      <x v="32"/>
      <x v="64"/>
      <x v="170"/>
    </i>
    <i r="3">
      <x v="507"/>
    </i>
    <i r="3">
      <x v="524"/>
    </i>
    <i r="3">
      <x v="562"/>
    </i>
    <i r="3">
      <x v="798"/>
    </i>
    <i r="3">
      <x v="799"/>
    </i>
    <i t="default" r="2">
      <x v="64"/>
    </i>
    <i t="default" r="1">
      <x v="32"/>
    </i>
    <i t="default">
      <x v="25"/>
    </i>
    <i>
      <x v="26"/>
      <x v="16"/>
      <x v="67"/>
      <x v="185"/>
    </i>
    <i r="3">
      <x v="187"/>
    </i>
    <i r="3">
      <x v="188"/>
    </i>
    <i r="3">
      <x v="211"/>
    </i>
    <i r="3">
      <x v="232"/>
    </i>
    <i r="3">
      <x v="464"/>
    </i>
    <i r="3">
      <x v="597"/>
    </i>
    <i r="3">
      <x v="598"/>
    </i>
    <i r="3">
      <x v="599"/>
    </i>
    <i r="3">
      <x v="600"/>
    </i>
    <i r="3">
      <x v="620"/>
    </i>
    <i r="3">
      <x v="681"/>
    </i>
    <i r="3">
      <x v="742"/>
    </i>
    <i t="default" r="2">
      <x v="67"/>
    </i>
    <i r="2">
      <x v="110"/>
      <x v="505"/>
    </i>
    <i t="default" r="2">
      <x v="110"/>
    </i>
    <i t="default" r="1">
      <x v="16"/>
    </i>
    <i t="default">
      <x v="26"/>
    </i>
    <i t="grand">
      <x/>
    </i>
  </rowItems>
  <colFields count="1">
    <field x="-2"/>
  </colFields>
  <colItems count="4">
    <i>
      <x/>
    </i>
    <i i="1">
      <x v="1"/>
    </i>
    <i i="2">
      <x v="2"/>
    </i>
    <i i="3">
      <x v="3"/>
    </i>
  </colItems>
  <dataFields count="4">
    <dataField name="Sum of Dr. Final 21-22" fld="6" baseField="0" baseItem="0"/>
    <dataField name="Sum of Cr. Final 21-22" fld="9" baseField="0" baseItem="0"/>
    <dataField name="Sum of Dr. Final 2020-21" fld="12" baseField="0" baseItem="0"/>
    <dataField name="Sum of Cr. Final 2020-21" fld="15" baseField="0" baseItem="0"/>
  </dataFields>
  <formats count="14">
    <format dxfId="17">
      <pivotArea field="1" type="button" dataOnly="0" labelOnly="1" outline="0" axis="axisRow" fieldPosition="0"/>
    </format>
    <format dxfId="16">
      <pivotArea field="2" type="button" dataOnly="0" labelOnly="1" outline="0" axis="axisRow" fieldPosition="1"/>
    </format>
    <format dxfId="15">
      <pivotArea field="3" type="button" dataOnly="0" labelOnly="1" outline="0" axis="axisRow" fieldPosition="2"/>
    </format>
    <format dxfId="14">
      <pivotArea field="0" type="button" dataOnly="0" labelOnly="1" outline="0" axis="axisRow" fieldPosition="3"/>
    </format>
    <format dxfId="13">
      <pivotArea dataOnly="0" labelOnly="1" outline="0" fieldPosition="0">
        <references count="1">
          <reference field="4294967294" count="4">
            <x v="0"/>
            <x v="1"/>
            <x v="2"/>
            <x v="3"/>
          </reference>
        </references>
      </pivotArea>
    </format>
    <format dxfId="12">
      <pivotArea collapsedLevelsAreSubtotals="1" fieldPosition="0">
        <references count="5">
          <reference field="4294967294" count="1" selected="0">
            <x v="0"/>
          </reference>
          <reference field="0" count="1">
            <x v="121"/>
          </reference>
          <reference field="1" count="1" selected="0">
            <x v="24"/>
          </reference>
          <reference field="2" count="1" selected="0">
            <x v="14"/>
          </reference>
          <reference field="3" count="1" selected="0">
            <x v="65"/>
          </reference>
        </references>
      </pivotArea>
    </format>
    <format dxfId="11">
      <pivotArea collapsedLevelsAreSubtotals="1" fieldPosition="0">
        <references count="5">
          <reference field="4294967294" count="1" selected="0">
            <x v="0"/>
          </reference>
          <reference field="0" count="1">
            <x v="528"/>
          </reference>
          <reference field="1" count="1" selected="0">
            <x v="24"/>
          </reference>
          <reference field="2" count="1" selected="0">
            <x v="14"/>
          </reference>
          <reference field="3" count="1" selected="0">
            <x v="65"/>
          </reference>
        </references>
      </pivotArea>
    </format>
    <format dxfId="10">
      <pivotArea collapsedLevelsAreSubtotals="1" fieldPosition="0">
        <references count="5">
          <reference field="4294967294" count="1" selected="0">
            <x v="0"/>
          </reference>
          <reference field="0" count="1">
            <x v="125"/>
          </reference>
          <reference field="1" count="1" selected="0">
            <x v="24"/>
          </reference>
          <reference field="2" count="1" selected="0">
            <x v="14"/>
          </reference>
          <reference field="3" count="1" selected="0">
            <x v="65"/>
          </reference>
        </references>
      </pivotArea>
    </format>
    <format dxfId="9">
      <pivotArea collapsedLevelsAreSubtotals="1" fieldPosition="0">
        <references count="5">
          <reference field="4294967294" count="1" selected="0">
            <x v="0"/>
          </reference>
          <reference field="0" count="1">
            <x v="152"/>
          </reference>
          <reference field="1" count="1" selected="0">
            <x v="24"/>
          </reference>
          <reference field="2" count="1" selected="0">
            <x v="14"/>
          </reference>
          <reference field="3" count="1" selected="0">
            <x v="65"/>
          </reference>
        </references>
      </pivotArea>
    </format>
    <format dxfId="8">
      <pivotArea collapsedLevelsAreSubtotals="1" fieldPosition="0">
        <references count="5">
          <reference field="4294967294" count="1" selected="0">
            <x v="0"/>
          </reference>
          <reference field="0" count="1">
            <x v="229"/>
          </reference>
          <reference field="1" count="1" selected="0">
            <x v="24"/>
          </reference>
          <reference field="2" count="1" selected="0">
            <x v="14"/>
          </reference>
          <reference field="3" count="1" selected="0">
            <x v="65"/>
          </reference>
        </references>
      </pivotArea>
    </format>
    <format dxfId="7">
      <pivotArea collapsedLevelsAreSubtotals="1" fieldPosition="0">
        <references count="5">
          <reference field="4294967294" count="1" selected="0">
            <x v="0"/>
          </reference>
          <reference field="0" count="1">
            <x v="280"/>
          </reference>
          <reference field="1" count="1" selected="0">
            <x v="24"/>
          </reference>
          <reference field="2" count="1" selected="0">
            <x v="14"/>
          </reference>
          <reference field="3" count="1" selected="0">
            <x v="65"/>
          </reference>
        </references>
      </pivotArea>
    </format>
    <format dxfId="6">
      <pivotArea collapsedLevelsAreSubtotals="1" fieldPosition="0">
        <references count="5">
          <reference field="4294967294" count="1" selected="0">
            <x v="0"/>
          </reference>
          <reference field="0" count="1">
            <x v="458"/>
          </reference>
          <reference field="1" count="1" selected="0">
            <x v="24"/>
          </reference>
          <reference field="2" count="1" selected="0">
            <x v="14"/>
          </reference>
          <reference field="3" count="1" selected="0">
            <x v="65"/>
          </reference>
        </references>
      </pivotArea>
    </format>
    <format dxfId="5">
      <pivotArea collapsedLevelsAreSubtotals="1" fieldPosition="0">
        <references count="5">
          <reference field="4294967294" count="1" selected="0">
            <x v="0"/>
          </reference>
          <reference field="0" count="2">
            <x v="455"/>
            <x v="465"/>
          </reference>
          <reference field="1" count="1" selected="0">
            <x v="23"/>
          </reference>
          <reference field="2" count="1" selected="0">
            <x v="28"/>
          </reference>
          <reference field="3" count="1" selected="0">
            <x v="108"/>
          </reference>
        </references>
      </pivotArea>
    </format>
    <format dxfId="4">
      <pivotArea collapsedLevelsAreSubtotals="1" fieldPosition="0">
        <references count="5">
          <reference field="4294967294" count="1" selected="0">
            <x v="0"/>
          </reference>
          <reference field="0" count="1">
            <x v="749"/>
          </reference>
          <reference field="1" count="1" selected="0">
            <x v="23"/>
          </reference>
          <reference field="2" count="1" selected="0">
            <x v="28"/>
          </reference>
          <reference field="3" count="1" selected="0">
            <x v="10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able2" displayName="Table2" ref="C924:I943" totalsRowShown="0" headerRowDxfId="38" dataDxfId="36" headerRowBorderDxfId="37" tableBorderDxfId="35">
  <tableColumns count="7">
    <tableColumn id="1" name="Particulars" dataDxfId="34"/>
    <tableColumn id="2" name="Numerator" dataDxfId="33"/>
    <tableColumn id="3" name="Denominator" dataDxfId="32"/>
    <tableColumn id="4" name="31.3.2022" dataDxfId="31"/>
    <tableColumn id="5" name="31.3.2021" dataDxfId="30"/>
    <tableColumn id="6" name="Variance" dataDxfId="29" dataCellStyle="Percent"/>
    <tableColumn id="7" name="Reason for variance of above 25%" dataDxfId="28" dataCellStyle="Comma"/>
  </tableColumns>
  <tableStyleInfo showFirstColumn="0" showLastColumn="0" showRowStripes="1" showColumnStripes="0"/>
</table>
</file>

<file path=xl/tables/table2.xml><?xml version="1.0" encoding="utf-8"?>
<table xmlns="http://schemas.openxmlformats.org/spreadsheetml/2006/main" id="1" name="Table1" displayName="Table1" ref="B4:H25" totalsRowShown="0" headerRowDxfId="26" dataDxfId="25">
  <tableColumns count="7">
    <tableColumn id="1" name="Particulars" dataDxfId="24"/>
    <tableColumn id="2" name="Numerator" dataDxfId="23"/>
    <tableColumn id="3" name="Denominator" dataDxfId="22"/>
    <tableColumn id="4" name="31.3.2022" dataDxfId="21"/>
    <tableColumn id="5" name="31.3.2021" dataDxfId="20"/>
    <tableColumn id="6" name="Variance" dataDxfId="19" dataCellStyle="Percent"/>
    <tableColumn id="7" name="Reason for variance of above 25%" dataDxfId="18"/>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7"/>
  <sheetViews>
    <sheetView view="pageBreakPreview" zoomScale="60" zoomScaleNormal="100" workbookViewId="0">
      <selection activeCell="A25" sqref="A25:G25"/>
    </sheetView>
  </sheetViews>
  <sheetFormatPr defaultRowHeight="15"/>
  <cols>
    <col min="1" max="1" width="5.7109375" style="1810" customWidth="1"/>
    <col min="2" max="2" width="46.7109375" customWidth="1"/>
    <col min="3" max="3" width="14.85546875" bestFit="1" customWidth="1"/>
    <col min="4" max="4" width="15.42578125" bestFit="1" customWidth="1"/>
    <col min="5" max="5" width="14.42578125" bestFit="1" customWidth="1"/>
    <col min="6" max="6" width="14.85546875" bestFit="1" customWidth="1"/>
    <col min="7" max="7" width="14.42578125" bestFit="1" customWidth="1"/>
  </cols>
  <sheetData>
    <row r="3" spans="1:7">
      <c r="A3" s="2093" t="s">
        <v>1949</v>
      </c>
      <c r="B3" s="2091" t="s">
        <v>9</v>
      </c>
      <c r="C3" s="2092" t="s">
        <v>3397</v>
      </c>
      <c r="D3" s="2092"/>
      <c r="E3" s="2092"/>
      <c r="F3" s="2092" t="s">
        <v>1125</v>
      </c>
      <c r="G3" s="2092"/>
    </row>
    <row r="4" spans="1:7">
      <c r="A4" s="2093"/>
      <c r="B4" s="2091"/>
      <c r="C4" s="1806" t="s">
        <v>3399</v>
      </c>
      <c r="D4" s="1806" t="s">
        <v>3398</v>
      </c>
      <c r="E4" s="1806" t="s">
        <v>3399</v>
      </c>
      <c r="F4" s="1806" t="s">
        <v>3399</v>
      </c>
      <c r="G4" s="1806" t="s">
        <v>3399</v>
      </c>
    </row>
    <row r="5" spans="1:7">
      <c r="A5" s="2093"/>
      <c r="B5" s="2091"/>
      <c r="C5" s="1723" t="s">
        <v>1850</v>
      </c>
      <c r="D5" s="1723" t="s">
        <v>3446</v>
      </c>
      <c r="E5" s="1723" t="s">
        <v>3447</v>
      </c>
      <c r="F5" s="1723" t="s">
        <v>1850</v>
      </c>
      <c r="G5" s="1723" t="s">
        <v>3447</v>
      </c>
    </row>
    <row r="6" spans="1:7" s="244" customFormat="1" ht="45.75" customHeight="1">
      <c r="A6" s="1811">
        <v>1</v>
      </c>
      <c r="B6" s="240" t="s">
        <v>3460</v>
      </c>
      <c r="C6" s="241">
        <f>+'Result 1 P&amp;L'!B12</f>
        <v>2988.0472936000006</v>
      </c>
      <c r="D6" s="241">
        <f>+'Result 1 P&amp;L'!C12</f>
        <v>2820.8979999999997</v>
      </c>
      <c r="E6" s="241">
        <f>+'Result 1 P&amp;L'!D12</f>
        <v>2875.34</v>
      </c>
      <c r="F6" s="241">
        <f>+'Result 1 P&amp;L'!E12</f>
        <v>11254.1272936</v>
      </c>
      <c r="G6" s="241">
        <f>+'Result 1 P&amp;L'!F12</f>
        <v>8209.4884220000004</v>
      </c>
    </row>
    <row r="7" spans="1:7" s="244" customFormat="1" ht="45.75" customHeight="1">
      <c r="A7" s="1811">
        <v>2</v>
      </c>
      <c r="B7" s="243" t="s">
        <v>3461</v>
      </c>
      <c r="C7" s="241">
        <f>+'Result 1 P&amp;L'!B21</f>
        <v>-81.242732392147445</v>
      </c>
      <c r="D7" s="241">
        <f>+'Result 1 P&amp;L'!C21</f>
        <v>-54.98200000000088</v>
      </c>
      <c r="E7" s="241">
        <f>+'Result 1 P&amp;L'!D21</f>
        <v>136.5</v>
      </c>
      <c r="F7" s="241">
        <f>+'Result 1 P&amp;L'!E21</f>
        <v>30.857267607852918</v>
      </c>
      <c r="G7" s="241">
        <f>+'Result 1 P&amp;L'!F21</f>
        <v>482.64536077889443</v>
      </c>
    </row>
    <row r="8" spans="1:7" s="244" customFormat="1" ht="45.75" customHeight="1">
      <c r="A8" s="1811">
        <v>3</v>
      </c>
      <c r="B8" s="243" t="s">
        <v>3462</v>
      </c>
      <c r="C8" s="241">
        <f>+'Result 1 P&amp;L'!B25</f>
        <v>-81.242732392147445</v>
      </c>
      <c r="D8" s="241">
        <f>+'Result 1 P&amp;L'!C25</f>
        <v>-54.98200000000088</v>
      </c>
      <c r="E8" s="241">
        <f>+'Result 1 P&amp;L'!D25</f>
        <v>136.5</v>
      </c>
      <c r="F8" s="241">
        <f>+'Result 1 P&amp;L'!E25</f>
        <v>30.857267607852918</v>
      </c>
      <c r="G8" s="241">
        <f>+'Result 1 P&amp;L'!F25</f>
        <v>482.64536077889443</v>
      </c>
    </row>
    <row r="9" spans="1:7" s="244" customFormat="1" ht="45.75" customHeight="1">
      <c r="A9" s="1811">
        <v>4</v>
      </c>
      <c r="B9" s="243" t="s">
        <v>3463</v>
      </c>
      <c r="C9" s="241">
        <f>+'Result 1 P&amp;L'!B32</f>
        <v>-45.817110094537</v>
      </c>
      <c r="D9" s="241">
        <f>+'Result 1 P&amp;L'!C32</f>
        <v>-41.242000000000878</v>
      </c>
      <c r="E9" s="241">
        <f>+'Result 1 P&amp;L'!D32</f>
        <v>83.121999999999986</v>
      </c>
      <c r="F9" s="241">
        <f>+'Result 1 P&amp;L'!E32</f>
        <v>38.252889905463363</v>
      </c>
      <c r="G9" s="241">
        <f>+'Result 1 P&amp;L'!F32</f>
        <v>342.73275174207095</v>
      </c>
    </row>
    <row r="10" spans="1:7" s="244" customFormat="1" ht="45.75" customHeight="1">
      <c r="A10" s="1811">
        <v>5</v>
      </c>
      <c r="B10" s="243" t="s">
        <v>3464</v>
      </c>
      <c r="C10" s="241">
        <f>+'Result 1 P&amp;L'!B38</f>
        <v>-34.776360094536997</v>
      </c>
      <c r="D10" s="241">
        <f>+'Result 1 P&amp;L'!C38</f>
        <v>-41.242000000000878</v>
      </c>
      <c r="E10" s="241">
        <f>+'Result 1 P&amp;L'!D38</f>
        <v>94.421999999999983</v>
      </c>
      <c r="F10" s="241">
        <f>+'Result 1 P&amp;L'!E38</f>
        <v>49.293639905463365</v>
      </c>
      <c r="G10" s="241">
        <f>+'Result 1 P&amp;L'!F38</f>
        <v>354.02997174207093</v>
      </c>
    </row>
    <row r="11" spans="1:7" s="244" customFormat="1" ht="45.75" customHeight="1">
      <c r="A11" s="1811">
        <v>6</v>
      </c>
      <c r="B11" s="243" t="s">
        <v>3465</v>
      </c>
      <c r="C11" s="240">
        <f>+'Result 1 P&amp;L'!B39</f>
        <v>269.23</v>
      </c>
      <c r="D11" s="240">
        <f>+'Result 1 P&amp;L'!C39</f>
        <v>269.23</v>
      </c>
      <c r="E11" s="240">
        <f>+'Result 1 P&amp;L'!D39</f>
        <v>269.23</v>
      </c>
      <c r="F11" s="240">
        <f>+'Result 1 P&amp;L'!E39</f>
        <v>269.23</v>
      </c>
      <c r="G11" s="240">
        <f>+'Result 1 P&amp;L'!F39</f>
        <v>269.23</v>
      </c>
    </row>
    <row r="12" spans="1:7" s="244" customFormat="1" ht="45.75" customHeight="1">
      <c r="A12" s="1811">
        <v>7</v>
      </c>
      <c r="B12" s="243" t="s">
        <v>3466</v>
      </c>
      <c r="C12" s="240"/>
      <c r="D12" s="240"/>
      <c r="E12" s="240"/>
      <c r="F12" s="240"/>
      <c r="G12" s="240"/>
    </row>
    <row r="13" spans="1:7" s="244" customFormat="1" ht="45.75" customHeight="1">
      <c r="A13" s="1811" t="s">
        <v>2222</v>
      </c>
      <c r="B13" s="243" t="s">
        <v>3469</v>
      </c>
      <c r="C13" s="241">
        <f>+'Result 1 P&amp;L'!B42</f>
        <v>-1.7017832371777661</v>
      </c>
      <c r="D13" s="241">
        <f>+'Result 1 P&amp;L'!C42</f>
        <v>-1.5318500910002928</v>
      </c>
      <c r="E13" s="241">
        <f>+'Result 1 P&amp;L'!D42</f>
        <v>3.0873973925639779</v>
      </c>
      <c r="F13" s="241">
        <f>+'Result 1 P&amp;L'!E42</f>
        <v>1.4208256845620237</v>
      </c>
      <c r="G13" s="241">
        <f>+'Result 1 P&amp;L'!F42</f>
        <v>12.730110007876942</v>
      </c>
    </row>
    <row r="14" spans="1:7" s="244" customFormat="1" ht="45.75" customHeight="1">
      <c r="A14" s="1811" t="s">
        <v>2223</v>
      </c>
      <c r="B14" s="243" t="s">
        <v>3468</v>
      </c>
      <c r="C14" s="241">
        <f>+'Result 1 P&amp;L'!B43</f>
        <v>-1.7017832371777661</v>
      </c>
      <c r="D14" s="241">
        <f>+'Result 1 P&amp;L'!C43</f>
        <v>-1.5318500910002928</v>
      </c>
      <c r="E14" s="241">
        <f>+'Result 1 P&amp;L'!D43</f>
        <v>3.0873973925639779</v>
      </c>
      <c r="F14" s="241">
        <f>+'Result 1 P&amp;L'!E43</f>
        <v>1.4208256845620237</v>
      </c>
      <c r="G14" s="241">
        <f>+'Result 1 P&amp;L'!F43</f>
        <v>12.730110007876942</v>
      </c>
    </row>
    <row r="16" spans="1:7" ht="15.75">
      <c r="A16" s="1744" t="s">
        <v>3432</v>
      </c>
      <c r="B16" s="230"/>
      <c r="C16" s="230"/>
      <c r="D16" s="230"/>
      <c r="E16" s="230"/>
      <c r="F16" s="230"/>
    </row>
    <row r="17" spans="1:7" ht="36" customHeight="1">
      <c r="A17" s="2090" t="s">
        <v>3451</v>
      </c>
      <c r="B17" s="2090"/>
      <c r="C17" s="2090"/>
      <c r="D17" s="2090"/>
      <c r="E17" s="2090"/>
      <c r="F17" s="2090"/>
      <c r="G17" s="2090"/>
    </row>
    <row r="18" spans="1:7">
      <c r="A18" s="14"/>
      <c r="B18" s="14"/>
      <c r="C18" s="14"/>
      <c r="D18" s="14"/>
      <c r="E18" s="14"/>
      <c r="F18" s="14"/>
    </row>
    <row r="19" spans="1:7" ht="31.5" customHeight="1">
      <c r="A19" s="2090" t="s">
        <v>3455</v>
      </c>
      <c r="B19" s="2090"/>
      <c r="C19" s="2090"/>
      <c r="D19" s="2090"/>
      <c r="E19" s="2090"/>
      <c r="F19" s="2090"/>
      <c r="G19" s="2090"/>
    </row>
    <row r="20" spans="1:7">
      <c r="A20" s="14"/>
      <c r="B20" s="14"/>
      <c r="C20" s="14"/>
      <c r="D20" s="14"/>
      <c r="E20" s="14"/>
      <c r="F20" s="14"/>
    </row>
    <row r="21" spans="1:7" ht="31.5" customHeight="1">
      <c r="A21" s="2090" t="s">
        <v>3452</v>
      </c>
      <c r="B21" s="2090"/>
      <c r="C21" s="2090"/>
      <c r="D21" s="2090"/>
      <c r="E21" s="2090"/>
      <c r="F21" s="2090"/>
      <c r="G21" s="2090"/>
    </row>
    <row r="22" spans="1:7">
      <c r="A22" s="2090"/>
      <c r="B22" s="2090"/>
      <c r="C22" s="2090"/>
      <c r="D22" s="2090"/>
      <c r="E22" s="2090"/>
      <c r="F22" s="2090"/>
      <c r="G22" s="2090"/>
    </row>
    <row r="23" spans="1:7" ht="19.5" customHeight="1">
      <c r="A23" s="2090" t="s">
        <v>3453</v>
      </c>
      <c r="B23" s="2090"/>
      <c r="C23" s="2090"/>
      <c r="D23" s="2090"/>
      <c r="E23" s="2090"/>
      <c r="F23" s="2090"/>
      <c r="G23" s="2090"/>
    </row>
    <row r="24" spans="1:7">
      <c r="A24" s="2090"/>
      <c r="B24" s="2090"/>
      <c r="C24" s="2090"/>
      <c r="D24" s="2090"/>
      <c r="E24" s="2090"/>
      <c r="F24" s="2090"/>
      <c r="G24" s="2090"/>
    </row>
    <row r="25" spans="1:7" ht="46.5" customHeight="1">
      <c r="A25" s="2090" t="s">
        <v>3454</v>
      </c>
      <c r="B25" s="2090"/>
      <c r="C25" s="2090"/>
      <c r="D25" s="2090"/>
      <c r="E25" s="2090"/>
      <c r="F25" s="2090"/>
      <c r="G25" s="2090"/>
    </row>
    <row r="26" spans="1:7">
      <c r="A26" s="2090"/>
      <c r="B26" s="2090"/>
      <c r="C26" s="2090"/>
      <c r="D26" s="2090"/>
      <c r="E26" s="2090"/>
      <c r="F26" s="2090"/>
      <c r="G26" s="2090"/>
    </row>
    <row r="27" spans="1:7">
      <c r="A27" s="2090" t="s">
        <v>3456</v>
      </c>
      <c r="B27" s="2090"/>
      <c r="C27" s="2090"/>
      <c r="D27" s="2090"/>
      <c r="E27" s="2090"/>
      <c r="F27" s="2090"/>
      <c r="G27" s="2090"/>
    </row>
  </sheetData>
  <mergeCells count="13">
    <mergeCell ref="B3:B5"/>
    <mergeCell ref="C3:E3"/>
    <mergeCell ref="F3:G3"/>
    <mergeCell ref="A3:A5"/>
    <mergeCell ref="A25:G25"/>
    <mergeCell ref="A26:G26"/>
    <mergeCell ref="A27:G27"/>
    <mergeCell ref="A17:G17"/>
    <mergeCell ref="A19:G19"/>
    <mergeCell ref="A21:G21"/>
    <mergeCell ref="A22:G22"/>
    <mergeCell ref="A23:G23"/>
    <mergeCell ref="A24:G24"/>
  </mergeCells>
  <pageMargins left="0.7" right="0.7" top="0.75" bottom="0.75"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view="pageBreakPreview" topLeftCell="A22" zoomScale="60" zoomScaleNormal="86" workbookViewId="0">
      <selection activeCell="A45" sqref="A45:F57"/>
    </sheetView>
  </sheetViews>
  <sheetFormatPr defaultColWidth="8.85546875" defaultRowHeight="15"/>
  <cols>
    <col min="1" max="1" width="80.42578125" style="230" customWidth="1"/>
    <col min="2" max="4" width="15.42578125" style="230" bestFit="1" customWidth="1"/>
    <col min="5" max="6" width="15.42578125" style="230" customWidth="1"/>
    <col min="7" max="7" width="2.85546875" style="230" customWidth="1"/>
    <col min="8" max="8" width="8.85546875" style="230"/>
    <col min="9" max="10" width="10.5703125" style="230" bestFit="1" customWidth="1"/>
    <col min="11" max="16384" width="8.85546875" style="230"/>
  </cols>
  <sheetData>
    <row r="1" spans="1:11">
      <c r="A1" s="230">
        <v>100000</v>
      </c>
    </row>
    <row r="2" spans="1:11">
      <c r="A2" s="230" t="s">
        <v>3395</v>
      </c>
    </row>
    <row r="3" spans="1:11" ht="21">
      <c r="A3" s="2097" t="s">
        <v>3443</v>
      </c>
      <c r="B3" s="2098"/>
      <c r="C3" s="2098"/>
      <c r="D3" s="2098"/>
      <c r="E3" s="2098"/>
      <c r="F3" s="2098"/>
      <c r="G3" s="2098"/>
      <c r="H3" s="1720"/>
    </row>
    <row r="5" spans="1:11" ht="15.75">
      <c r="F5" s="1721" t="s">
        <v>3396</v>
      </c>
      <c r="G5" s="1722"/>
      <c r="H5" s="1722"/>
    </row>
    <row r="6" spans="1:11">
      <c r="A6" s="2099" t="s">
        <v>9</v>
      </c>
      <c r="B6" s="2092" t="s">
        <v>3397</v>
      </c>
      <c r="C6" s="2092"/>
      <c r="D6" s="2092"/>
      <c r="E6" s="2102" t="s">
        <v>1125</v>
      </c>
      <c r="F6" s="2103"/>
    </row>
    <row r="7" spans="1:11">
      <c r="A7" s="2100"/>
      <c r="B7" s="1775" t="s">
        <v>3398</v>
      </c>
      <c r="C7" s="1775" t="s">
        <v>3398</v>
      </c>
      <c r="D7" s="1775" t="s">
        <v>3398</v>
      </c>
      <c r="E7" s="1775" t="s">
        <v>3399</v>
      </c>
      <c r="F7" s="1775" t="s">
        <v>3399</v>
      </c>
    </row>
    <row r="8" spans="1:11">
      <c r="A8" s="2101"/>
      <c r="B8" s="1723" t="s">
        <v>1850</v>
      </c>
      <c r="C8" s="1723" t="s">
        <v>3446</v>
      </c>
      <c r="D8" s="1723" t="s">
        <v>3447</v>
      </c>
      <c r="E8" s="1723" t="s">
        <v>1850</v>
      </c>
      <c r="F8" s="1723" t="s">
        <v>3447</v>
      </c>
    </row>
    <row r="9" spans="1:11">
      <c r="A9" s="1724" t="s">
        <v>3400</v>
      </c>
      <c r="B9" s="1725"/>
      <c r="C9" s="1725"/>
      <c r="D9" s="1725"/>
      <c r="E9" s="1725"/>
      <c r="F9" s="1725"/>
    </row>
    <row r="10" spans="1:11">
      <c r="A10" s="1726" t="s">
        <v>3401</v>
      </c>
      <c r="B10" s="1727">
        <f>+E10-8252.81</f>
        <v>2987.4051075000007</v>
      </c>
      <c r="C10" s="1727">
        <v>2820.1239999999998</v>
      </c>
      <c r="D10" s="1727">
        <v>2872.21</v>
      </c>
      <c r="E10" s="1727">
        <f>+BSPL!H78/$A$1</f>
        <v>11240.2151075</v>
      </c>
      <c r="F10" s="1727">
        <f>+BSPL!I78/$A$1</f>
        <v>8197.5904119999996</v>
      </c>
    </row>
    <row r="11" spans="1:11">
      <c r="A11" s="1726" t="s">
        <v>3402</v>
      </c>
      <c r="B11" s="1727">
        <f>+E11-13.27</f>
        <v>0.64218609999999998</v>
      </c>
      <c r="C11" s="1727">
        <v>0.77400000000000002</v>
      </c>
      <c r="D11" s="1727">
        <v>3.13</v>
      </c>
      <c r="E11" s="1727">
        <f>+BSPL!H79/$A$1</f>
        <v>13.9121861</v>
      </c>
      <c r="F11" s="1727">
        <f>+BSPL!I79/$A$1</f>
        <v>11.898009999999999</v>
      </c>
    </row>
    <row r="12" spans="1:11">
      <c r="A12" s="1728" t="s">
        <v>3403</v>
      </c>
      <c r="B12" s="927">
        <f>SUM(B10:B11)</f>
        <v>2988.0472936000006</v>
      </c>
      <c r="C12" s="927">
        <f>SUM(C10:C11)</f>
        <v>2820.8979999999997</v>
      </c>
      <c r="D12" s="927">
        <f>SUM(D10:D11)</f>
        <v>2875.34</v>
      </c>
      <c r="E12" s="927">
        <f t="shared" ref="E12:F12" si="0">SUM(E10:E11)</f>
        <v>11254.1272936</v>
      </c>
      <c r="F12" s="927">
        <f t="shared" si="0"/>
        <v>8209.4884220000004</v>
      </c>
      <c r="I12" s="249">
        <f>+E12-8266.08</f>
        <v>2988.0472936000006</v>
      </c>
    </row>
    <row r="13" spans="1:11">
      <c r="A13" s="1729" t="s">
        <v>3404</v>
      </c>
      <c r="B13" s="1727"/>
      <c r="C13" s="1727"/>
      <c r="D13" s="1727"/>
      <c r="E13" s="1727"/>
      <c r="F13" s="1727"/>
    </row>
    <row r="14" spans="1:11" ht="18.75">
      <c r="A14" s="1726" t="s">
        <v>3405</v>
      </c>
      <c r="B14" s="1727">
        <f>+E14-6306.79</f>
        <v>2362.6316029999989</v>
      </c>
      <c r="C14" s="1727">
        <v>2319.11</v>
      </c>
      <c r="D14" s="1727">
        <v>2153.54</v>
      </c>
      <c r="E14" s="1727">
        <f>+BSPL!H82/$A$1</f>
        <v>8669.4216029999989</v>
      </c>
      <c r="F14" s="1727">
        <f>+BSPL!I82/$A$1</f>
        <v>5529.1969688999998</v>
      </c>
      <c r="J14" s="1409" t="s">
        <v>1131</v>
      </c>
      <c r="K14" s="1778"/>
    </row>
    <row r="15" spans="1:11" ht="18.75">
      <c r="A15" s="1726" t="s">
        <v>3406</v>
      </c>
      <c r="B15" s="1727">
        <f>+E15-5.87</f>
        <v>-15.754802821106537</v>
      </c>
      <c r="C15" s="1727">
        <v>-50.5</v>
      </c>
      <c r="D15" s="1727">
        <v>-116.3</v>
      </c>
      <c r="E15" s="1727">
        <f>+BSPL!H84/$A$1</f>
        <v>-9.884802821106538</v>
      </c>
      <c r="F15" s="1727">
        <f>+BSPL!I84/$A$1</f>
        <v>-82.482597178893457</v>
      </c>
      <c r="J15" s="1409" t="s">
        <v>1133</v>
      </c>
      <c r="K15" s="1778"/>
    </row>
    <row r="16" spans="1:11" ht="18.75">
      <c r="A16" s="1726" t="s">
        <v>3407</v>
      </c>
      <c r="B16" s="1727">
        <f>+E16-183.47</f>
        <v>61.869349999999997</v>
      </c>
      <c r="C16" s="1727">
        <v>60.23</v>
      </c>
      <c r="D16" s="1727">
        <v>58.73</v>
      </c>
      <c r="E16" s="1727">
        <f>+BSPL!H85/$A$1</f>
        <v>245.33935</v>
      </c>
      <c r="F16" s="1727">
        <f>+BSPL!I85/$A$1</f>
        <v>216.41049000000001</v>
      </c>
      <c r="J16" s="1409" t="s">
        <v>1134</v>
      </c>
      <c r="K16" s="1778"/>
    </row>
    <row r="17" spans="1:11" ht="18.75">
      <c r="A17" s="1726" t="s">
        <v>3408</v>
      </c>
      <c r="B17" s="1727">
        <f>+E17-57.73</f>
        <v>18.299531500000008</v>
      </c>
      <c r="C17" s="1727">
        <v>20.149999999999999</v>
      </c>
      <c r="D17" s="1727">
        <v>17.73</v>
      </c>
      <c r="E17" s="1727">
        <f>+BSPL!H86/$A$1</f>
        <v>76.029531500000004</v>
      </c>
      <c r="F17" s="1727">
        <f>+BSPL!I86/$A$1</f>
        <v>63.721849500000005</v>
      </c>
      <c r="J17" s="1409" t="s">
        <v>1135</v>
      </c>
      <c r="K17" s="1778"/>
    </row>
    <row r="18" spans="1:11" ht="18.75">
      <c r="A18" s="1726" t="s">
        <v>3409</v>
      </c>
      <c r="B18" s="1727">
        <f>+E18-132.96</f>
        <v>46.617484913255652</v>
      </c>
      <c r="C18" s="1727">
        <v>44.32</v>
      </c>
      <c r="D18" s="1727">
        <v>55.86</v>
      </c>
      <c r="E18" s="1727">
        <f>+BSPL!H87/$A$1</f>
        <v>179.57748491325566</v>
      </c>
      <c r="F18" s="1727">
        <f>+BSPL!I87/$A$1</f>
        <v>177.27982</v>
      </c>
      <c r="J18" s="2094" t="s">
        <v>1136</v>
      </c>
      <c r="K18" s="2095"/>
    </row>
    <row r="19" spans="1:11" ht="18.75">
      <c r="A19" s="1726" t="s">
        <v>3410</v>
      </c>
      <c r="B19" s="1727">
        <f>+E19-1467.16</f>
        <v>595.62685940000006</v>
      </c>
      <c r="C19" s="1727">
        <v>482.57</v>
      </c>
      <c r="D19" s="1727">
        <v>569.28</v>
      </c>
      <c r="E19" s="1727">
        <f>+BSPL!H88/$A$1</f>
        <v>2062.7868594000001</v>
      </c>
      <c r="F19" s="1727">
        <f>+BSPL!I88/$A$1</f>
        <v>1822.7165299999997</v>
      </c>
      <c r="J19" s="1409" t="s">
        <v>1137</v>
      </c>
      <c r="K19" s="1778"/>
    </row>
    <row r="20" spans="1:11">
      <c r="A20" s="1728" t="s">
        <v>3411</v>
      </c>
      <c r="B20" s="927">
        <f>SUM(B14:B19)</f>
        <v>3069.290025992148</v>
      </c>
      <c r="C20" s="927">
        <f>SUM(C14:C19)</f>
        <v>2875.8800000000006</v>
      </c>
      <c r="D20" s="927">
        <f>SUM(D14:D19)</f>
        <v>2738.84</v>
      </c>
      <c r="E20" s="927">
        <f>SUM(E14:E19)</f>
        <v>11223.270025992148</v>
      </c>
      <c r="F20" s="927">
        <f>SUM(F14:F19)</f>
        <v>7726.8430612211059</v>
      </c>
      <c r="J20" s="1523">
        <f>+E20-B20</f>
        <v>8153.98</v>
      </c>
    </row>
    <row r="21" spans="1:11" ht="33.75" customHeight="1">
      <c r="A21" s="1730" t="s">
        <v>3412</v>
      </c>
      <c r="B21" s="927">
        <f>+B12-B20</f>
        <v>-81.242732392147445</v>
      </c>
      <c r="C21" s="927">
        <f>+C12-C20</f>
        <v>-54.98200000000088</v>
      </c>
      <c r="D21" s="927">
        <f>+D12-D20</f>
        <v>136.5</v>
      </c>
      <c r="E21" s="927">
        <f>+E12-E20</f>
        <v>30.857267607852918</v>
      </c>
      <c r="F21" s="927">
        <f>+F12-F20</f>
        <v>482.64536077889443</v>
      </c>
    </row>
    <row r="22" spans="1:11">
      <c r="A22" s="1731" t="s">
        <v>3413</v>
      </c>
      <c r="B22" s="1732">
        <v>0</v>
      </c>
      <c r="C22" s="1732">
        <v>0</v>
      </c>
      <c r="D22" s="1732">
        <v>0</v>
      </c>
      <c r="E22" s="927">
        <f>+[64]BSPL!F97/'Result 1 P&amp;L'!$A$1</f>
        <v>0</v>
      </c>
      <c r="F22" s="1732">
        <v>0</v>
      </c>
    </row>
    <row r="23" spans="1:11">
      <c r="A23" s="227" t="s">
        <v>3414</v>
      </c>
      <c r="B23" s="1733">
        <f>+B21+B22</f>
        <v>-81.242732392147445</v>
      </c>
      <c r="C23" s="1733">
        <f t="shared" ref="C23:D23" si="1">+C21+C22</f>
        <v>-54.98200000000088</v>
      </c>
      <c r="D23" s="1733">
        <f t="shared" si="1"/>
        <v>136.5</v>
      </c>
      <c r="E23" s="1733">
        <f>+E21+E22</f>
        <v>30.857267607852918</v>
      </c>
      <c r="F23" s="1733">
        <f>+F21+F22</f>
        <v>482.64536077889443</v>
      </c>
    </row>
    <row r="24" spans="1:11">
      <c r="A24" s="426" t="s">
        <v>3415</v>
      </c>
      <c r="B24" s="1732"/>
      <c r="C24" s="1732"/>
      <c r="D24" s="1732"/>
      <c r="E24" s="1732"/>
      <c r="F24" s="1732"/>
    </row>
    <row r="25" spans="1:11">
      <c r="A25" s="1728" t="s">
        <v>3416</v>
      </c>
      <c r="B25" s="927">
        <f>B12-B20</f>
        <v>-81.242732392147445</v>
      </c>
      <c r="C25" s="927">
        <f>C12-C20</f>
        <v>-54.98200000000088</v>
      </c>
      <c r="D25" s="927">
        <f>D12-D20</f>
        <v>136.5</v>
      </c>
      <c r="E25" s="927">
        <f>E12-E20</f>
        <v>30.857267607852918</v>
      </c>
      <c r="F25" s="927">
        <f>F12-F20</f>
        <v>482.64536077889443</v>
      </c>
    </row>
    <row r="26" spans="1:11">
      <c r="A26" s="1731" t="s">
        <v>3417</v>
      </c>
      <c r="B26" s="1727"/>
      <c r="C26" s="1727"/>
      <c r="D26" s="1727"/>
      <c r="E26" s="1727"/>
      <c r="F26" s="1727"/>
    </row>
    <row r="27" spans="1:11">
      <c r="A27" s="1726" t="s">
        <v>3418</v>
      </c>
      <c r="B27" s="1727">
        <f>+E27-28.03</f>
        <v>-2.1857101368779617</v>
      </c>
      <c r="C27" s="1727">
        <v>-13.74</v>
      </c>
      <c r="D27" s="1727">
        <v>44.274000000000001</v>
      </c>
      <c r="E27" s="1727">
        <f>+BSPL!H95/$A$1</f>
        <v>25.844289863122039</v>
      </c>
      <c r="F27" s="1727">
        <f>+BSPL!I95/$A$1</f>
        <v>130.811272400002</v>
      </c>
      <c r="J27" s="1523">
        <f>+E27-B27</f>
        <v>28.03</v>
      </c>
    </row>
    <row r="28" spans="1:11">
      <c r="A28" s="1726" t="s">
        <v>3419</v>
      </c>
      <c r="B28" s="1727">
        <v>0</v>
      </c>
      <c r="C28" s="1727">
        <f>+[64]BSPL!G102/'Result 1 P&amp;L'!$A$1</f>
        <v>0</v>
      </c>
      <c r="D28" s="1727">
        <v>17.004000000000001</v>
      </c>
      <c r="E28" s="1727">
        <f>+BSPL!H96/$A$1</f>
        <v>0</v>
      </c>
      <c r="F28" s="1727">
        <f>+BSPL!I96/$A$1</f>
        <v>16.999389999999998</v>
      </c>
      <c r="J28" s="1523">
        <f t="shared" ref="J28:J32" si="2">+E28-B28</f>
        <v>0</v>
      </c>
    </row>
    <row r="29" spans="1:11">
      <c r="A29" s="1726" t="s">
        <v>3420</v>
      </c>
      <c r="B29" s="1727">
        <v>0</v>
      </c>
      <c r="C29" s="1727">
        <f>+[64]BSPL!G103/'Result 1 P&amp;L'!$A$1</f>
        <v>0</v>
      </c>
      <c r="D29" s="1727">
        <f>+[64]BSPL!H103/'Result 1 P&amp;L'!$A$1</f>
        <v>0</v>
      </c>
      <c r="E29" s="1727">
        <f>+BSPL!H97/$A$1</f>
        <v>0</v>
      </c>
      <c r="F29" s="1727">
        <f>+BSPL!I97/$A$1</f>
        <v>0</v>
      </c>
      <c r="J29" s="1523">
        <f t="shared" si="2"/>
        <v>0</v>
      </c>
    </row>
    <row r="30" spans="1:11">
      <c r="A30" s="1726" t="s">
        <v>3421</v>
      </c>
      <c r="B30" s="1727">
        <f>+E30-0</f>
        <v>-33.239912160732487</v>
      </c>
      <c r="C30" s="1727">
        <f>+[64]BSPL!G104/'Result 1 P&amp;L'!$A$1</f>
        <v>0</v>
      </c>
      <c r="D30" s="1727">
        <v>-7.9</v>
      </c>
      <c r="E30" s="1727">
        <f>+BSPL!H98/$A$1</f>
        <v>-33.239912160732487</v>
      </c>
      <c r="F30" s="1727">
        <f>+BSPL!I98/$A$1</f>
        <v>-7.8980533631785583</v>
      </c>
      <c r="J30" s="1523">
        <f t="shared" si="2"/>
        <v>0</v>
      </c>
    </row>
    <row r="31" spans="1:11">
      <c r="A31" s="1734" t="s">
        <v>3422</v>
      </c>
      <c r="B31" s="1735">
        <f>SUM(B27:B30)</f>
        <v>-35.425622297610445</v>
      </c>
      <c r="C31" s="1735">
        <f t="shared" ref="C31:F31" si="3">SUM(C27:C30)</f>
        <v>-13.74</v>
      </c>
      <c r="D31" s="1735">
        <f t="shared" si="3"/>
        <v>53.378000000000007</v>
      </c>
      <c r="E31" s="1735">
        <f t="shared" si="3"/>
        <v>-7.3956222976104478</v>
      </c>
      <c r="F31" s="1735">
        <f t="shared" si="3"/>
        <v>139.91260903682345</v>
      </c>
      <c r="J31" s="1523">
        <f t="shared" si="2"/>
        <v>28.029999999999998</v>
      </c>
    </row>
    <row r="32" spans="1:11">
      <c r="A32" s="1728" t="s">
        <v>3423</v>
      </c>
      <c r="B32" s="927">
        <f>B25-B31</f>
        <v>-45.817110094537</v>
      </c>
      <c r="C32" s="927">
        <f>C25-C31</f>
        <v>-41.242000000000878</v>
      </c>
      <c r="D32" s="927">
        <f t="shared" ref="D32:F32" si="4">D25-D31</f>
        <v>83.121999999999986</v>
      </c>
      <c r="E32" s="927">
        <f t="shared" si="4"/>
        <v>38.252889905463363</v>
      </c>
      <c r="F32" s="927">
        <f t="shared" si="4"/>
        <v>342.73275174207095</v>
      </c>
      <c r="J32" s="1523">
        <f t="shared" si="2"/>
        <v>84.070000000000363</v>
      </c>
    </row>
    <row r="33" spans="1:12">
      <c r="A33" s="1731"/>
      <c r="B33" s="1735"/>
      <c r="C33" s="1735"/>
      <c r="D33" s="1735"/>
      <c r="E33" s="1735"/>
      <c r="F33" s="1735"/>
    </row>
    <row r="34" spans="1:12">
      <c r="A34" s="1731" t="s">
        <v>3424</v>
      </c>
      <c r="B34" s="1727"/>
      <c r="C34" s="1727"/>
      <c r="D34" s="1727"/>
      <c r="E34" s="1727"/>
      <c r="F34" s="1727"/>
    </row>
    <row r="35" spans="1:12">
      <c r="A35" s="1726" t="s">
        <v>3425</v>
      </c>
      <c r="B35" s="1727">
        <f>+E35-0</f>
        <v>11.040749999999999</v>
      </c>
      <c r="C35" s="1727">
        <v>0</v>
      </c>
      <c r="D35" s="1727">
        <v>11.3</v>
      </c>
      <c r="E35" s="1727">
        <f>+BSPL!H103/A1</f>
        <v>11.040749999999999</v>
      </c>
      <c r="F35" s="1727">
        <f>+BSPL!I103/A1</f>
        <v>11.297219999999999</v>
      </c>
    </row>
    <row r="36" spans="1:12">
      <c r="A36" s="1726" t="s">
        <v>3426</v>
      </c>
      <c r="B36" s="1727">
        <v>0</v>
      </c>
      <c r="C36" s="1727">
        <v>0</v>
      </c>
      <c r="D36" s="1727">
        <v>0</v>
      </c>
      <c r="E36" s="1727">
        <f>+[64]BSPL!F110/'Result 1 P&amp;L'!$A$1</f>
        <v>0</v>
      </c>
      <c r="F36" s="1727">
        <f>+[64]BSPL!G110/'Result 1 P&amp;L'!$A$1</f>
        <v>0</v>
      </c>
    </row>
    <row r="37" spans="1:12" ht="18.75">
      <c r="A37" s="1736" t="s">
        <v>1152</v>
      </c>
      <c r="B37" s="1735">
        <v>0</v>
      </c>
      <c r="C37" s="1735">
        <v>0</v>
      </c>
      <c r="D37" s="1735">
        <v>0</v>
      </c>
      <c r="E37" s="1727">
        <f>+[64]BSPL!F111/'Result 1 P&amp;L'!$A$1</f>
        <v>0</v>
      </c>
      <c r="F37" s="1735">
        <v>0</v>
      </c>
      <c r="I37" s="1737">
        <f>+B32/B10</f>
        <v>-1.5336758305564687E-2</v>
      </c>
      <c r="J37" s="1737">
        <f>+C32/C10</f>
        <v>-1.4624179646001694E-2</v>
      </c>
      <c r="K37" s="1737">
        <f>+D32/D10</f>
        <v>2.8940084464576053E-2</v>
      </c>
      <c r="L37" s="1737" t="e">
        <f>+#REF!/#REF!</f>
        <v>#REF!</v>
      </c>
    </row>
    <row r="38" spans="1:12">
      <c r="A38" s="1738" t="s">
        <v>3427</v>
      </c>
      <c r="B38" s="927">
        <f>SUM(B32:B37)</f>
        <v>-34.776360094536997</v>
      </c>
      <c r="C38" s="927">
        <f>SUM(C32:C37)</f>
        <v>-41.242000000000878</v>
      </c>
      <c r="D38" s="927">
        <f>SUM(D32:D37)</f>
        <v>94.421999999999983</v>
      </c>
      <c r="E38" s="927">
        <f>E32+E35</f>
        <v>49.293639905463365</v>
      </c>
      <c r="F38" s="927">
        <f>F32+F35</f>
        <v>354.02997174207093</v>
      </c>
      <c r="J38" s="1523">
        <f t="shared" ref="J38" si="5">+E38-B38</f>
        <v>84.070000000000363</v>
      </c>
    </row>
    <row r="39" spans="1:12">
      <c r="A39" s="1739" t="s">
        <v>3428</v>
      </c>
      <c r="B39" s="1740">
        <v>269.23</v>
      </c>
      <c r="C39" s="1740">
        <v>269.23</v>
      </c>
      <c r="D39" s="1740">
        <v>269.23</v>
      </c>
      <c r="E39" s="1740">
        <v>269.23</v>
      </c>
      <c r="F39" s="1740">
        <v>269.23</v>
      </c>
    </row>
    <row r="40" spans="1:12" ht="30" customHeight="1">
      <c r="A40" s="1741" t="s">
        <v>3429</v>
      </c>
      <c r="B40" s="1727"/>
      <c r="C40" s="1727"/>
      <c r="D40" s="1727"/>
      <c r="E40" s="1727"/>
      <c r="F40" s="1727"/>
    </row>
    <row r="41" spans="1:12">
      <c r="A41" s="1739" t="s">
        <v>3467</v>
      </c>
      <c r="B41" s="1727"/>
      <c r="C41" s="1727"/>
      <c r="D41" s="1727"/>
      <c r="E41" s="1727"/>
      <c r="F41" s="1727"/>
      <c r="J41" s="230">
        <f>+'[65]Result 1 P&amp;L'!$E$38</f>
        <v>85.414609221105167</v>
      </c>
    </row>
    <row r="42" spans="1:12">
      <c r="A42" s="1739" t="s">
        <v>3430</v>
      </c>
      <c r="B42" s="1727">
        <f t="shared" ref="B42:F42" si="6">+(B32*100000)/(B39*100000/10)</f>
        <v>-1.7017832371777661</v>
      </c>
      <c r="C42" s="1727">
        <f t="shared" si="6"/>
        <v>-1.5318500910002928</v>
      </c>
      <c r="D42" s="1727">
        <f t="shared" si="6"/>
        <v>3.0873973925639779</v>
      </c>
      <c r="E42" s="1727">
        <f t="shared" si="6"/>
        <v>1.4208256845620237</v>
      </c>
      <c r="F42" s="1727">
        <f t="shared" si="6"/>
        <v>12.730110007876942</v>
      </c>
      <c r="J42" s="1523">
        <f>+J41+B38</f>
        <v>50.638249126568169</v>
      </c>
    </row>
    <row r="43" spans="1:12">
      <c r="A43" s="1742" t="s">
        <v>3431</v>
      </c>
      <c r="B43" s="1743">
        <f t="shared" ref="B43:F43" si="7">+(B32*100000)/(B39*100000/10)</f>
        <v>-1.7017832371777661</v>
      </c>
      <c r="C43" s="1743">
        <f t="shared" si="7"/>
        <v>-1.5318500910002928</v>
      </c>
      <c r="D43" s="1743">
        <f t="shared" si="7"/>
        <v>3.0873973925639779</v>
      </c>
      <c r="E43" s="1743">
        <f t="shared" si="7"/>
        <v>1.4208256845620237</v>
      </c>
      <c r="F43" s="1743">
        <f t="shared" si="7"/>
        <v>12.730110007876942</v>
      </c>
      <c r="J43" s="1523">
        <f>+J42-E38</f>
        <v>1.344609221104804</v>
      </c>
    </row>
    <row r="45" spans="1:12" ht="15.75">
      <c r="A45" s="1744" t="s">
        <v>3432</v>
      </c>
    </row>
    <row r="46" spans="1:12">
      <c r="A46" s="2090" t="s">
        <v>3451</v>
      </c>
      <c r="B46" s="2090"/>
      <c r="C46" s="2090"/>
      <c r="D46" s="2090"/>
      <c r="E46" s="2090"/>
      <c r="F46" s="2090"/>
    </row>
    <row r="47" spans="1:12">
      <c r="A47" s="14"/>
      <c r="B47" s="14"/>
      <c r="C47" s="14"/>
      <c r="D47" s="14"/>
      <c r="E47" s="14"/>
      <c r="F47" s="14"/>
    </row>
    <row r="48" spans="1:12">
      <c r="A48" s="2090" t="s">
        <v>3455</v>
      </c>
      <c r="B48" s="2090"/>
      <c r="C48" s="2090"/>
      <c r="D48" s="2090"/>
      <c r="E48" s="2090"/>
      <c r="F48" s="2090"/>
    </row>
    <row r="49" spans="1:7">
      <c r="A49" s="2090"/>
      <c r="B49" s="2090"/>
      <c r="C49" s="2090"/>
      <c r="D49" s="2090"/>
      <c r="E49" s="2090"/>
      <c r="F49" s="2090"/>
    </row>
    <row r="50" spans="1:7">
      <c r="A50" s="14"/>
      <c r="B50" s="14"/>
      <c r="C50" s="14"/>
      <c r="D50" s="14"/>
      <c r="E50" s="14"/>
      <c r="F50" s="14"/>
    </row>
    <row r="51" spans="1:7" ht="20.25" customHeight="1">
      <c r="A51" s="2090" t="s">
        <v>3452</v>
      </c>
      <c r="B51" s="2090"/>
      <c r="C51" s="2090"/>
      <c r="D51" s="2090"/>
      <c r="E51" s="2090"/>
      <c r="F51" s="2090"/>
    </row>
    <row r="52" spans="1:7">
      <c r="A52" s="14"/>
      <c r="B52" s="14"/>
      <c r="C52" s="14"/>
      <c r="D52" s="14"/>
      <c r="E52" s="14"/>
      <c r="F52" s="14"/>
    </row>
    <row r="53" spans="1:7" ht="24" customHeight="1">
      <c r="A53" s="2090" t="s">
        <v>3453</v>
      </c>
      <c r="B53" s="2090"/>
      <c r="C53" s="2090"/>
      <c r="D53" s="2090"/>
      <c r="E53" s="2090"/>
      <c r="F53" s="2090"/>
      <c r="G53" s="14"/>
    </row>
    <row r="55" spans="1:7" ht="30" customHeight="1">
      <c r="A55" s="2096" t="s">
        <v>3454</v>
      </c>
      <c r="B55" s="2096"/>
      <c r="C55" s="2096"/>
      <c r="D55" s="2096"/>
      <c r="E55" s="2096"/>
      <c r="F55" s="2096"/>
    </row>
    <row r="57" spans="1:7">
      <c r="A57" s="230" t="s">
        <v>3456</v>
      </c>
    </row>
  </sheetData>
  <mergeCells count="10">
    <mergeCell ref="J18:K18"/>
    <mergeCell ref="A55:F55"/>
    <mergeCell ref="A51:F51"/>
    <mergeCell ref="A53:F53"/>
    <mergeCell ref="A3:G3"/>
    <mergeCell ref="A6:A8"/>
    <mergeCell ref="B6:D6"/>
    <mergeCell ref="E6:F6"/>
    <mergeCell ref="A46:F46"/>
    <mergeCell ref="A48:F49"/>
  </mergeCells>
  <pageMargins left="0.70866141732283472" right="0.70866141732283472" top="0.74803149606299213" bottom="0.74803149606299213" header="0.31496062992125984" footer="0.31496062992125984"/>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3"/>
  <sheetViews>
    <sheetView view="pageBreakPreview" zoomScaleNormal="100" zoomScaleSheetLayoutView="100" workbookViewId="0">
      <selection activeCell="D15" sqref="D15"/>
    </sheetView>
  </sheetViews>
  <sheetFormatPr defaultRowHeight="15"/>
  <cols>
    <col min="1" max="1" width="9.140625" style="230"/>
    <col min="2" max="2" width="43.42578125" style="230" customWidth="1"/>
    <col min="3" max="3" width="22.140625" style="230" customWidth="1"/>
    <col min="4" max="4" width="24" style="230" customWidth="1"/>
    <col min="5" max="5" width="16" style="230" customWidth="1"/>
    <col min="6" max="16384" width="9.140625" style="230"/>
  </cols>
  <sheetData>
    <row r="1" spans="1:5">
      <c r="C1" s="249">
        <f>+C27-C48</f>
        <v>-1.093876562663354E-7</v>
      </c>
      <c r="D1" s="249">
        <f>+D27-D48</f>
        <v>2.6727984732133336E-6</v>
      </c>
    </row>
    <row r="2" spans="1:5" ht="4.5" customHeight="1">
      <c r="A2" s="230">
        <v>100000</v>
      </c>
    </row>
    <row r="3" spans="1:5" ht="19.5" customHeight="1">
      <c r="B3" s="2104" t="s">
        <v>1065</v>
      </c>
      <c r="C3" s="2104"/>
      <c r="D3" s="2104"/>
      <c r="E3" s="230">
        <v>100000</v>
      </c>
    </row>
    <row r="4" spans="1:5" ht="20.25" customHeight="1">
      <c r="B4" s="2104" t="s">
        <v>3444</v>
      </c>
      <c r="C4" s="2104"/>
      <c r="D4" s="2104"/>
    </row>
    <row r="5" spans="1:5" ht="4.5" customHeight="1">
      <c r="B5" s="1745"/>
      <c r="C5" s="1745"/>
      <c r="D5" s="1745"/>
    </row>
    <row r="6" spans="1:5" ht="15.75" customHeight="1" thickBot="1">
      <c r="B6" s="1746"/>
      <c r="D6" s="1747" t="s">
        <v>3396</v>
      </c>
    </row>
    <row r="7" spans="1:5" ht="15.75">
      <c r="B7" s="2105" t="s">
        <v>9</v>
      </c>
      <c r="C7" s="1748" t="s">
        <v>3448</v>
      </c>
      <c r="D7" s="1780" t="s">
        <v>3448</v>
      </c>
    </row>
    <row r="8" spans="1:5" ht="15.75">
      <c r="B8" s="2106"/>
      <c r="C8" s="1773" t="s">
        <v>3449</v>
      </c>
      <c r="D8" s="1781" t="s">
        <v>3450</v>
      </c>
    </row>
    <row r="9" spans="1:5" ht="15.75">
      <c r="B9" s="1782" t="s">
        <v>1070</v>
      </c>
      <c r="C9" s="1749"/>
      <c r="D9" s="1783"/>
    </row>
    <row r="10" spans="1:5" ht="21" customHeight="1">
      <c r="B10" s="1784" t="s">
        <v>1071</v>
      </c>
      <c r="C10" s="1749"/>
      <c r="D10" s="1783"/>
    </row>
    <row r="11" spans="1:5" ht="15.75">
      <c r="B11" s="1785" t="s">
        <v>1072</v>
      </c>
      <c r="C11" s="1750">
        <f>BSPL!H8/$E$3</f>
        <v>2079.4752699999999</v>
      </c>
      <c r="D11" s="1786">
        <f>BSPL!I8/$E$3</f>
        <v>2162.297981645444</v>
      </c>
    </row>
    <row r="12" spans="1:5" ht="15.75">
      <c r="B12" s="1785" t="s">
        <v>1073</v>
      </c>
      <c r="C12" s="1750">
        <f>BSPL!H9/$E$3</f>
        <v>403.80749359999993</v>
      </c>
      <c r="D12" s="1786">
        <f>BSPL!I9/$E$3</f>
        <v>3.13008</v>
      </c>
    </row>
    <row r="13" spans="1:5" ht="15.75">
      <c r="B13" s="1787" t="s">
        <v>1074</v>
      </c>
      <c r="C13" s="1750">
        <f>BSPL!H10/$E$3</f>
        <v>0</v>
      </c>
      <c r="D13" s="1786">
        <f>BSPL!I10/$E$3</f>
        <v>0</v>
      </c>
    </row>
    <row r="14" spans="1:5" ht="15.75">
      <c r="B14" s="1788" t="s">
        <v>1075</v>
      </c>
      <c r="C14" s="1750">
        <f>BSPL!H11/$E$3</f>
        <v>23.834786099999999</v>
      </c>
      <c r="D14" s="1786">
        <f>BSPL!I11/$E$3</f>
        <v>19.85304</v>
      </c>
    </row>
    <row r="15" spans="1:5" ht="15.75">
      <c r="B15" s="1789" t="s">
        <v>1076</v>
      </c>
      <c r="C15" s="1750">
        <f>BSPL!H12/$E$3</f>
        <v>232.33047999999999</v>
      </c>
      <c r="D15" s="1786">
        <f>BSPL!I12/$E$3</f>
        <v>116.37218</v>
      </c>
    </row>
    <row r="16" spans="1:5" ht="15.75">
      <c r="B16" s="1790" t="s">
        <v>3433</v>
      </c>
      <c r="C16" s="1751">
        <f>SUM(C11:C15)</f>
        <v>2739.4480297</v>
      </c>
      <c r="D16" s="1791">
        <f>SUM(D11:D15)</f>
        <v>2301.6532816454437</v>
      </c>
    </row>
    <row r="17" spans="2:4" ht="15.75">
      <c r="B17" s="1790" t="s">
        <v>1078</v>
      </c>
      <c r="C17" s="1752"/>
      <c r="D17" s="1792"/>
    </row>
    <row r="18" spans="2:4" ht="15.75">
      <c r="B18" s="1789" t="s">
        <v>1079</v>
      </c>
      <c r="C18" s="1750">
        <f>BSPL!H15/$E$3</f>
        <v>515.93266719999997</v>
      </c>
      <c r="D18" s="1786">
        <f>BSPL!I15/$E$3</f>
        <v>675.13794217889335</v>
      </c>
    </row>
    <row r="19" spans="2:4" ht="15.75">
      <c r="B19" s="1789" t="s">
        <v>1074</v>
      </c>
      <c r="C19" s="1750">
        <f>BSPL!H16/$E$3</f>
        <v>0</v>
      </c>
      <c r="D19" s="1786">
        <f>BSPL!I16/$E$3</f>
        <v>0</v>
      </c>
    </row>
    <row r="20" spans="2:4" ht="15.75">
      <c r="B20" s="1793" t="s">
        <v>1080</v>
      </c>
      <c r="C20" s="1750">
        <f>BSPL!H17/$E$3</f>
        <v>1665.5474643</v>
      </c>
      <c r="D20" s="1786">
        <f>BSPL!I17/$E$3</f>
        <v>1557.6004943</v>
      </c>
    </row>
    <row r="21" spans="2:4" ht="15.75">
      <c r="B21" s="1793" t="s">
        <v>1081</v>
      </c>
      <c r="C21" s="1750">
        <f>BSPL!H18/$E$3</f>
        <v>0.79146640000000001</v>
      </c>
      <c r="D21" s="1786">
        <f>BSPL!I18/$E$3</f>
        <v>3.3386840000000002</v>
      </c>
    </row>
    <row r="22" spans="2:4" ht="15.75">
      <c r="B22" s="1793" t="s">
        <v>1082</v>
      </c>
      <c r="C22" s="1750">
        <f>BSPL!H19/$E$3</f>
        <v>0</v>
      </c>
      <c r="D22" s="1786">
        <f>BSPL!I19/$E$3</f>
        <v>0</v>
      </c>
    </row>
    <row r="23" spans="2:4" ht="15.75">
      <c r="B23" s="1793" t="s">
        <v>1083</v>
      </c>
      <c r="C23" s="1750">
        <f>BSPL!H20/$E$3</f>
        <v>83.625</v>
      </c>
      <c r="D23" s="1786">
        <f>BSPL!I20/$E$3</f>
        <v>72.81</v>
      </c>
    </row>
    <row r="24" spans="2:4" ht="15.75">
      <c r="B24" s="1789" t="s">
        <v>1084</v>
      </c>
      <c r="C24" s="1750">
        <f>BSPL!H21/$E$3</f>
        <v>62.557370199999994</v>
      </c>
      <c r="D24" s="1786">
        <f>BSPL!I21/$E$3</f>
        <v>41.5949502</v>
      </c>
    </row>
    <row r="25" spans="2:4" ht="15.75">
      <c r="B25" s="1789" t="s">
        <v>1085</v>
      </c>
      <c r="C25" s="1750">
        <f>BSPL!H22/$E$3</f>
        <v>23.229578136877958</v>
      </c>
      <c r="D25" s="1786">
        <f>BSPL!I22/$E$3</f>
        <v>6.7330699999999997</v>
      </c>
    </row>
    <row r="26" spans="2:4" ht="16.5" thickBot="1">
      <c r="B26" s="1794" t="s">
        <v>3434</v>
      </c>
      <c r="C26" s="1753">
        <f>SUM(C18:C25)</f>
        <v>2351.6835462368781</v>
      </c>
      <c r="D26" s="1795">
        <f>SUM(D18:D25)</f>
        <v>2357.215140678893</v>
      </c>
    </row>
    <row r="27" spans="2:4" ht="16.5" thickBot="1">
      <c r="B27" s="1796" t="s">
        <v>3435</v>
      </c>
      <c r="C27" s="1754">
        <f>C26+C16</f>
        <v>5091.1315759368781</v>
      </c>
      <c r="D27" s="1757">
        <f>SUM(D26+D16)</f>
        <v>4658.8684223243363</v>
      </c>
    </row>
    <row r="28" spans="2:4" ht="16.5" thickTop="1">
      <c r="B28" s="1797"/>
      <c r="C28" s="1755"/>
      <c r="D28" s="1798"/>
    </row>
    <row r="29" spans="2:4" ht="15.75">
      <c r="B29" s="1799" t="s">
        <v>1087</v>
      </c>
      <c r="C29" s="1756"/>
      <c r="D29" s="1792"/>
    </row>
    <row r="30" spans="2:4" ht="15.75">
      <c r="B30" s="1800" t="s">
        <v>3436</v>
      </c>
      <c r="C30" s="1750"/>
      <c r="D30" s="1792"/>
    </row>
    <row r="31" spans="2:4" ht="15.75">
      <c r="B31" s="1788" t="s">
        <v>1089</v>
      </c>
      <c r="C31" s="1750">
        <f>+BSPL!H29/$E$3</f>
        <v>269.22649999999999</v>
      </c>
      <c r="D31" s="1786">
        <f>+BSPL!I29/$E$3</f>
        <v>269.22649999999999</v>
      </c>
    </row>
    <row r="32" spans="2:4" ht="15.75">
      <c r="B32" s="1788" t="s">
        <v>1090</v>
      </c>
      <c r="C32" s="1750">
        <f>+BSPL!H30/$E$3</f>
        <v>2463.0149754475297</v>
      </c>
      <c r="D32" s="1786">
        <f>+BSPL!I30/$E$3</f>
        <v>2413.7213355420686</v>
      </c>
    </row>
    <row r="33" spans="2:4" ht="15.75">
      <c r="B33" s="1801" t="s">
        <v>3437</v>
      </c>
      <c r="C33" s="1751">
        <f>SUM(C31:C32)</f>
        <v>2732.2414754475294</v>
      </c>
      <c r="D33" s="1791">
        <f>SUM(D31:D32)</f>
        <v>2682.9478355420688</v>
      </c>
    </row>
    <row r="34" spans="2:4" ht="15.75">
      <c r="B34" s="1800" t="s">
        <v>1092</v>
      </c>
      <c r="C34" s="1750"/>
      <c r="D34" s="1792"/>
    </row>
    <row r="35" spans="2:4" ht="15.75">
      <c r="B35" s="1788" t="s">
        <v>1093</v>
      </c>
      <c r="C35" s="1750"/>
      <c r="D35" s="1792"/>
    </row>
    <row r="36" spans="2:4" ht="15.75">
      <c r="B36" s="1788" t="s">
        <v>1094</v>
      </c>
      <c r="C36" s="1750">
        <f>+BSPL!H34/$E$3</f>
        <v>430.66111999999998</v>
      </c>
      <c r="D36" s="1786">
        <f>+BSPL!I34/$E$3</f>
        <v>319.8648</v>
      </c>
    </row>
    <row r="37" spans="2:4" ht="15.75">
      <c r="B37" s="1788" t="s">
        <v>1095</v>
      </c>
      <c r="C37" s="1750">
        <f>+BSPL!H35/$E$3</f>
        <v>9.7507570000000019</v>
      </c>
      <c r="D37" s="1786">
        <f>+BSPL!I35/$E$3</f>
        <v>15.436257000000001</v>
      </c>
    </row>
    <row r="38" spans="2:4" ht="15.75">
      <c r="B38" s="1788" t="s">
        <v>1096</v>
      </c>
      <c r="C38" s="1750">
        <f>+BSPL!H36/$E$3</f>
        <v>161.51128949873626</v>
      </c>
      <c r="D38" s="1786">
        <f>+BSPL!I36/$E$3</f>
        <v>194.75120165946873</v>
      </c>
    </row>
    <row r="39" spans="2:4" ht="15.75">
      <c r="B39" s="1802" t="s">
        <v>3438</v>
      </c>
      <c r="C39" s="1751">
        <f>SUM(C36:C38)</f>
        <v>601.92316649873624</v>
      </c>
      <c r="D39" s="1791">
        <f>SUM(D36:D38)</f>
        <v>530.05225865946875</v>
      </c>
    </row>
    <row r="40" spans="2:4" ht="15.75">
      <c r="B40" s="1800" t="s">
        <v>1097</v>
      </c>
      <c r="C40" s="1750"/>
      <c r="D40" s="1792"/>
    </row>
    <row r="41" spans="2:4" ht="15.75">
      <c r="B41" s="1788" t="s">
        <v>1093</v>
      </c>
      <c r="C41" s="1750"/>
      <c r="D41" s="1792"/>
    </row>
    <row r="42" spans="2:4" ht="15.75">
      <c r="B42" s="1788" t="s">
        <v>1094</v>
      </c>
      <c r="C42" s="1750">
        <f>+BSPL!H40/$E$3</f>
        <v>568.4240757</v>
      </c>
      <c r="D42" s="1786">
        <f>+BSPL!I40/$E$3</f>
        <v>435.76042979999994</v>
      </c>
    </row>
    <row r="43" spans="2:4" ht="15.75">
      <c r="B43" s="1788" t="s">
        <v>1098</v>
      </c>
      <c r="C43" s="1750">
        <f>+BSPL!H41/$E$3</f>
        <v>873.56478839999988</v>
      </c>
      <c r="D43" s="1786">
        <f>+BSPL!I41/$E$3</f>
        <v>796.27699759999996</v>
      </c>
    </row>
    <row r="44" spans="2:4" ht="15.75">
      <c r="B44" s="1788" t="s">
        <v>1099</v>
      </c>
      <c r="C44" s="1750">
        <f>+BSPL!H42/$E$3</f>
        <v>215.18901</v>
      </c>
      <c r="D44" s="1786">
        <f>+BSPL!I42/$E$3</f>
        <v>111.41021000000001</v>
      </c>
    </row>
    <row r="45" spans="2:4" ht="15.75">
      <c r="B45" s="1788" t="s">
        <v>1100</v>
      </c>
      <c r="C45" s="1750">
        <f>+BSPL!H43/$E$3</f>
        <v>65.683699999999988</v>
      </c>
      <c r="D45" s="1786">
        <f>+BSPL!I43/$E$3</f>
        <v>66.858313100000004</v>
      </c>
    </row>
    <row r="46" spans="2:4" ht="15.75">
      <c r="B46" s="1788" t="s">
        <v>1101</v>
      </c>
      <c r="C46" s="1750">
        <f>+BSPL!H44/$E$3</f>
        <v>34.105359999999997</v>
      </c>
      <c r="D46" s="1786">
        <f>+BSPL!I44/$E$3</f>
        <v>35.562374949999999</v>
      </c>
    </row>
    <row r="47" spans="2:4" ht="16.5" thickBot="1">
      <c r="B47" s="1803" t="s">
        <v>3439</v>
      </c>
      <c r="C47" s="1753">
        <f>SUM(C42:C46)</f>
        <v>1756.9669340999999</v>
      </c>
      <c r="D47" s="1795">
        <f>SUM(D42:D46)</f>
        <v>1445.8683254499999</v>
      </c>
    </row>
    <row r="48" spans="2:4" ht="16.5" thickBot="1">
      <c r="B48" s="1804" t="s">
        <v>3440</v>
      </c>
      <c r="C48" s="1805">
        <f>C33+C39+C47</f>
        <v>5091.1315760462658</v>
      </c>
      <c r="D48" s="1805">
        <f>D33+D39+D47</f>
        <v>4658.8684196515378</v>
      </c>
    </row>
    <row r="49" spans="2:7">
      <c r="B49" s="1779"/>
      <c r="C49" s="1779"/>
      <c r="D49" s="1758"/>
      <c r="E49" s="249">
        <f>+C48-C27</f>
        <v>1.093876562663354E-7</v>
      </c>
      <c r="F49" s="249">
        <f>+D48-D27</f>
        <v>-2.6727984732133336E-6</v>
      </c>
    </row>
    <row r="50" spans="2:7">
      <c r="B50" s="393" t="s">
        <v>3432</v>
      </c>
      <c r="C50" s="1758"/>
      <c r="D50" s="1758"/>
    </row>
    <row r="51" spans="2:7">
      <c r="B51" s="393" t="s">
        <v>3441</v>
      </c>
      <c r="F51" s="249"/>
      <c r="G51" s="2"/>
    </row>
    <row r="52" spans="2:7" ht="32.25" customHeight="1">
      <c r="B52" s="14"/>
      <c r="C52" s="14"/>
      <c r="D52" s="14"/>
      <c r="E52" s="14"/>
      <c r="F52" s="14"/>
      <c r="G52" s="14"/>
    </row>
    <row r="53" spans="2:7">
      <c r="B53" s="14"/>
      <c r="C53" s="14"/>
      <c r="D53" s="14"/>
      <c r="E53" s="14"/>
      <c r="F53" s="14"/>
      <c r="G53" s="14"/>
    </row>
    <row r="54" spans="2:7">
      <c r="F54" s="249"/>
      <c r="G54" s="2"/>
    </row>
    <row r="55" spans="2:7">
      <c r="B55" s="1758"/>
      <c r="C55" s="1758"/>
      <c r="D55" s="1758"/>
    </row>
    <row r="56" spans="2:7">
      <c r="B56" s="1758"/>
      <c r="C56" s="1758"/>
      <c r="D56" s="1758"/>
    </row>
    <row r="57" spans="2:7">
      <c r="B57" s="1758"/>
      <c r="C57" s="1758"/>
      <c r="D57" s="1758"/>
    </row>
    <row r="58" spans="2:7">
      <c r="B58" s="1758"/>
      <c r="C58" s="1758"/>
      <c r="D58" s="1758"/>
    </row>
    <row r="59" spans="2:7">
      <c r="B59" s="1758"/>
      <c r="C59" s="1758"/>
      <c r="D59" s="1758"/>
    </row>
    <row r="60" spans="2:7">
      <c r="B60" s="1758"/>
      <c r="C60" s="1758"/>
      <c r="D60" s="1758"/>
    </row>
    <row r="61" spans="2:7">
      <c r="B61" s="1758"/>
      <c r="C61" s="1758"/>
      <c r="D61" s="1758"/>
    </row>
    <row r="62" spans="2:7">
      <c r="B62" s="1758"/>
      <c r="C62" s="1758"/>
      <c r="D62" s="1758"/>
    </row>
    <row r="63" spans="2:7">
      <c r="B63" s="1758"/>
      <c r="C63" s="1758"/>
      <c r="D63" s="1758"/>
    </row>
    <row r="64" spans="2:7">
      <c r="B64" s="1758"/>
      <c r="C64" s="1758"/>
      <c r="D64" s="1758"/>
    </row>
    <row r="65" spans="2:4">
      <c r="B65" s="1758"/>
      <c r="C65" s="1758"/>
      <c r="D65" s="1758"/>
    </row>
    <row r="66" spans="2:4">
      <c r="B66" s="1758"/>
      <c r="C66" s="1758"/>
      <c r="D66" s="1758"/>
    </row>
    <row r="67" spans="2:4">
      <c r="B67" s="1758"/>
      <c r="C67" s="1758"/>
      <c r="D67" s="1758"/>
    </row>
    <row r="68" spans="2:4">
      <c r="B68" s="1758"/>
      <c r="C68" s="1758"/>
      <c r="D68" s="1758"/>
    </row>
    <row r="69" spans="2:4">
      <c r="B69" s="1758"/>
      <c r="C69" s="1758"/>
      <c r="D69" s="1758"/>
    </row>
    <row r="70" spans="2:4">
      <c r="B70" s="1758"/>
      <c r="C70" s="1758"/>
      <c r="D70" s="1758"/>
    </row>
    <row r="71" spans="2:4">
      <c r="B71" s="1758"/>
      <c r="C71" s="1758"/>
      <c r="D71" s="1758"/>
    </row>
    <row r="72" spans="2:4">
      <c r="B72" s="1758"/>
      <c r="C72" s="1758"/>
      <c r="D72" s="1758"/>
    </row>
    <row r="73" spans="2:4">
      <c r="B73" s="1758"/>
      <c r="C73" s="1758"/>
      <c r="D73" s="1758"/>
    </row>
    <row r="74" spans="2:4">
      <c r="B74" s="1758"/>
      <c r="C74" s="1758"/>
      <c r="D74" s="1758"/>
    </row>
    <row r="75" spans="2:4">
      <c r="B75" s="1758"/>
      <c r="C75" s="1758"/>
      <c r="D75" s="1758"/>
    </row>
    <row r="76" spans="2:4">
      <c r="B76" s="1758"/>
      <c r="C76" s="1758"/>
      <c r="D76" s="1758"/>
    </row>
    <row r="77" spans="2:4">
      <c r="B77" s="1758"/>
      <c r="C77" s="1758"/>
      <c r="D77" s="1758"/>
    </row>
    <row r="78" spans="2:4" ht="15.75" customHeight="1">
      <c r="B78" s="1758"/>
      <c r="C78" s="1758"/>
      <c r="D78" s="1758"/>
    </row>
    <row r="79" spans="2:4" ht="15.75" customHeight="1">
      <c r="B79" s="1758"/>
      <c r="C79" s="1758"/>
      <c r="D79" s="1758"/>
    </row>
    <row r="80" spans="2:4">
      <c r="B80" s="1758"/>
      <c r="C80" s="1758"/>
      <c r="D80" s="1758"/>
    </row>
    <row r="81" spans="2:4">
      <c r="B81" s="1758"/>
      <c r="C81" s="1758"/>
      <c r="D81" s="1758"/>
    </row>
    <row r="82" spans="2:4">
      <c r="B82" s="1758"/>
      <c r="C82" s="1758"/>
      <c r="D82" s="1758"/>
    </row>
    <row r="83" spans="2:4">
      <c r="B83" s="1758"/>
      <c r="C83" s="1758"/>
      <c r="D83" s="1758"/>
    </row>
    <row r="84" spans="2:4">
      <c r="B84" s="1758"/>
      <c r="C84" s="1758"/>
      <c r="D84" s="1758"/>
    </row>
    <row r="85" spans="2:4">
      <c r="B85" s="1758"/>
      <c r="C85" s="1758"/>
      <c r="D85" s="1758"/>
    </row>
    <row r="86" spans="2:4">
      <c r="B86" s="1758"/>
      <c r="C86" s="1758"/>
      <c r="D86" s="1758"/>
    </row>
    <row r="87" spans="2:4">
      <c r="B87" s="1758"/>
      <c r="C87" s="1758"/>
      <c r="D87" s="1758"/>
    </row>
    <row r="88" spans="2:4">
      <c r="B88" s="1758"/>
      <c r="C88" s="1758"/>
      <c r="D88" s="1758"/>
    </row>
    <row r="89" spans="2:4">
      <c r="B89" s="1758"/>
      <c r="C89" s="1758"/>
      <c r="D89" s="1758"/>
    </row>
    <row r="90" spans="2:4">
      <c r="B90" s="1758"/>
      <c r="C90" s="1758"/>
      <c r="D90" s="1758"/>
    </row>
    <row r="91" spans="2:4" ht="15.75" customHeight="1">
      <c r="B91" s="1758"/>
      <c r="C91" s="1758"/>
      <c r="D91" s="1758"/>
    </row>
    <row r="92" spans="2:4">
      <c r="B92" s="1758"/>
      <c r="C92" s="1758"/>
      <c r="D92" s="1758"/>
    </row>
    <row r="93" spans="2:4">
      <c r="B93" s="1758"/>
      <c r="C93" s="1758"/>
      <c r="D93" s="1758"/>
    </row>
    <row r="94" spans="2:4">
      <c r="B94" s="1758"/>
      <c r="C94" s="1758"/>
      <c r="D94" s="1758"/>
    </row>
    <row r="95" spans="2:4">
      <c r="B95" s="1758"/>
      <c r="C95" s="1758"/>
      <c r="D95" s="1758"/>
    </row>
    <row r="96" spans="2:4">
      <c r="B96" s="1758"/>
      <c r="C96" s="1758"/>
      <c r="D96" s="1758"/>
    </row>
    <row r="97" spans="2:4">
      <c r="B97" s="1758"/>
      <c r="C97" s="1758"/>
      <c r="D97" s="1758"/>
    </row>
    <row r="98" spans="2:4">
      <c r="B98" s="1758"/>
      <c r="C98" s="1758"/>
      <c r="D98" s="1758"/>
    </row>
    <row r="99" spans="2:4">
      <c r="B99" s="1758"/>
      <c r="C99" s="1758"/>
      <c r="D99" s="1758"/>
    </row>
    <row r="100" spans="2:4">
      <c r="B100" s="1758"/>
      <c r="C100" s="1758"/>
      <c r="D100" s="1758"/>
    </row>
    <row r="105" spans="2:4" ht="15.75" customHeight="1"/>
    <row r="113" ht="16.5" customHeight="1"/>
  </sheetData>
  <mergeCells count="3">
    <mergeCell ref="B3:D3"/>
    <mergeCell ref="B4:D4"/>
    <mergeCell ref="B7:B8"/>
  </mergeCells>
  <pageMargins left="0.70866141732283472" right="0.70866141732283472" top="0.74803149606299213" bottom="0.74803149606299213"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5"/>
  <sheetViews>
    <sheetView view="pageBreakPreview" topLeftCell="A8" zoomScale="60" zoomScaleNormal="100" workbookViewId="0">
      <selection activeCell="C16" sqref="C16"/>
    </sheetView>
  </sheetViews>
  <sheetFormatPr defaultRowHeight="15"/>
  <cols>
    <col min="1" max="1" width="9.140625" style="230"/>
    <col min="2" max="2" width="2.28515625" style="230" customWidth="1"/>
    <col min="3" max="3" width="87.7109375" style="230" customWidth="1"/>
    <col min="4" max="4" width="24.42578125" style="2" bestFit="1" customWidth="1"/>
    <col min="5" max="5" width="17.42578125" style="2" customWidth="1"/>
    <col min="6" max="6" width="5.140625" style="230" hidden="1" customWidth="1"/>
    <col min="7" max="16384" width="9.140625" style="230"/>
  </cols>
  <sheetData>
    <row r="1" spans="2:6">
      <c r="B1" s="230">
        <v>100000</v>
      </c>
      <c r="E1" s="2">
        <v>100000</v>
      </c>
    </row>
    <row r="3" spans="2:6" ht="26.25">
      <c r="C3" s="2107" t="s">
        <v>1065</v>
      </c>
      <c r="D3" s="2108"/>
      <c r="E3" s="2108"/>
      <c r="F3" s="426"/>
    </row>
    <row r="4" spans="2:6" ht="15.75">
      <c r="C4" s="1759"/>
      <c r="D4" s="1760"/>
      <c r="E4" s="1761"/>
    </row>
    <row r="5" spans="2:6" ht="34.5" customHeight="1">
      <c r="C5" s="2109" t="s">
        <v>3445</v>
      </c>
      <c r="D5" s="2110"/>
      <c r="E5" s="2111"/>
    </row>
    <row r="6" spans="2:6" ht="15.75">
      <c r="C6" s="1762"/>
      <c r="D6" s="1763"/>
      <c r="E6" s="1764"/>
    </row>
    <row r="7" spans="2:6" ht="15.75" customHeight="1">
      <c r="C7" s="560" t="s">
        <v>3442</v>
      </c>
      <c r="D7" s="1765" t="s">
        <v>1850</v>
      </c>
      <c r="E7" s="1765" t="s">
        <v>3447</v>
      </c>
    </row>
    <row r="8" spans="2:6" ht="15.75">
      <c r="C8" s="563" t="s">
        <v>1969</v>
      </c>
      <c r="D8" s="1766" t="s">
        <v>3399</v>
      </c>
      <c r="E8" s="1766" t="s">
        <v>3399</v>
      </c>
    </row>
    <row r="9" spans="2:6" ht="15.75">
      <c r="C9" s="560" t="s">
        <v>1970</v>
      </c>
      <c r="D9" s="1767">
        <f>+'Cash Flow'!B9/$E$1</f>
        <v>30.857267607851028</v>
      </c>
      <c r="E9" s="1767">
        <f>+'Cash Flow'!C9/$E$1</f>
        <v>482.64536077889204</v>
      </c>
    </row>
    <row r="10" spans="2:6" ht="15.75">
      <c r="C10" s="562" t="s">
        <v>1971</v>
      </c>
      <c r="D10" s="1768"/>
      <c r="E10" s="1768"/>
    </row>
    <row r="11" spans="2:6" ht="17.25" customHeight="1">
      <c r="C11" s="562" t="s">
        <v>1972</v>
      </c>
      <c r="D11" s="1769">
        <f>+'Cash Flow'!B11/$E$1</f>
        <v>11.040749999999999</v>
      </c>
      <c r="E11" s="1769">
        <f>+'Cash Flow'!C11/$E$1</f>
        <v>11.297219999999999</v>
      </c>
    </row>
    <row r="12" spans="2:6" ht="15.75">
      <c r="C12" s="562" t="s">
        <v>1973</v>
      </c>
      <c r="D12" s="1769">
        <f>+'Cash Flow'!B12/$E$1</f>
        <v>179.57748491325566</v>
      </c>
      <c r="E12" s="1769">
        <f>+'Cash Flow'!C12/$E$1</f>
        <v>177.27982</v>
      </c>
    </row>
    <row r="13" spans="2:6" ht="15.75">
      <c r="C13" s="562" t="s">
        <v>1135</v>
      </c>
      <c r="D13" s="1769">
        <f>+'Cash Flow'!B13/$E$1</f>
        <v>76.029531500000004</v>
      </c>
      <c r="E13" s="1769">
        <f>+'Cash Flow'!C13/$E$1</f>
        <v>63.721849500000005</v>
      </c>
    </row>
    <row r="14" spans="2:6" ht="15.75">
      <c r="C14" s="562" t="s">
        <v>1974</v>
      </c>
      <c r="D14" s="1769">
        <f>+'Cash Flow'!B14/$E$1</f>
        <v>0</v>
      </c>
      <c r="E14" s="1769">
        <f>+'Cash Flow'!C14/$E$1</f>
        <v>13.849</v>
      </c>
    </row>
    <row r="15" spans="2:6" ht="15.75">
      <c r="C15" s="560" t="s">
        <v>1977</v>
      </c>
      <c r="D15" s="1770">
        <f>SUM(D9:D14)</f>
        <v>297.50503402110672</v>
      </c>
      <c r="E15" s="1770">
        <f>SUM(E9:E14)</f>
        <v>748.79325027889206</v>
      </c>
    </row>
    <row r="16" spans="2:6" ht="15.75">
      <c r="C16" s="563" t="s">
        <v>1978</v>
      </c>
      <c r="D16" s="1769"/>
      <c r="E16" s="1769"/>
    </row>
    <row r="17" spans="3:5" ht="15.75">
      <c r="C17" s="562" t="s">
        <v>1986</v>
      </c>
      <c r="D17" s="1769">
        <f>+'Cash Flow'!B19/$E$1</f>
        <v>159.20527497889339</v>
      </c>
      <c r="E17" s="1769">
        <f>+'Cash Flow'!C19/$E$1</f>
        <v>3.0971799999999998</v>
      </c>
    </row>
    <row r="18" spans="3:5" ht="15.75">
      <c r="C18" s="562" t="s">
        <v>1987</v>
      </c>
      <c r="D18" s="1769">
        <f>+'Cash Flow'!B20/$E$1</f>
        <v>-107.94696999999999</v>
      </c>
      <c r="E18" s="1769">
        <f>+'Cash Flow'!C20/$E$1</f>
        <v>-609.05660999999998</v>
      </c>
    </row>
    <row r="19" spans="3:5" ht="15.75">
      <c r="C19" s="562" t="s">
        <v>1988</v>
      </c>
      <c r="D19" s="1769">
        <f>+'Cash Flow'!B21/$E$1</f>
        <v>-10.815003999999998</v>
      </c>
      <c r="E19" s="1769">
        <f>+'Cash Flow'!C21/$E$1</f>
        <v>12.622999999999999</v>
      </c>
    </row>
    <row r="20" spans="3:5" ht="15.75">
      <c r="C20" s="562" t="s">
        <v>1989</v>
      </c>
      <c r="D20" s="1769">
        <f>+'Cash Flow'!B22/$E$1</f>
        <v>-20.962419999999995</v>
      </c>
      <c r="E20" s="1769">
        <f>+'Cash Flow'!C22/$E$1</f>
        <v>8.97241</v>
      </c>
    </row>
    <row r="21" spans="3:5" ht="15.75">
      <c r="C21" s="562" t="s">
        <v>1990</v>
      </c>
      <c r="D21" s="1769">
        <f>+'Cash Flow'!B23/$E$1</f>
        <v>0</v>
      </c>
      <c r="E21" s="1769">
        <f>+'Cash Flow'!C23/$E$1</f>
        <v>0.83453999999999995</v>
      </c>
    </row>
    <row r="22" spans="3:5" ht="15.75">
      <c r="C22" s="562" t="s">
        <v>1991</v>
      </c>
      <c r="D22" s="1769">
        <f>+'Cash Flow'!B24/$E$1</f>
        <v>77.287790799999982</v>
      </c>
      <c r="E22" s="1769">
        <f>+'Cash Flow'!C24/$E$1</f>
        <v>205.82232999999999</v>
      </c>
    </row>
    <row r="23" spans="3:5" ht="15.75">
      <c r="C23" s="562" t="s">
        <v>1993</v>
      </c>
      <c r="D23" s="1769">
        <f>+'Cash Flow'!B25/$E$1</f>
        <v>-5.6855000000000002</v>
      </c>
      <c r="E23" s="1769">
        <f>+'Cash Flow'!C25/$E$1</f>
        <v>-6.3972899999999999</v>
      </c>
    </row>
    <row r="24" spans="3:5" ht="15.75">
      <c r="C24" s="562" t="s">
        <v>1995</v>
      </c>
      <c r="D24" s="1769">
        <f>+'Cash Flow'!B26/$E$1</f>
        <v>-0.93962999999999997</v>
      </c>
      <c r="E24" s="1769">
        <f>+'Cash Flow'!C26/$E$1</f>
        <v>3.58188</v>
      </c>
    </row>
    <row r="25" spans="3:5" ht="15.75">
      <c r="C25" s="562" t="s">
        <v>1997</v>
      </c>
      <c r="D25" s="1769">
        <f>+'Cash Flow'!B27/$E$1</f>
        <v>-1.1746131000000146</v>
      </c>
      <c r="E25" s="1769">
        <f>+'Cash Flow'!C27/$E$1</f>
        <v>61.479889999999997</v>
      </c>
    </row>
    <row r="26" spans="3:5" ht="15.75">
      <c r="C26" s="562" t="s">
        <v>1998</v>
      </c>
      <c r="D26" s="1769">
        <f>+'Cash Flow'!B28/$E$1</f>
        <v>-1.4570149500000011</v>
      </c>
      <c r="E26" s="1769">
        <f>+'Cash Flow'!C28/$E$1</f>
        <v>4.31088</v>
      </c>
    </row>
    <row r="27" spans="3:5" ht="15.75">
      <c r="C27" s="562" t="s">
        <v>2000</v>
      </c>
      <c r="D27" s="1769">
        <f>+'Cash Flow'!B29/$E$1</f>
        <v>-3.9817460999999987</v>
      </c>
      <c r="E27" s="1769">
        <f>+'Cash Flow'!C29/$E$1</f>
        <v>2.2793100000000002</v>
      </c>
    </row>
    <row r="28" spans="3:5" ht="15.75">
      <c r="C28" s="562" t="s">
        <v>2002</v>
      </c>
      <c r="D28" s="1769">
        <f>+'Cash Flow'!B30/$E$1</f>
        <v>-5.4690000000000003</v>
      </c>
      <c r="E28" s="1769">
        <f>+'Cash Flow'!C30/$E$1</f>
        <v>-24.64977</v>
      </c>
    </row>
    <row r="29" spans="3:5" ht="15.75">
      <c r="C29" s="560" t="s">
        <v>2005</v>
      </c>
      <c r="D29" s="1770">
        <f>SUM(D16:D28)</f>
        <v>78.061167628893372</v>
      </c>
      <c r="E29" s="1770">
        <f>SUM(E16:E28)</f>
        <v>-337.10225000000003</v>
      </c>
    </row>
    <row r="30" spans="3:5" ht="15.75">
      <c r="C30" s="560" t="s">
        <v>2006</v>
      </c>
      <c r="D30" s="1770">
        <f>+D29+D15</f>
        <v>375.5662016500001</v>
      </c>
      <c r="E30" s="1770">
        <f>+E29+E15</f>
        <v>411.69100027889203</v>
      </c>
    </row>
    <row r="31" spans="3:5" ht="15.75">
      <c r="C31" s="563" t="s">
        <v>2007</v>
      </c>
      <c r="D31" s="1768">
        <f>+'Cash Flow'!B34/$E$1</f>
        <v>-42.340797999999999</v>
      </c>
      <c r="E31" s="1768">
        <f>+'[64]Cash Flow Statement'!C33/'Result 3 CF'!$E$1</f>
        <v>-130.61145240000201</v>
      </c>
    </row>
    <row r="32" spans="3:5" ht="15.75">
      <c r="C32" s="560" t="s">
        <v>2009</v>
      </c>
      <c r="D32" s="1770">
        <f>+D30+D31</f>
        <v>333.22540365000009</v>
      </c>
      <c r="E32" s="1770">
        <f>+E30+E31</f>
        <v>281.07954787889003</v>
      </c>
    </row>
    <row r="33" spans="3:5" ht="15.75">
      <c r="C33" s="563" t="s">
        <v>2012</v>
      </c>
      <c r="D33" s="1769"/>
      <c r="E33" s="1769"/>
    </row>
    <row r="34" spans="3:5" ht="15.75">
      <c r="C34" s="562" t="s">
        <v>2014</v>
      </c>
      <c r="D34" s="1769">
        <f>+'Cash Flow'!B38/$E$1</f>
        <v>-607.92147397719759</v>
      </c>
      <c r="E34" s="1769">
        <f>+'Cash Flow'!C38/$E$1</f>
        <v>-116.830416</v>
      </c>
    </row>
    <row r="35" spans="3:5" ht="15.75">
      <c r="C35" s="562" t="s">
        <v>2016</v>
      </c>
      <c r="D35" s="1769">
        <f>+'[64]Cash Flow Statement'!B38/'Result 3 CF'!$E$1</f>
        <v>0</v>
      </c>
      <c r="E35" s="1769">
        <f>+'[64]Cash Flow Statement'!C38/'Result 3 CF'!$E$1</f>
        <v>0.80000495776951308</v>
      </c>
    </row>
    <row r="36" spans="3:5" ht="15.75" hidden="1">
      <c r="C36" s="562" t="s">
        <v>2017</v>
      </c>
      <c r="D36" s="1769"/>
      <c r="E36" s="1769"/>
    </row>
    <row r="37" spans="3:5" ht="15.75" hidden="1">
      <c r="C37" s="562" t="s">
        <v>2018</v>
      </c>
      <c r="D37" s="1769"/>
      <c r="E37" s="1769"/>
    </row>
    <row r="38" spans="3:5" ht="15.75" hidden="1">
      <c r="C38" s="562" t="s">
        <v>2019</v>
      </c>
      <c r="D38" s="1769"/>
      <c r="E38" s="1769"/>
    </row>
    <row r="39" spans="3:5" ht="15.75" hidden="1">
      <c r="C39" s="562" t="s">
        <v>2020</v>
      </c>
      <c r="D39" s="1769"/>
      <c r="E39" s="1769"/>
    </row>
    <row r="40" spans="3:5" ht="15.75">
      <c r="C40" s="560" t="s">
        <v>2021</v>
      </c>
      <c r="D40" s="1770">
        <f>SUM(D34:D39)</f>
        <v>-607.92147397719759</v>
      </c>
      <c r="E40" s="1770">
        <f>SUM(E34:E39)</f>
        <v>-116.03041104223048</v>
      </c>
    </row>
    <row r="41" spans="3:5" ht="15.75">
      <c r="C41" s="563" t="s">
        <v>2022</v>
      </c>
      <c r="D41" s="1769"/>
      <c r="E41" s="1769"/>
    </row>
    <row r="42" spans="3:5" ht="15.75">
      <c r="C42" s="562" t="s">
        <v>2023</v>
      </c>
      <c r="D42" s="1769"/>
      <c r="E42" s="1769"/>
    </row>
    <row r="43" spans="3:5" ht="15.75">
      <c r="C43" s="562" t="s">
        <v>2024</v>
      </c>
      <c r="D43" s="1769">
        <f>+'Cash Flow'!B49/$E$1</f>
        <v>132.66364190000004</v>
      </c>
      <c r="E43" s="1769">
        <f>+'Cash Flow'!C49/$E$1</f>
        <v>-182.67488</v>
      </c>
    </row>
    <row r="44" spans="3:5" ht="15.75">
      <c r="C44" s="562" t="s">
        <v>2026</v>
      </c>
      <c r="D44" s="1769">
        <f>+'Cash Flow'!B50/$E$1</f>
        <v>216.90743600000002</v>
      </c>
      <c r="E44" s="1769">
        <f>+'Cash Flow'!C50/$E$1</f>
        <v>86.201310000000007</v>
      </c>
    </row>
    <row r="45" spans="3:5" ht="15.75">
      <c r="C45" s="562" t="s">
        <v>2027</v>
      </c>
      <c r="D45" s="1769">
        <f>+'Cash Flow'!B51/$E$1</f>
        <v>-77.422221500000006</v>
      </c>
      <c r="E45" s="1769">
        <f>+'Cash Flow'!C51/$E$1</f>
        <v>-68.069509999999994</v>
      </c>
    </row>
    <row r="46" spans="3:5" ht="15.75">
      <c r="C46" s="562"/>
      <c r="D46" s="1769"/>
      <c r="E46" s="1769"/>
    </row>
    <row r="47" spans="3:5" ht="15.75">
      <c r="C47" s="560" t="s">
        <v>2028</v>
      </c>
      <c r="D47" s="1770">
        <f>SUM(D42:D46)</f>
        <v>272.14885640000011</v>
      </c>
      <c r="E47" s="1770">
        <f>SUM(E42:E46)</f>
        <v>-164.54307999999997</v>
      </c>
    </row>
    <row r="48" spans="3:5" ht="15.75">
      <c r="C48" s="563"/>
      <c r="D48" s="1769"/>
      <c r="E48" s="1769"/>
    </row>
    <row r="49" spans="3:5" ht="15.75">
      <c r="C49" s="1771" t="s">
        <v>2029</v>
      </c>
      <c r="D49" s="1770">
        <f>+D47+D40+D32</f>
        <v>-2.5472139271973901</v>
      </c>
      <c r="E49" s="1770">
        <f>+E47+E40+E32</f>
        <v>0.50605683665958168</v>
      </c>
    </row>
    <row r="50" spans="3:5" ht="15.75">
      <c r="C50" s="2112" t="s">
        <v>2030</v>
      </c>
      <c r="D50" s="1769">
        <f>+'[64]Cash Flow Statement'!B56/'Result 3 CF'!$E$1</f>
        <v>3.3386835488614066</v>
      </c>
      <c r="E50" s="1769">
        <f>+'[64]Cash Flow Statement'!C56/'Result 3 CF'!$E$1</f>
        <v>2.8326304910953342</v>
      </c>
    </row>
    <row r="51" spans="3:5" ht="15.75">
      <c r="C51" s="2113"/>
      <c r="D51" s="1769"/>
      <c r="E51" s="1769"/>
    </row>
    <row r="52" spans="3:5" ht="15.75">
      <c r="C52" s="560" t="s">
        <v>3393</v>
      </c>
      <c r="D52" s="1772">
        <f>+D49+D50</f>
        <v>0.79146962166401646</v>
      </c>
      <c r="E52" s="1772">
        <f>+E49+E50</f>
        <v>3.3386873277549158</v>
      </c>
    </row>
    <row r="54" spans="3:5">
      <c r="C54" s="14"/>
      <c r="D54" s="14"/>
      <c r="E54" s="14"/>
    </row>
    <row r="55" spans="3:5">
      <c r="C55" s="14"/>
      <c r="D55" s="14"/>
      <c r="E55" s="14"/>
    </row>
  </sheetData>
  <mergeCells count="3">
    <mergeCell ref="C3:E3"/>
    <mergeCell ref="C5:E5"/>
    <mergeCell ref="C50:C51"/>
  </mergeCells>
  <pageMargins left="0.7" right="0.7" top="0.75" bottom="0.75" header="0.3" footer="0.3"/>
  <pageSetup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D89"/>
  <sheetViews>
    <sheetView view="pageBreakPreview" zoomScale="60" zoomScaleNormal="69" workbookViewId="0">
      <selection sqref="A1:C89"/>
    </sheetView>
  </sheetViews>
  <sheetFormatPr defaultColWidth="9.140625" defaultRowHeight="15.75"/>
  <cols>
    <col min="1" max="1" width="105.7109375" style="582" customWidth="1"/>
    <col min="2" max="2" width="27.42578125" style="583" customWidth="1"/>
    <col min="3" max="3" width="29.5703125" style="583" customWidth="1"/>
    <col min="4" max="4" width="11.85546875" style="230" hidden="1" customWidth="1"/>
    <col min="5" max="5" width="25.5703125" style="230" hidden="1" customWidth="1"/>
    <col min="6" max="8" width="11.85546875" style="230" hidden="1" customWidth="1"/>
    <col min="9" max="9" width="15.42578125" style="230" hidden="1" customWidth="1"/>
    <col min="10" max="10" width="14.7109375" style="230" hidden="1" customWidth="1"/>
    <col min="11" max="11" width="9.140625" style="230" hidden="1" customWidth="1"/>
    <col min="12" max="12" width="14.85546875" style="556" hidden="1" customWidth="1"/>
    <col min="13" max="14" width="9.140625" style="556" hidden="1" customWidth="1"/>
    <col min="15" max="15" width="41.28515625" style="557" hidden="1" customWidth="1"/>
    <col min="16" max="16" width="17.140625" style="557" hidden="1" customWidth="1"/>
    <col min="17" max="17" width="9.42578125" style="557" hidden="1" customWidth="1"/>
    <col min="18" max="19" width="16.28515625" style="557" hidden="1" customWidth="1"/>
    <col min="20" max="20" width="17" style="556" hidden="1" customWidth="1"/>
    <col min="21" max="47" width="9.140625" style="556" hidden="1" customWidth="1"/>
    <col min="48" max="48" width="9.140625" style="230"/>
    <col min="49" max="49" width="12.5703125" style="1713" bestFit="1" customWidth="1"/>
    <col min="50" max="50" width="31.5703125" style="1713" bestFit="1" customWidth="1"/>
    <col min="51" max="51" width="17.28515625" style="1713" bestFit="1" customWidth="1"/>
    <col min="52" max="52" width="17.7109375" style="1713" bestFit="1" customWidth="1"/>
    <col min="53" max="53" width="9.140625" style="1713"/>
    <col min="54" max="54" width="17.140625" style="1713" bestFit="1" customWidth="1"/>
    <col min="55" max="55" width="18.42578125" style="1713" bestFit="1" customWidth="1"/>
    <col min="56" max="56" width="20.42578125" style="1713" bestFit="1" customWidth="1"/>
    <col min="57" max="82" width="9.140625" style="1713"/>
    <col min="83" max="16384" width="9.140625" style="230"/>
  </cols>
  <sheetData>
    <row r="1" spans="1:14">
      <c r="A1" s="2114" t="s">
        <v>1065</v>
      </c>
      <c r="B1" s="2115"/>
      <c r="C1" s="2116"/>
    </row>
    <row r="2" spans="1:14">
      <c r="A2" s="558"/>
      <c r="B2" s="2052"/>
      <c r="C2" s="559"/>
    </row>
    <row r="3" spans="1:14">
      <c r="A3" s="2117" t="s">
        <v>2462</v>
      </c>
      <c r="B3" s="2118"/>
      <c r="C3" s="2119"/>
    </row>
    <row r="4" spans="1:14">
      <c r="A4" s="2004"/>
      <c r="B4" s="2053"/>
      <c r="C4" s="2005"/>
    </row>
    <row r="5" spans="1:14">
      <c r="A5" s="2125" t="s">
        <v>402</v>
      </c>
      <c r="B5" s="2085" t="s">
        <v>3448</v>
      </c>
      <c r="C5" s="2085" t="s">
        <v>3448</v>
      </c>
    </row>
    <row r="6" spans="1:14">
      <c r="A6" s="2126"/>
      <c r="B6" s="561" t="s">
        <v>2463</v>
      </c>
      <c r="C6" s="561" t="s">
        <v>1968</v>
      </c>
    </row>
    <row r="7" spans="1:14">
      <c r="A7" s="562"/>
      <c r="B7" s="562"/>
      <c r="C7" s="562"/>
    </row>
    <row r="8" spans="1:14">
      <c r="A8" s="563" t="s">
        <v>1969</v>
      </c>
      <c r="B8" s="564"/>
      <c r="C8" s="562"/>
    </row>
    <row r="9" spans="1:14">
      <c r="A9" s="560" t="s">
        <v>1970</v>
      </c>
      <c r="B9" s="565">
        <f>+BSPL!H93</f>
        <v>3085726.7607851028</v>
      </c>
      <c r="C9" s="565">
        <f>+BSPL!I93</f>
        <v>48264536.077889204</v>
      </c>
      <c r="N9" s="566"/>
    </row>
    <row r="10" spans="1:14">
      <c r="A10" s="562" t="s">
        <v>1971</v>
      </c>
      <c r="B10" s="567"/>
      <c r="C10" s="568"/>
    </row>
    <row r="11" spans="1:14">
      <c r="A11" s="562" t="s">
        <v>1972</v>
      </c>
      <c r="B11" s="567">
        <f>+BSPL!H103</f>
        <v>1104075</v>
      </c>
      <c r="C11" s="567">
        <f>+BSPL!I103</f>
        <v>1129722</v>
      </c>
    </row>
    <row r="12" spans="1:14">
      <c r="A12" s="562" t="s">
        <v>1973</v>
      </c>
      <c r="B12" s="567">
        <f>+BSPL!H87</f>
        <v>17957748.491325565</v>
      </c>
      <c r="C12" s="567">
        <f>+BSPL!I87</f>
        <v>17727982</v>
      </c>
    </row>
    <row r="13" spans="1:14">
      <c r="A13" s="562" t="s">
        <v>1135</v>
      </c>
      <c r="B13" s="567">
        <f>+BSPL!H86</f>
        <v>7602953.1500000004</v>
      </c>
      <c r="C13" s="567">
        <f>+BSPL!I86</f>
        <v>6372184.9500000002</v>
      </c>
    </row>
    <row r="14" spans="1:14">
      <c r="A14" s="562" t="s">
        <v>1974</v>
      </c>
      <c r="B14" s="567">
        <f>+BSPL!H534</f>
        <v>0</v>
      </c>
      <c r="C14" s="567">
        <f>+BSPL!I534</f>
        <v>1384900</v>
      </c>
      <c r="F14" s="230" t="s">
        <v>1975</v>
      </c>
      <c r="G14" s="230" t="s">
        <v>1976</v>
      </c>
      <c r="H14" s="230" t="s">
        <v>1702</v>
      </c>
    </row>
    <row r="15" spans="1:14">
      <c r="A15" s="562" t="s">
        <v>1126</v>
      </c>
      <c r="B15" s="567"/>
      <c r="C15" s="568"/>
    </row>
    <row r="16" spans="1:14">
      <c r="A16" s="560" t="s">
        <v>1977</v>
      </c>
      <c r="B16" s="565">
        <f>SUM(B9:B15)</f>
        <v>29750503.402110666</v>
      </c>
      <c r="C16" s="569">
        <f>SUM(C9:C15)</f>
        <v>74879325.027889207</v>
      </c>
    </row>
    <row r="17" spans="1:56">
      <c r="A17" s="563"/>
      <c r="B17" s="564"/>
      <c r="C17" s="570"/>
      <c r="O17" s="571" t="s">
        <v>438</v>
      </c>
      <c r="P17" s="557">
        <v>0</v>
      </c>
      <c r="Q17" s="557">
        <v>0</v>
      </c>
      <c r="R17" s="557">
        <v>12325000</v>
      </c>
      <c r="S17" s="557">
        <v>0</v>
      </c>
      <c r="T17" s="572">
        <f>+P17-R17</f>
        <v>-12325000</v>
      </c>
    </row>
    <row r="18" spans="1:56">
      <c r="A18" s="563" t="s">
        <v>1978</v>
      </c>
      <c r="B18" s="564"/>
      <c r="C18" s="568"/>
      <c r="O18" s="571" t="s">
        <v>441</v>
      </c>
      <c r="P18" s="557">
        <v>3800000</v>
      </c>
      <c r="Q18" s="557">
        <v>0</v>
      </c>
      <c r="R18" s="557">
        <v>0</v>
      </c>
      <c r="S18" s="557">
        <v>0</v>
      </c>
      <c r="T18" s="572">
        <f t="shared" ref="T18:T28" si="0">+P18-R18</f>
        <v>3800000</v>
      </c>
      <c r="AX18" s="1714" t="s">
        <v>1979</v>
      </c>
      <c r="AY18" s="1714" t="s">
        <v>1980</v>
      </c>
      <c r="AZ18" s="1714" t="s">
        <v>1981</v>
      </c>
      <c r="BA18" s="1714" t="s">
        <v>1982</v>
      </c>
      <c r="BB18" s="1714" t="s">
        <v>1983</v>
      </c>
      <c r="BC18" s="1714" t="s">
        <v>1984</v>
      </c>
      <c r="BD18" s="1714" t="s">
        <v>1985</v>
      </c>
    </row>
    <row r="19" spans="1:56">
      <c r="A19" s="562" t="s">
        <v>1986</v>
      </c>
      <c r="B19" s="567">
        <f>+BSPL!I15-BSPL!H15</f>
        <v>15920527.49788934</v>
      </c>
      <c r="C19" s="568">
        <v>309718</v>
      </c>
      <c r="E19" s="529" t="s">
        <v>1079</v>
      </c>
      <c r="F19" s="230">
        <f>+[66]BSPL!G15</f>
        <v>51184927.105289809</v>
      </c>
      <c r="G19" s="230">
        <v>42797875.565622441</v>
      </c>
      <c r="H19" s="230">
        <f>+G19-F19</f>
        <v>-8387051.5396673679</v>
      </c>
      <c r="I19" s="230">
        <v>-8387051.5396673679</v>
      </c>
      <c r="J19" s="230">
        <f>+H19-I19</f>
        <v>0</v>
      </c>
      <c r="O19" s="571" t="s">
        <v>270</v>
      </c>
      <c r="P19" s="557">
        <v>34285</v>
      </c>
      <c r="Q19" s="557">
        <v>0</v>
      </c>
      <c r="R19" s="557">
        <v>34285</v>
      </c>
      <c r="S19" s="557">
        <v>0</v>
      </c>
      <c r="T19" s="572">
        <f t="shared" si="0"/>
        <v>0</v>
      </c>
      <c r="AX19" s="1714" t="s">
        <v>1079</v>
      </c>
      <c r="AY19" s="1714">
        <f>+[67]BSPL!F15</f>
        <v>67513794.217889339</v>
      </c>
      <c r="AZ19" s="1714">
        <f>+[67]BSPL!G15</f>
        <v>67823511.890000001</v>
      </c>
      <c r="BA19" s="1714"/>
      <c r="BB19" s="1714">
        <f>+AZ19</f>
        <v>67823511.890000001</v>
      </c>
      <c r="BC19" s="1714">
        <v>51184927.105289809</v>
      </c>
      <c r="BD19" s="1714"/>
    </row>
    <row r="20" spans="1:56">
      <c r="A20" s="562" t="s">
        <v>1987</v>
      </c>
      <c r="B20" s="567">
        <f>+BSPL!I17-BSPL!H17</f>
        <v>-10794697</v>
      </c>
      <c r="C20" s="568">
        <v>-60905661</v>
      </c>
      <c r="E20" s="529" t="s">
        <v>423</v>
      </c>
      <c r="F20" s="230">
        <f>+[66]BSPL!G17</f>
        <v>89957465.5</v>
      </c>
      <c r="G20" s="230">
        <v>100458396.86999999</v>
      </c>
      <c r="H20" s="230">
        <f>+G20-F20</f>
        <v>10500931.36999999</v>
      </c>
      <c r="I20" s="230">
        <v>10500931.36999999</v>
      </c>
      <c r="J20" s="230">
        <f t="shared" ref="J20:J30" si="1">+H20-I20</f>
        <v>0</v>
      </c>
      <c r="O20" s="571" t="s">
        <v>267</v>
      </c>
      <c r="P20" s="557">
        <v>122153</v>
      </c>
      <c r="Q20" s="557">
        <v>0</v>
      </c>
      <c r="R20" s="557">
        <v>122153</v>
      </c>
      <c r="S20" s="557">
        <v>0</v>
      </c>
      <c r="T20" s="572">
        <f t="shared" si="0"/>
        <v>0</v>
      </c>
      <c r="AX20" s="1714" t="s">
        <v>423</v>
      </c>
      <c r="AY20" s="1714">
        <f>+[67]BSPL!F16</f>
        <v>0</v>
      </c>
      <c r="AZ20" s="1714">
        <f>+[67]BSPL!G17</f>
        <v>94854388</v>
      </c>
      <c r="BA20" s="1714"/>
      <c r="BB20" s="1714">
        <f t="shared" ref="BB20:BB28" si="2">+AZ20</f>
        <v>94854388</v>
      </c>
      <c r="BC20" s="1714">
        <v>89957465.5</v>
      </c>
      <c r="BD20" s="1714"/>
    </row>
    <row r="21" spans="1:56">
      <c r="A21" s="562" t="s">
        <v>1988</v>
      </c>
      <c r="B21" s="567">
        <f>+BSPL!I20-BSPL!H20-0.4</f>
        <v>-1081500.3999999999</v>
      </c>
      <c r="C21" s="568">
        <v>1262300</v>
      </c>
      <c r="E21" s="230" t="s">
        <v>602</v>
      </c>
      <c r="F21" s="230">
        <f>+[66]BSPL!G20</f>
        <v>5769158.1199999992</v>
      </c>
      <c r="G21" s="230">
        <v>3466500.52</v>
      </c>
      <c r="H21" s="230">
        <f>+G21-F21</f>
        <v>-2302657.5999999992</v>
      </c>
      <c r="I21" s="230">
        <v>257785</v>
      </c>
      <c r="J21" s="230">
        <f t="shared" si="1"/>
        <v>-2560442.5999999992</v>
      </c>
      <c r="O21" s="571" t="s">
        <v>269</v>
      </c>
      <c r="P21" s="557">
        <v>139678</v>
      </c>
      <c r="Q21" s="557">
        <v>0</v>
      </c>
      <c r="R21" s="557">
        <v>139678</v>
      </c>
      <c r="S21" s="557">
        <v>0</v>
      </c>
      <c r="T21" s="572">
        <f t="shared" si="0"/>
        <v>0</v>
      </c>
      <c r="AX21" s="1714" t="s">
        <v>602</v>
      </c>
      <c r="AY21" s="1714">
        <f>+[67]BSPL!F17</f>
        <v>155760049.43000001</v>
      </c>
      <c r="AZ21" s="1714">
        <f>+[67]BSPL!G20</f>
        <v>8543299.9600000009</v>
      </c>
      <c r="BA21" s="1714"/>
      <c r="BB21" s="1714">
        <f t="shared" si="2"/>
        <v>8543299.9600000009</v>
      </c>
      <c r="BC21" s="1714">
        <v>5769158.1199999992</v>
      </c>
      <c r="BD21" s="1714"/>
    </row>
    <row r="22" spans="1:56">
      <c r="A22" s="562" t="s">
        <v>1989</v>
      </c>
      <c r="B22" s="567">
        <f>+BSPL!I21-BSPL!H21</f>
        <v>-2096241.9999999995</v>
      </c>
      <c r="C22" s="568">
        <v>897241</v>
      </c>
      <c r="E22" s="529" t="s">
        <v>598</v>
      </c>
      <c r="F22" s="230">
        <f>+[66]BSPL!G291</f>
        <v>7276608.1800000006</v>
      </c>
      <c r="G22" s="230">
        <v>8397289.7899999991</v>
      </c>
      <c r="H22" s="230">
        <f>+G22-F22</f>
        <v>1120681.6099999985</v>
      </c>
      <c r="I22" s="230">
        <v>-6669728.5899999999</v>
      </c>
      <c r="J22" s="230">
        <f t="shared" si="1"/>
        <v>7790410.1999999983</v>
      </c>
      <c r="O22" s="571" t="s">
        <v>268</v>
      </c>
      <c r="P22" s="557">
        <v>271788</v>
      </c>
      <c r="Q22" s="557">
        <v>0</v>
      </c>
      <c r="R22" s="557">
        <v>271788</v>
      </c>
      <c r="S22" s="557">
        <v>0</v>
      </c>
      <c r="T22" s="572">
        <f t="shared" si="0"/>
        <v>0</v>
      </c>
      <c r="AX22" s="1714" t="s">
        <v>598</v>
      </c>
      <c r="AY22" s="1714">
        <f>+[67]BSPL!F18</f>
        <v>333868.40000000002</v>
      </c>
      <c r="AZ22" s="1714">
        <f>+[67]BSPL!G21</f>
        <v>5106736.3549999995</v>
      </c>
      <c r="BA22" s="1714"/>
      <c r="BB22" s="1714">
        <f t="shared" si="2"/>
        <v>5106736.3549999995</v>
      </c>
      <c r="BC22" s="1714">
        <v>7276608.1800000006</v>
      </c>
      <c r="BD22" s="1714"/>
    </row>
    <row r="23" spans="1:56">
      <c r="A23" s="562" t="s">
        <v>1990</v>
      </c>
      <c r="B23" s="567">
        <f>+BSPL!I19-BSPL!H19</f>
        <v>0</v>
      </c>
      <c r="C23" s="568">
        <v>83454</v>
      </c>
      <c r="E23" s="529" t="s">
        <v>1199</v>
      </c>
      <c r="F23" s="230">
        <f>+[66]BSPL!G19</f>
        <v>192300</v>
      </c>
      <c r="G23" s="230">
        <v>192929</v>
      </c>
      <c r="H23" s="230">
        <f>+G23-F23</f>
        <v>629</v>
      </c>
      <c r="I23" s="230">
        <v>628.5</v>
      </c>
      <c r="J23" s="230">
        <f t="shared" si="1"/>
        <v>0.5</v>
      </c>
      <c r="O23" s="571" t="s">
        <v>799</v>
      </c>
      <c r="P23" s="573">
        <v>0</v>
      </c>
      <c r="Q23" s="573">
        <v>0</v>
      </c>
      <c r="R23" s="573">
        <v>0</v>
      </c>
      <c r="S23" s="573">
        <v>0</v>
      </c>
      <c r="T23" s="572">
        <f t="shared" si="0"/>
        <v>0</v>
      </c>
      <c r="AX23" s="1714" t="s">
        <v>1199</v>
      </c>
      <c r="AY23" s="1714">
        <f>+[67]BSPL!F19</f>
        <v>0</v>
      </c>
      <c r="AZ23" s="1714">
        <f>+[67]BSPL!G19</f>
        <v>83453.5</v>
      </c>
      <c r="BA23" s="1714"/>
      <c r="BB23" s="1714">
        <f t="shared" si="2"/>
        <v>83453.5</v>
      </c>
      <c r="BC23" s="1714">
        <v>192300</v>
      </c>
      <c r="BD23" s="1714"/>
    </row>
    <row r="24" spans="1:56">
      <c r="A24" s="562" t="s">
        <v>1991</v>
      </c>
      <c r="B24" s="567">
        <f>+BSPL!H41-BSPL!I41</f>
        <v>7728779.0799999982</v>
      </c>
      <c r="C24" s="568">
        <v>20582233</v>
      </c>
      <c r="E24" s="230" t="s">
        <v>1992</v>
      </c>
      <c r="F24" s="230">
        <f>+[66]BSPL!G41</f>
        <v>49656875.130000003</v>
      </c>
      <c r="G24" s="230">
        <v>64903509.759999998</v>
      </c>
      <c r="H24" s="230">
        <f t="shared" ref="H24:H28" si="3">+F24-G24</f>
        <v>-15246634.629999995</v>
      </c>
      <c r="I24" s="230">
        <v>-15466601.429999992</v>
      </c>
      <c r="J24" s="230">
        <f t="shared" si="1"/>
        <v>219966.79999999702</v>
      </c>
      <c r="O24" s="571" t="s">
        <v>890</v>
      </c>
      <c r="P24" s="557">
        <v>0</v>
      </c>
      <c r="Q24" s="557">
        <v>0</v>
      </c>
      <c r="R24" s="557">
        <v>19841</v>
      </c>
      <c r="S24" s="557">
        <v>0</v>
      </c>
      <c r="T24" s="572">
        <f t="shared" si="0"/>
        <v>-19841</v>
      </c>
      <c r="AX24" s="1714" t="s">
        <v>1992</v>
      </c>
      <c r="AY24" s="1714">
        <f>+[67]BSPL!F20</f>
        <v>7281000</v>
      </c>
      <c r="AZ24" s="1714">
        <f>+[67]BSPL!G41</f>
        <v>59045466.559999995</v>
      </c>
      <c r="BA24" s="1714"/>
      <c r="BB24" s="1714">
        <f t="shared" si="2"/>
        <v>59045466.559999995</v>
      </c>
      <c r="BC24" s="1714">
        <v>49656875.130000003</v>
      </c>
      <c r="BD24" s="1714"/>
    </row>
    <row r="25" spans="1:56">
      <c r="A25" s="562" t="s">
        <v>1993</v>
      </c>
      <c r="B25" s="567">
        <f>+BSPL!H35-BSPL!I35</f>
        <v>-568550</v>
      </c>
      <c r="C25" s="568">
        <v>-639729</v>
      </c>
      <c r="E25" s="230" t="s">
        <v>1994</v>
      </c>
      <c r="F25" s="230">
        <f>+[66]BSPL!G357</f>
        <v>1662107</v>
      </c>
      <c r="G25" s="230">
        <v>1812727</v>
      </c>
      <c r="H25" s="230">
        <f t="shared" si="3"/>
        <v>-150620</v>
      </c>
      <c r="J25" s="230">
        <f t="shared" si="1"/>
        <v>-150620</v>
      </c>
      <c r="O25" s="571" t="s">
        <v>892</v>
      </c>
      <c r="P25" s="557">
        <v>15292</v>
      </c>
      <c r="Q25" s="557">
        <v>0</v>
      </c>
      <c r="R25" s="557">
        <v>0</v>
      </c>
      <c r="S25" s="557">
        <v>0</v>
      </c>
      <c r="T25" s="572">
        <f t="shared" si="0"/>
        <v>15292</v>
      </c>
      <c r="AX25" s="1714" t="s">
        <v>1994</v>
      </c>
      <c r="AY25" s="1714">
        <f>+[67]BSPL!F21</f>
        <v>4209495.0199999996</v>
      </c>
      <c r="AZ25" s="1714">
        <f>+[67]BSPL!G353</f>
        <v>2183354.7000000002</v>
      </c>
      <c r="BA25" s="1714"/>
      <c r="BB25" s="1714">
        <f t="shared" si="2"/>
        <v>2183354.7000000002</v>
      </c>
      <c r="BC25" s="1714">
        <v>1662107</v>
      </c>
      <c r="BD25" s="1714"/>
    </row>
    <row r="26" spans="1:56">
      <c r="A26" s="562" t="s">
        <v>1995</v>
      </c>
      <c r="B26" s="567">
        <f>+BSPL!H451+BSPL!H452-BSPL!I451-BSPL!I452</f>
        <v>-93963</v>
      </c>
      <c r="C26" s="568">
        <v>358188</v>
      </c>
      <c r="E26" s="529" t="s">
        <v>1996</v>
      </c>
      <c r="F26" s="529">
        <f>+[66]BSPL!G404+[66]BSPL!G406</f>
        <v>983176</v>
      </c>
      <c r="G26" s="230">
        <f>192300+830966</f>
        <v>1023266</v>
      </c>
      <c r="H26" s="230">
        <f t="shared" si="3"/>
        <v>-40090</v>
      </c>
      <c r="I26" s="230">
        <v>-40090</v>
      </c>
      <c r="J26" s="230">
        <f t="shared" si="1"/>
        <v>0</v>
      </c>
      <c r="O26" s="571" t="s">
        <v>897</v>
      </c>
      <c r="P26" s="573">
        <v>0</v>
      </c>
      <c r="Q26" s="573">
        <v>0</v>
      </c>
      <c r="R26" s="573">
        <v>4717</v>
      </c>
      <c r="S26" s="573">
        <v>0</v>
      </c>
      <c r="T26" s="572">
        <f t="shared" si="0"/>
        <v>-4717</v>
      </c>
      <c r="AX26" s="1714" t="s">
        <v>1996</v>
      </c>
      <c r="AY26" s="1714">
        <f>+[67]BSPL!F22</f>
        <v>673307</v>
      </c>
      <c r="AZ26" s="1714">
        <f>+[67]BSPL!G42</f>
        <v>8240996.9399999995</v>
      </c>
      <c r="BA26" s="1714"/>
      <c r="BB26" s="1714">
        <f t="shared" si="2"/>
        <v>8240996.9399999995</v>
      </c>
      <c r="BC26" s="1714">
        <v>20599587</v>
      </c>
      <c r="BD26" s="1714"/>
    </row>
    <row r="27" spans="1:56">
      <c r="A27" s="562" t="s">
        <v>1997</v>
      </c>
      <c r="B27" s="567">
        <f>+BSPL!H43-BSPL!I43</f>
        <v>-117461.31000000145</v>
      </c>
      <c r="C27" s="568">
        <v>6147989</v>
      </c>
      <c r="E27" s="529" t="s">
        <v>482</v>
      </c>
      <c r="F27" s="230">
        <f>+[66]BSPL!G43</f>
        <v>539205.43999999994</v>
      </c>
      <c r="G27" s="230">
        <v>652090.0400000005</v>
      </c>
      <c r="H27" s="230">
        <f t="shared" si="3"/>
        <v>-112884.60000000056</v>
      </c>
      <c r="I27" s="230">
        <v>4972825.7999999989</v>
      </c>
      <c r="J27" s="230">
        <f t="shared" si="1"/>
        <v>-5085710.3999999994</v>
      </c>
      <c r="O27" s="571" t="s">
        <v>148</v>
      </c>
      <c r="P27" s="557">
        <v>17190</v>
      </c>
      <c r="Q27" s="557">
        <v>0</v>
      </c>
      <c r="R27" s="557">
        <v>0</v>
      </c>
      <c r="S27" s="557">
        <v>0</v>
      </c>
      <c r="T27" s="572">
        <f t="shared" si="0"/>
        <v>17190</v>
      </c>
      <c r="AX27" s="1714" t="s">
        <v>482</v>
      </c>
      <c r="AY27" s="1714">
        <f>+[67]BSPL!F23</f>
        <v>235771514.06788936</v>
      </c>
      <c r="AZ27" s="1714">
        <f>+[67]BSPL!G43</f>
        <v>537842.43999999994</v>
      </c>
      <c r="BA27" s="1714"/>
      <c r="BB27" s="1714">
        <f t="shared" si="2"/>
        <v>537842.43999999994</v>
      </c>
      <c r="BC27" s="1714">
        <v>539205.43999999994</v>
      </c>
      <c r="BD27" s="1714"/>
    </row>
    <row r="28" spans="1:56">
      <c r="A28" s="562" t="s">
        <v>1998</v>
      </c>
      <c r="B28" s="567">
        <f>+BSPL!H460+BSPL!H461+BSPL!H462-BSPL!I460-BSPL!I461-BSPL!I462</f>
        <v>-145701.49500000011</v>
      </c>
      <c r="C28" s="568">
        <v>431088</v>
      </c>
      <c r="E28" s="230" t="s">
        <v>1999</v>
      </c>
      <c r="F28" s="230">
        <f>+[66]BSPL!G413+[66]BSPL!G414</f>
        <v>3054029</v>
      </c>
      <c r="G28" s="230">
        <v>2118784</v>
      </c>
      <c r="H28" s="230">
        <f t="shared" si="3"/>
        <v>935245</v>
      </c>
      <c r="I28" s="230">
        <v>796877.99999999907</v>
      </c>
      <c r="J28" s="230">
        <f t="shared" si="1"/>
        <v>138367.00000000093</v>
      </c>
      <c r="O28" s="571" t="s">
        <v>893</v>
      </c>
      <c r="P28" s="557">
        <v>44002</v>
      </c>
      <c r="Q28" s="557">
        <v>0</v>
      </c>
      <c r="R28" s="557">
        <v>0</v>
      </c>
      <c r="S28" s="557">
        <v>0</v>
      </c>
      <c r="T28" s="572">
        <f t="shared" si="0"/>
        <v>44002</v>
      </c>
      <c r="AX28" s="1714" t="s">
        <v>1999</v>
      </c>
      <c r="AY28" s="1714">
        <f>+[67]BSPL!F24</f>
        <v>0</v>
      </c>
      <c r="AZ28" s="1714">
        <f>+[67]BSPL!G413+[67]BSPL!G414</f>
        <v>3125149</v>
      </c>
      <c r="BA28" s="1714"/>
      <c r="BB28" s="1714">
        <f t="shared" si="2"/>
        <v>3125149</v>
      </c>
      <c r="BC28" s="1714">
        <f>1450129+1603900</f>
        <v>3054029</v>
      </c>
      <c r="BD28" s="1714"/>
    </row>
    <row r="29" spans="1:56">
      <c r="A29" s="562" t="s">
        <v>2000</v>
      </c>
      <c r="B29" s="567">
        <f>+BSPL!I11-BSPL!H11</f>
        <v>-398174.60999999987</v>
      </c>
      <c r="C29" s="568">
        <v>227931</v>
      </c>
      <c r="E29" s="529" t="s">
        <v>2001</v>
      </c>
      <c r="F29" s="230">
        <f>+[66]BSPL!G11</f>
        <v>2870555</v>
      </c>
      <c r="G29" s="230">
        <v>2878939.95</v>
      </c>
      <c r="H29" s="230">
        <f>+G29-F29</f>
        <v>8384.9500000001863</v>
      </c>
      <c r="I29" s="230">
        <v>8384.9500000001863</v>
      </c>
      <c r="J29" s="230">
        <f t="shared" si="1"/>
        <v>0</v>
      </c>
      <c r="AX29" s="1714" t="s">
        <v>2001</v>
      </c>
      <c r="AY29" s="1714">
        <f>+[67]BSPL!F25</f>
        <v>0</v>
      </c>
      <c r="AZ29" s="1714">
        <f>+[67]BSPL!G21</f>
        <v>5106736.3549999995</v>
      </c>
      <c r="BA29" s="1714"/>
      <c r="BB29" s="1714">
        <f>+AZ29</f>
        <v>5106736.3549999995</v>
      </c>
      <c r="BC29" s="1714">
        <v>2870555</v>
      </c>
      <c r="BD29" s="1714"/>
    </row>
    <row r="30" spans="1:56">
      <c r="A30" s="562" t="s">
        <v>2002</v>
      </c>
      <c r="B30" s="567">
        <f>+BSPL!I233+BSPL!I234-BSPL!H233-BSPL!H234</f>
        <v>-546900</v>
      </c>
      <c r="C30" s="568">
        <v>-2464977</v>
      </c>
      <c r="E30" s="529" t="s">
        <v>2003</v>
      </c>
      <c r="F30" s="230">
        <f>+[66]BSPL!G242+[66]BSPL!G243</f>
        <v>4153020.3599999994</v>
      </c>
      <c r="G30" s="230">
        <v>3980523.36</v>
      </c>
      <c r="H30" s="230">
        <f>+G30-F30</f>
        <v>-172496.99999999953</v>
      </c>
      <c r="I30" s="230">
        <v>-52616.999999999534</v>
      </c>
      <c r="J30" s="230">
        <f t="shared" si="1"/>
        <v>-119880</v>
      </c>
      <c r="O30" s="557" t="s">
        <v>2004</v>
      </c>
      <c r="P30" s="557">
        <f>+[66]BSPL!F99</f>
        <v>4514807.180287933</v>
      </c>
      <c r="R30" s="557">
        <f>+[66]BSPL!G99</f>
        <v>16160409.421267949</v>
      </c>
      <c r="AX30" s="1714" t="s">
        <v>2003</v>
      </c>
      <c r="AY30" s="1714"/>
      <c r="AZ30" s="1714">
        <f t="shared" ref="AZ30" si="4">+BB30</f>
        <v>0</v>
      </c>
      <c r="BA30" s="1714"/>
      <c r="BB30" s="1714"/>
      <c r="BC30" s="1714">
        <f>1353400+2799620.36</f>
        <v>4153020.36</v>
      </c>
      <c r="BD30" s="1714"/>
    </row>
    <row r="31" spans="1:56">
      <c r="A31" s="562"/>
      <c r="B31" s="567"/>
      <c r="C31" s="568"/>
    </row>
    <row r="32" spans="1:56">
      <c r="A32" s="560" t="s">
        <v>2005</v>
      </c>
      <c r="B32" s="565">
        <f>SUM(B18:B31)</f>
        <v>7806116.7628893368</v>
      </c>
      <c r="C32" s="569">
        <f>SUM(C18:C31)</f>
        <v>-33710225</v>
      </c>
      <c r="P32" s="557">
        <f>-P30+(SUM(P17:P28)-SUM(R17:R28))</f>
        <v>-12987881.180287933</v>
      </c>
    </row>
    <row r="33" spans="1:82">
      <c r="A33" s="560" t="s">
        <v>2006</v>
      </c>
      <c r="B33" s="565">
        <f>+B32+B16</f>
        <v>37556620.165000007</v>
      </c>
      <c r="C33" s="569">
        <f>+C32+C16</f>
        <v>41169100.027889207</v>
      </c>
    </row>
    <row r="34" spans="1:82" s="574" customFormat="1">
      <c r="A34" s="563" t="s">
        <v>2007</v>
      </c>
      <c r="B34" s="564">
        <f>-BSPL!H95+(BSPL!I22-BSPL!H22)+(BSPL!H459-BSPL!I459)</f>
        <v>-4234079.8</v>
      </c>
      <c r="C34" s="568">
        <v>-13061145</v>
      </c>
      <c r="L34" s="575">
        <f>-6175062+6150116</f>
        <v>-24946</v>
      </c>
      <c r="M34" s="575"/>
      <c r="N34" s="575"/>
      <c r="O34" s="576" t="s">
        <v>2008</v>
      </c>
      <c r="P34" s="576">
        <f>+P18+P28+P25</f>
        <v>3859294</v>
      </c>
      <c r="Q34" s="576"/>
      <c r="R34" s="576">
        <f>+R17+R24</f>
        <v>12344841</v>
      </c>
      <c r="S34" s="576">
        <f>+R34-P34</f>
        <v>8485547</v>
      </c>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75"/>
      <c r="AS34" s="575"/>
      <c r="AT34" s="575"/>
      <c r="AU34" s="575"/>
      <c r="AV34" s="577"/>
      <c r="AW34" s="1715"/>
      <c r="AX34" s="1715"/>
      <c r="AY34" s="1715"/>
      <c r="AZ34" s="1715"/>
      <c r="BA34" s="1715"/>
      <c r="BB34" s="1715"/>
      <c r="BC34" s="1715"/>
      <c r="BD34" s="1715"/>
      <c r="BE34" s="1715"/>
      <c r="BF34" s="1715"/>
      <c r="BG34" s="1715"/>
      <c r="BH34" s="1715"/>
      <c r="BI34" s="1715"/>
      <c r="BJ34" s="1715"/>
      <c r="BK34" s="1715"/>
      <c r="BL34" s="1715"/>
      <c r="BM34" s="1715"/>
      <c r="BN34" s="1715"/>
      <c r="BO34" s="1715"/>
      <c r="BP34" s="1715"/>
      <c r="BQ34" s="1715"/>
      <c r="BR34" s="1715"/>
      <c r="BS34" s="1715"/>
      <c r="BT34" s="1715"/>
      <c r="BU34" s="1715"/>
      <c r="BV34" s="1715"/>
      <c r="BW34" s="1715"/>
      <c r="BX34" s="1715"/>
      <c r="BY34" s="1715"/>
      <c r="BZ34" s="1715"/>
      <c r="CA34" s="1715"/>
      <c r="CB34" s="1715"/>
      <c r="CC34" s="1715"/>
      <c r="CD34" s="1715"/>
    </row>
    <row r="35" spans="1:82">
      <c r="A35" s="560" t="s">
        <v>2009</v>
      </c>
      <c r="B35" s="565">
        <f>+B33+B34</f>
        <v>33322540.365000006</v>
      </c>
      <c r="C35" s="569">
        <f>+C33+C34</f>
        <v>28107955.027889207</v>
      </c>
      <c r="L35" s="556">
        <f>+L34/2</f>
        <v>-12473</v>
      </c>
      <c r="O35" s="557" t="s">
        <v>2010</v>
      </c>
      <c r="P35" s="557">
        <f>+P19+P20+P21+P22+P27</f>
        <v>585094</v>
      </c>
      <c r="R35" s="557">
        <f>+R19+R20+R21+R22+R26</f>
        <v>572621</v>
      </c>
      <c r="S35" s="557">
        <f>+R35-P35</f>
        <v>-12473</v>
      </c>
    </row>
    <row r="36" spans="1:82">
      <c r="A36" s="562"/>
      <c r="B36" s="567"/>
      <c r="C36" s="568"/>
      <c r="O36" s="557" t="s">
        <v>2011</v>
      </c>
      <c r="P36" s="557">
        <f>+P30</f>
        <v>4514807.180287933</v>
      </c>
      <c r="R36" s="557">
        <f>+R30</f>
        <v>16160409.421267949</v>
      </c>
      <c r="S36" s="557">
        <f>+P36-R36</f>
        <v>-11645602.240980016</v>
      </c>
    </row>
    <row r="37" spans="1:82">
      <c r="A37" s="563" t="s">
        <v>2012</v>
      </c>
      <c r="B37" s="564"/>
      <c r="C37" s="568"/>
      <c r="O37" s="557" t="s">
        <v>2013</v>
      </c>
      <c r="P37" s="557">
        <f>+[66]Computation!I83</f>
        <v>655513</v>
      </c>
      <c r="R37" s="557">
        <v>2326918</v>
      </c>
      <c r="S37" s="557">
        <f>+R37-P37</f>
        <v>1671405</v>
      </c>
    </row>
    <row r="38" spans="1:82" s="574" customFormat="1">
      <c r="A38" s="562" t="s">
        <v>2014</v>
      </c>
      <c r="B38" s="567">
        <f>-SUM(Depreciation!B11:I11)+(BSPL!I9-BSPL!H9)+(BSPL!I232-BSPL!H232)</f>
        <v>-60792147.397719756</v>
      </c>
      <c r="C38" s="568">
        <f>-11683042+0.4</f>
        <v>-11683041.6</v>
      </c>
      <c r="G38" s="574">
        <v>-20356671.280000001</v>
      </c>
      <c r="H38" s="574">
        <f>+G38+(G39-F39)+(G40-F40)+(F41-G41)</f>
        <v>-21384868.280000001</v>
      </c>
      <c r="L38" s="575"/>
      <c r="M38" s="575"/>
      <c r="N38" s="575"/>
      <c r="O38" s="576" t="s">
        <v>2015</v>
      </c>
      <c r="P38" s="576">
        <f>-[66]BSPL!F371</f>
        <v>1808134</v>
      </c>
      <c r="Q38" s="576"/>
      <c r="R38" s="576">
        <f>-[66]BSPL!G371</f>
        <v>7089950.0863537798</v>
      </c>
      <c r="S38" s="576">
        <f>+R38-P38</f>
        <v>5281816.0863537798</v>
      </c>
      <c r="T38" s="575"/>
      <c r="U38" s="575"/>
      <c r="V38" s="575"/>
      <c r="W38" s="575"/>
      <c r="X38" s="575"/>
      <c r="Y38" s="575"/>
      <c r="Z38" s="575"/>
      <c r="AA38" s="575"/>
      <c r="AB38" s="575"/>
      <c r="AC38" s="575"/>
      <c r="AD38" s="575"/>
      <c r="AE38" s="575"/>
      <c r="AF38" s="575"/>
      <c r="AG38" s="575"/>
      <c r="AH38" s="575"/>
      <c r="AI38" s="575"/>
      <c r="AJ38" s="575"/>
      <c r="AK38" s="575"/>
      <c r="AL38" s="575"/>
      <c r="AM38" s="575"/>
      <c r="AN38" s="575"/>
      <c r="AO38" s="575"/>
      <c r="AP38" s="575"/>
      <c r="AQ38" s="575"/>
      <c r="AR38" s="575"/>
      <c r="AS38" s="575"/>
      <c r="AT38" s="575"/>
      <c r="AU38" s="575"/>
      <c r="AW38" s="1715"/>
      <c r="AX38" s="1715"/>
      <c r="AY38" s="1715"/>
      <c r="AZ38" s="1715"/>
      <c r="BA38" s="1715"/>
      <c r="BB38" s="1715"/>
      <c r="BC38" s="1715"/>
      <c r="BD38" s="1715"/>
      <c r="BE38" s="1715"/>
      <c r="BF38" s="1715"/>
      <c r="BG38" s="1715"/>
      <c r="BH38" s="1715"/>
      <c r="BI38" s="1715"/>
      <c r="BJ38" s="1715"/>
      <c r="BK38" s="1715"/>
      <c r="BL38" s="1715"/>
      <c r="BM38" s="1715"/>
      <c r="BN38" s="1715"/>
      <c r="BO38" s="1715"/>
      <c r="BP38" s="1715"/>
      <c r="BQ38" s="1715"/>
      <c r="BR38" s="1715"/>
      <c r="BS38" s="1715"/>
      <c r="BT38" s="1715"/>
      <c r="BU38" s="1715"/>
      <c r="BV38" s="1715"/>
      <c r="BW38" s="1715"/>
      <c r="BX38" s="1715"/>
      <c r="BY38" s="1715"/>
      <c r="BZ38" s="1715"/>
      <c r="CA38" s="1715"/>
      <c r="CB38" s="1715"/>
      <c r="CC38" s="1715"/>
      <c r="CD38" s="1715"/>
    </row>
    <row r="39" spans="1:82" s="574" customFormat="1">
      <c r="A39" s="562" t="s">
        <v>2016</v>
      </c>
      <c r="B39" s="567">
        <v>0</v>
      </c>
      <c r="C39" s="568">
        <f>80000-0.4</f>
        <v>79999.600000000006</v>
      </c>
      <c r="F39" s="574">
        <f>+[66]BSPL!G9</f>
        <v>484789</v>
      </c>
      <c r="G39" s="574">
        <v>382310</v>
      </c>
      <c r="L39" s="575"/>
      <c r="M39" s="575"/>
      <c r="N39" s="575"/>
      <c r="O39" s="576"/>
      <c r="P39" s="576">
        <f>+([66]BSPL!F412-[66]BSPL!G412)</f>
        <v>-1488650.2409800161</v>
      </c>
      <c r="Q39" s="576"/>
      <c r="R39" s="576"/>
      <c r="S39" s="576"/>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75"/>
      <c r="AS39" s="575"/>
      <c r="AT39" s="575"/>
      <c r="AU39" s="575"/>
      <c r="AW39" s="1715"/>
      <c r="AX39" s="1715"/>
      <c r="AY39" s="1715"/>
      <c r="AZ39" s="1715"/>
      <c r="BA39" s="1715"/>
      <c r="BB39" s="1715"/>
      <c r="BC39" s="1715"/>
      <c r="BD39" s="1715"/>
      <c r="BE39" s="1715"/>
      <c r="BF39" s="1715"/>
      <c r="BG39" s="1715"/>
      <c r="BH39" s="1715"/>
      <c r="BI39" s="1715"/>
      <c r="BJ39" s="1715"/>
      <c r="BK39" s="1715"/>
      <c r="BL39" s="1715"/>
      <c r="BM39" s="1715"/>
      <c r="BN39" s="1715"/>
      <c r="BO39" s="1715"/>
      <c r="BP39" s="1715"/>
      <c r="BQ39" s="1715"/>
      <c r="BR39" s="1715"/>
      <c r="BS39" s="1715"/>
      <c r="BT39" s="1715"/>
      <c r="BU39" s="1715"/>
      <c r="BV39" s="1715"/>
      <c r="BW39" s="1715"/>
      <c r="BX39" s="1715"/>
      <c r="BY39" s="1715"/>
      <c r="BZ39" s="1715"/>
      <c r="CA39" s="1715"/>
      <c r="CB39" s="1715"/>
      <c r="CC39" s="1715"/>
      <c r="CD39" s="1715"/>
    </row>
    <row r="40" spans="1:82" hidden="1">
      <c r="A40" s="562" t="s">
        <v>2017</v>
      </c>
      <c r="B40" s="567"/>
      <c r="C40" s="568">
        <v>0</v>
      </c>
      <c r="F40" s="230">
        <f>+[66]BSPL!G241</f>
        <v>1521769</v>
      </c>
      <c r="G40" s="230">
        <v>0</v>
      </c>
      <c r="P40" s="557">
        <f>+([66]BSPL!F371-[66]BSPL!G371)</f>
        <v>5281816.0863537798</v>
      </c>
    </row>
    <row r="41" spans="1:82" hidden="1">
      <c r="A41" s="562" t="s">
        <v>2018</v>
      </c>
      <c r="B41" s="567"/>
      <c r="C41" s="568">
        <v>0</v>
      </c>
      <c r="F41" s="230">
        <f>+[66]BSPL!G403</f>
        <v>775995</v>
      </c>
      <c r="G41" s="230">
        <v>179944</v>
      </c>
      <c r="P41" s="557">
        <f>+([66]BSPL!G22-[66]BSPL!F22)</f>
        <v>-12473</v>
      </c>
    </row>
    <row r="42" spans="1:82" hidden="1">
      <c r="A42" s="562" t="s">
        <v>2019</v>
      </c>
      <c r="B42" s="567"/>
      <c r="C42" s="568">
        <v>0</v>
      </c>
    </row>
    <row r="43" spans="1:82" hidden="1">
      <c r="A43" s="562" t="s">
        <v>2020</v>
      </c>
      <c r="B43" s="567"/>
      <c r="C43" s="568">
        <v>0</v>
      </c>
    </row>
    <row r="44" spans="1:82">
      <c r="A44" s="562"/>
      <c r="B44" s="567"/>
      <c r="C44" s="568"/>
    </row>
    <row r="45" spans="1:82">
      <c r="A45" s="560" t="s">
        <v>2021</v>
      </c>
      <c r="B45" s="565">
        <f>SUM(B38:B44)</f>
        <v>-60792147.397719756</v>
      </c>
      <c r="C45" s="569">
        <f>SUM(C38:C44)</f>
        <v>-11603042</v>
      </c>
    </row>
    <row r="46" spans="1:82">
      <c r="A46" s="562" t="s">
        <v>1126</v>
      </c>
      <c r="B46" s="567"/>
      <c r="C46" s="568"/>
    </row>
    <row r="47" spans="1:82">
      <c r="A47" s="563" t="s">
        <v>2022</v>
      </c>
      <c r="B47" s="564"/>
      <c r="C47" s="568"/>
    </row>
    <row r="48" spans="1:82" hidden="1">
      <c r="A48" s="562" t="s">
        <v>2023</v>
      </c>
      <c r="B48" s="567"/>
      <c r="C48" s="568">
        <v>0</v>
      </c>
    </row>
    <row r="49" spans="1:53">
      <c r="A49" s="562" t="s">
        <v>2024</v>
      </c>
      <c r="B49" s="567">
        <f>+(BSPL!H40-BSPL!I40)-0.4</f>
        <v>13266364.190000003</v>
      </c>
      <c r="C49" s="568">
        <v>-18267488</v>
      </c>
      <c r="E49" s="529" t="s">
        <v>2025</v>
      </c>
      <c r="F49" s="230">
        <f>+[66]BSPL!G40</f>
        <v>55675684.390000001</v>
      </c>
      <c r="G49" s="230">
        <v>56946206.869999997</v>
      </c>
      <c r="H49" s="230">
        <f>+F49-G49</f>
        <v>-1270522.4799999967</v>
      </c>
      <c r="I49" s="230">
        <v>-1270522.4799999967</v>
      </c>
      <c r="J49" s="230">
        <f>+H49-I49</f>
        <v>0</v>
      </c>
    </row>
    <row r="50" spans="1:53">
      <c r="A50" s="562" t="s">
        <v>2026</v>
      </c>
      <c r="B50" s="567">
        <f>+BSPL!H368-BSPL!I368+BSPL!H373-BSPL!I373+BSPL!H379-BSPL!I379+BSPL!H448-BSPL!I448+BSPL!H449-BSPL!I449-0.4</f>
        <v>21690743.600000001</v>
      </c>
      <c r="C50" s="568">
        <v>8620131</v>
      </c>
      <c r="F50" s="230">
        <f>+[66]BSPL!G351+[66]BSPL!G400+[66]BSPL!G401</f>
        <v>49684017</v>
      </c>
      <c r="G50" s="230">
        <f>69355820+16692000</f>
        <v>86047820</v>
      </c>
      <c r="H50" s="230">
        <f>+F50-G50</f>
        <v>-36363803</v>
      </c>
    </row>
    <row r="51" spans="1:53">
      <c r="A51" s="562" t="s">
        <v>2027</v>
      </c>
      <c r="B51" s="567">
        <f>-B13+BSPL!H450-BSPL!I450</f>
        <v>-7742222.1500000004</v>
      </c>
      <c r="C51" s="568">
        <v>-6806951</v>
      </c>
    </row>
    <row r="52" spans="1:53">
      <c r="A52" s="562"/>
      <c r="B52" s="578"/>
      <c r="C52" s="568"/>
    </row>
    <row r="53" spans="1:53">
      <c r="A53" s="560" t="s">
        <v>2028</v>
      </c>
      <c r="B53" s="565">
        <f>SUM(B48:B52)</f>
        <v>27214885.640000008</v>
      </c>
      <c r="C53" s="569">
        <f>SUM(C48:C52)</f>
        <v>-16454308</v>
      </c>
    </row>
    <row r="54" spans="1:53">
      <c r="A54" s="563"/>
      <c r="B54" s="564"/>
      <c r="C54" s="568"/>
    </row>
    <row r="55" spans="1:53">
      <c r="A55" s="560" t="s">
        <v>2029</v>
      </c>
      <c r="B55" s="565">
        <f>+B53+B45+B35</f>
        <v>-254721.39271974191</v>
      </c>
      <c r="C55" s="569">
        <f>+C53+C45+C35</f>
        <v>50605.027889207006</v>
      </c>
    </row>
    <row r="56" spans="1:53">
      <c r="A56" s="2072"/>
      <c r="B56" s="2070"/>
      <c r="C56" s="568"/>
    </row>
    <row r="57" spans="1:53">
      <c r="A57" s="2003" t="s">
        <v>2030</v>
      </c>
      <c r="B57" s="2071">
        <f>+C59</f>
        <v>333868.02788920701</v>
      </c>
      <c r="C57" s="568">
        <v>283263</v>
      </c>
      <c r="AW57" s="1716">
        <f>+B55-B59</f>
        <v>-333868.02788920701</v>
      </c>
    </row>
    <row r="58" spans="1:53">
      <c r="A58" s="2073"/>
      <c r="B58" s="579"/>
      <c r="C58" s="568"/>
    </row>
    <row r="59" spans="1:53">
      <c r="A59" s="560" t="s">
        <v>3393</v>
      </c>
      <c r="B59" s="580">
        <f>+B55+B57</f>
        <v>79146.635169465095</v>
      </c>
      <c r="C59" s="581">
        <f>+C55+C57</f>
        <v>333868.02788920701</v>
      </c>
      <c r="D59" s="230">
        <v>-96650</v>
      </c>
      <c r="E59" s="529" t="e">
        <f>+#REF!+D59</f>
        <v>#REF!</v>
      </c>
      <c r="L59" s="556">
        <v>283262.68508566916</v>
      </c>
      <c r="AW59" s="1713">
        <f>+[67]BSPL!F18</f>
        <v>333868.40000000002</v>
      </c>
      <c r="AX59" s="1716">
        <f>+B59-AW59</f>
        <v>-254721.76483053493</v>
      </c>
      <c r="AY59" s="1716"/>
      <c r="AZ59" s="1716"/>
      <c r="BA59" s="1716"/>
    </row>
    <row r="60" spans="1:53">
      <c r="B60" s="2054"/>
      <c r="C60" s="584"/>
      <c r="D60" s="529"/>
      <c r="L60" s="585">
        <f>+C59-L59</f>
        <v>50605.342803537846</v>
      </c>
      <c r="AW60" s="1717">
        <f>+B59-BSPL!H18</f>
        <v>-4.8305349046131596E-3</v>
      </c>
    </row>
    <row r="61" spans="1:53" ht="0.75" customHeight="1">
      <c r="B61" s="2054"/>
      <c r="C61" s="584"/>
    </row>
    <row r="62" spans="1:53" ht="23.25" customHeight="1">
      <c r="A62" s="2122" t="s">
        <v>2031</v>
      </c>
      <c r="B62" s="2123"/>
      <c r="C62" s="2124"/>
    </row>
    <row r="63" spans="1:53">
      <c r="A63" s="1986"/>
      <c r="B63" s="1987"/>
      <c r="C63" s="1988"/>
    </row>
    <row r="64" spans="1:53" ht="18.75">
      <c r="A64" s="38" t="s">
        <v>1106</v>
      </c>
      <c r="B64" s="2055"/>
      <c r="C64" s="586" t="s">
        <v>1107</v>
      </c>
    </row>
    <row r="65" spans="1:3" ht="18.75">
      <c r="A65" s="41" t="s">
        <v>2032</v>
      </c>
      <c r="B65" s="2056"/>
      <c r="C65" s="586"/>
    </row>
    <row r="66" spans="1:3" ht="18.75">
      <c r="A66" s="41" t="s">
        <v>1110</v>
      </c>
      <c r="B66" s="2056"/>
      <c r="C66" s="586"/>
    </row>
    <row r="67" spans="1:3" ht="18.75">
      <c r="A67" s="41" t="s">
        <v>2033</v>
      </c>
      <c r="B67" s="2056"/>
      <c r="C67" s="586"/>
    </row>
    <row r="68" spans="1:3" ht="18.75">
      <c r="A68" s="41"/>
      <c r="B68" s="2056"/>
      <c r="C68" s="587" t="s">
        <v>1109</v>
      </c>
    </row>
    <row r="69" spans="1:3" ht="18.75">
      <c r="A69" s="41"/>
      <c r="B69" s="2056"/>
      <c r="C69" s="588" t="s">
        <v>1111</v>
      </c>
    </row>
    <row r="70" spans="1:3" ht="18.75">
      <c r="A70" s="41"/>
      <c r="B70" s="2056"/>
      <c r="C70" s="588"/>
    </row>
    <row r="71" spans="1:3" ht="18.75">
      <c r="A71" s="41"/>
      <c r="B71" s="2056"/>
      <c r="C71" s="588"/>
    </row>
    <row r="72" spans="1:3" ht="18.75">
      <c r="A72" s="41"/>
      <c r="B72" s="2056"/>
      <c r="C72" s="588"/>
    </row>
    <row r="73" spans="1:3" ht="18.75">
      <c r="A73" s="41" t="s">
        <v>2034</v>
      </c>
      <c r="B73" s="2056"/>
      <c r="C73" s="587" t="s">
        <v>1115</v>
      </c>
    </row>
    <row r="74" spans="1:3" ht="18.75">
      <c r="A74" s="41" t="s">
        <v>1114</v>
      </c>
      <c r="B74" s="2056"/>
      <c r="C74" s="588" t="s">
        <v>1117</v>
      </c>
    </row>
    <row r="75" spans="1:3" ht="18.75">
      <c r="A75" s="41" t="s">
        <v>2035</v>
      </c>
      <c r="B75" s="2056"/>
      <c r="C75" s="586"/>
    </row>
    <row r="76" spans="1:3" ht="18.75">
      <c r="A76" s="45" t="s">
        <v>1118</v>
      </c>
      <c r="B76" s="2056"/>
      <c r="C76" s="586"/>
    </row>
    <row r="77" spans="1:3" ht="37.5" customHeight="1">
      <c r="A77" s="47" t="s">
        <v>2527</v>
      </c>
      <c r="B77" s="2120" t="str">
        <f>+[67]BSPL!E127</f>
        <v>JARNAIL SINGH SAINI - CHIEF FINANCIAL OFFICER &amp; EXECUTIVE DIRECTOR</v>
      </c>
      <c r="C77" s="2121"/>
    </row>
    <row r="78" spans="1:3" ht="20.25" customHeight="1">
      <c r="A78" s="41" t="s">
        <v>3532</v>
      </c>
      <c r="B78" s="2056"/>
      <c r="C78" s="588" t="s">
        <v>1120</v>
      </c>
    </row>
    <row r="79" spans="1:3" ht="18.75">
      <c r="A79" s="41"/>
      <c r="B79" s="2056"/>
      <c r="C79" s="588"/>
    </row>
    <row r="80" spans="1:3" ht="18.75">
      <c r="A80" s="41"/>
      <c r="B80" s="2056"/>
      <c r="C80" s="588"/>
    </row>
    <row r="81" spans="1:3" ht="18.75">
      <c r="A81" s="41"/>
      <c r="B81" s="2056"/>
      <c r="C81" s="588"/>
    </row>
    <row r="82" spans="1:3" ht="18.75">
      <c r="A82" s="41"/>
      <c r="B82" s="2056"/>
      <c r="C82" s="587" t="s">
        <v>1121</v>
      </c>
    </row>
    <row r="83" spans="1:3" ht="18.75">
      <c r="A83" s="41"/>
      <c r="B83" s="2056"/>
      <c r="C83" s="588" t="s">
        <v>1122</v>
      </c>
    </row>
    <row r="84" spans="1:3" ht="18.75">
      <c r="A84" s="41"/>
      <c r="B84" s="2056"/>
      <c r="C84" s="588"/>
    </row>
    <row r="85" spans="1:3" ht="18.75">
      <c r="A85" s="41"/>
      <c r="B85" s="2056"/>
      <c r="C85" s="588"/>
    </row>
    <row r="86" spans="1:3" ht="18.75">
      <c r="A86" s="41"/>
      <c r="B86" s="2056"/>
      <c r="C86" s="588"/>
    </row>
    <row r="87" spans="1:3" ht="18.75">
      <c r="A87" s="41"/>
      <c r="B87" s="2056"/>
      <c r="C87" s="589" t="s">
        <v>1123</v>
      </c>
    </row>
    <row r="88" spans="1:3" ht="18.75">
      <c r="A88" s="41"/>
      <c r="B88" s="2056"/>
      <c r="C88" s="586" t="s">
        <v>1118</v>
      </c>
    </row>
    <row r="89" spans="1:3" ht="18.75">
      <c r="A89" s="52"/>
      <c r="B89" s="1844"/>
      <c r="C89" s="590" t="str">
        <f>+A77</f>
        <v>Date: 27-05-2022</v>
      </c>
    </row>
  </sheetData>
  <mergeCells count="5">
    <mergeCell ref="A1:C1"/>
    <mergeCell ref="A3:C3"/>
    <mergeCell ref="B77:C77"/>
    <mergeCell ref="A62:C62"/>
    <mergeCell ref="A5:A6"/>
  </mergeCells>
  <printOptions horizontalCentered="1" verticalCentered="1"/>
  <pageMargins left="0.51181102362204722" right="0.31496062992125984" top="0.15748031496062992" bottom="0.35433070866141736" header="0.31496062992125984" footer="0.31496062992125984"/>
  <pageSetup paperSize="9" scale="58" orientation="portrait" r:id="rId1"/>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I983"/>
  <sheetViews>
    <sheetView tabSelected="1" view="pageBreakPreview" zoomScale="71" zoomScaleSheetLayoutView="71" workbookViewId="0">
      <pane ySplit="1" topLeftCell="A2" activePane="bottomLeft" state="frozen"/>
      <selection pane="bottomLeft" activeCell="H14" sqref="H14"/>
    </sheetView>
  </sheetViews>
  <sheetFormatPr defaultColWidth="9.140625" defaultRowHeight="18.75"/>
  <cols>
    <col min="1" max="2" width="2.42578125" style="1371" customWidth="1"/>
    <col min="3" max="3" width="44" style="214" customWidth="1"/>
    <col min="4" max="4" width="18.5703125" style="214" customWidth="1"/>
    <col min="5" max="5" width="16.7109375" style="1860" customWidth="1"/>
    <col min="6" max="6" width="17" style="214" customWidth="1"/>
    <col min="7" max="7" width="15.42578125" style="1372" customWidth="1"/>
    <col min="8" max="8" width="23.7109375" style="215" customWidth="1"/>
    <col min="9" max="9" width="22.85546875" style="215" customWidth="1"/>
    <col min="10" max="10" width="23.42578125" style="1712" customWidth="1"/>
    <col min="11" max="13" width="23.42578125" style="1620" customWidth="1"/>
    <col min="14" max="14" width="39.42578125" style="1579" bestFit="1" customWidth="1"/>
    <col min="15" max="15" width="29.28515625" style="1555" customWidth="1"/>
    <col min="16" max="16" width="23.85546875" style="1555" bestFit="1" customWidth="1"/>
    <col min="17" max="17" width="18.28515625" style="1555" customWidth="1"/>
    <col min="18" max="18" width="23.28515625" style="1555" customWidth="1"/>
    <col min="19" max="19" width="16.85546875" style="1555" bestFit="1" customWidth="1"/>
    <col min="20" max="20" width="20.140625" style="1555" customWidth="1"/>
    <col min="21" max="21" width="15.140625" style="1555" bestFit="1" customWidth="1"/>
    <col min="22" max="22" width="20.140625" style="1555" customWidth="1"/>
    <col min="23" max="23" width="23.7109375" style="1555" customWidth="1"/>
    <col min="24" max="25" width="18.28515625" style="1555" customWidth="1"/>
    <col min="26" max="37" width="9.140625" style="1555" customWidth="1"/>
    <col min="38" max="61" width="9.140625" style="1373" customWidth="1"/>
    <col min="62" max="68" width="9.140625" style="1371" customWidth="1"/>
    <col min="69" max="16384" width="9.140625" style="1371"/>
  </cols>
  <sheetData>
    <row r="1" spans="1:16">
      <c r="A1" s="1371" t="s">
        <v>1126</v>
      </c>
      <c r="C1" s="44"/>
      <c r="D1" s="44"/>
      <c r="E1" s="1838"/>
      <c r="F1" s="44"/>
      <c r="H1" s="199">
        <f>+H46-H26</f>
        <v>1.0938763618469238E-2</v>
      </c>
      <c r="I1" s="211">
        <f>+I46-I26</f>
        <v>-0.26728010177612305</v>
      </c>
      <c r="J1" s="1552"/>
      <c r="K1" s="1553"/>
      <c r="L1" s="1553"/>
      <c r="M1" s="1553"/>
      <c r="N1" s="1554"/>
    </row>
    <row r="2" spans="1:16">
      <c r="C2" s="2249" t="s">
        <v>1065</v>
      </c>
      <c r="D2" s="2250"/>
      <c r="E2" s="2251"/>
      <c r="F2" s="2250"/>
      <c r="G2" s="2250"/>
      <c r="H2" s="2250"/>
      <c r="I2" s="2252"/>
      <c r="J2" s="1556"/>
      <c r="K2" s="1557"/>
      <c r="L2" s="1557"/>
      <c r="M2" s="1557"/>
      <c r="N2" s="1557"/>
    </row>
    <row r="3" spans="1:16">
      <c r="C3" s="2253" t="s">
        <v>2315</v>
      </c>
      <c r="D3" s="2254"/>
      <c r="E3" s="2254"/>
      <c r="F3" s="2254"/>
      <c r="G3" s="2254"/>
      <c r="H3" s="2254"/>
      <c r="I3" s="2255"/>
      <c r="J3" s="1556"/>
      <c r="K3" s="1557"/>
      <c r="L3" s="1557"/>
      <c r="M3" s="1557"/>
      <c r="N3" s="1557"/>
    </row>
    <row r="4" spans="1:16">
      <c r="C4" s="1374" t="s">
        <v>9</v>
      </c>
      <c r="D4" s="1375"/>
      <c r="E4" s="1871"/>
      <c r="F4" s="1375"/>
      <c r="G4" s="2256" t="s">
        <v>1066</v>
      </c>
      <c r="H4" s="15" t="s">
        <v>1067</v>
      </c>
      <c r="I4" s="15" t="s">
        <v>1068</v>
      </c>
      <c r="J4" s="1558"/>
      <c r="K4" s="1559"/>
      <c r="L4" s="1559"/>
      <c r="M4" s="1559"/>
      <c r="N4" s="1560"/>
    </row>
    <row r="5" spans="1:16">
      <c r="C5" s="1376"/>
      <c r="D5" s="1377"/>
      <c r="E5" s="1855"/>
      <c r="F5" s="1377"/>
      <c r="G5" s="2257"/>
      <c r="H5" s="16" t="s">
        <v>1545</v>
      </c>
      <c r="I5" s="16" t="s">
        <v>1069</v>
      </c>
      <c r="J5" s="1561"/>
      <c r="K5" s="1562"/>
      <c r="L5" s="1562"/>
      <c r="M5" s="1562"/>
      <c r="N5" s="1562"/>
    </row>
    <row r="6" spans="1:16">
      <c r="C6" s="1378" t="s">
        <v>1070</v>
      </c>
      <c r="D6" s="1379"/>
      <c r="E6" s="1856"/>
      <c r="F6" s="1379"/>
      <c r="G6" s="1380"/>
      <c r="H6" s="18"/>
      <c r="I6" s="18"/>
      <c r="J6" s="1563"/>
      <c r="L6" s="1564"/>
      <c r="M6" s="1564"/>
      <c r="N6" s="1565"/>
    </row>
    <row r="7" spans="1:16">
      <c r="C7" s="1378" t="s">
        <v>1071</v>
      </c>
      <c r="D7" s="1379"/>
      <c r="E7" s="1856"/>
      <c r="F7" s="1379"/>
      <c r="G7" s="1380"/>
      <c r="H7" s="18"/>
      <c r="I7" s="18"/>
      <c r="J7" s="1563"/>
      <c r="K7" s="1564"/>
      <c r="L7" s="1564"/>
      <c r="M7" s="1564"/>
      <c r="N7" s="1565"/>
    </row>
    <row r="8" spans="1:16">
      <c r="C8" s="1381" t="s">
        <v>1072</v>
      </c>
      <c r="D8" s="1379"/>
      <c r="E8" s="1856"/>
      <c r="F8" s="1379"/>
      <c r="G8" s="2258">
        <v>2</v>
      </c>
      <c r="H8" s="19">
        <f>+SUM(Depreciation!B26:I26)</f>
        <v>207947527</v>
      </c>
      <c r="I8" s="19">
        <f>+SUM(Depreciation!B25:I25)</f>
        <v>216229798.1645444</v>
      </c>
      <c r="J8" s="1566"/>
      <c r="K8" s="1564"/>
      <c r="L8" s="1567"/>
      <c r="M8" s="1567"/>
      <c r="N8" s="1568"/>
    </row>
    <row r="9" spans="1:16">
      <c r="C9" s="1381" t="s">
        <v>1073</v>
      </c>
      <c r="D9" s="1379"/>
      <c r="E9" s="1856"/>
      <c r="F9" s="1379"/>
      <c r="G9" s="2258"/>
      <c r="H9" s="19">
        <f>+Depreciation!K76</f>
        <v>40380749.359999992</v>
      </c>
      <c r="I9" s="19">
        <f>+GETPIVOTDATA("Sum of Dr. Final 2020-21",Pivot!$A$3,"Note",2,"BS Main Head","Property, Plant and Equipment","BS Sub Head","Capital WIP")</f>
        <v>313008</v>
      </c>
      <c r="J9" s="1566">
        <f>+I9-H9</f>
        <v>-40067741.359999992</v>
      </c>
      <c r="K9" s="1567"/>
      <c r="L9" s="1567"/>
      <c r="M9" s="1567"/>
      <c r="N9" s="1567" t="e">
        <f>+#REF!+#REF!</f>
        <v>#REF!</v>
      </c>
    </row>
    <row r="10" spans="1:16">
      <c r="C10" s="1382" t="s">
        <v>1074</v>
      </c>
      <c r="D10" s="1379"/>
      <c r="E10" s="1856"/>
      <c r="F10" s="1379"/>
      <c r="G10" s="1383"/>
      <c r="H10" s="21"/>
      <c r="I10" s="19"/>
      <c r="J10" s="1566"/>
      <c r="K10" s="1567"/>
      <c r="L10" s="1567"/>
      <c r="M10" s="1567"/>
      <c r="N10" s="1567">
        <f>+I9-H9</f>
        <v>-40067741.359999992</v>
      </c>
    </row>
    <row r="11" spans="1:16">
      <c r="C11" s="1384" t="s">
        <v>1075</v>
      </c>
      <c r="D11" s="1379"/>
      <c r="E11" s="1856"/>
      <c r="F11" s="1379"/>
      <c r="G11" s="1383">
        <v>3</v>
      </c>
      <c r="H11" s="22">
        <f>+H228</f>
        <v>2383478.61</v>
      </c>
      <c r="I11" s="22">
        <f>+I228</f>
        <v>1985304</v>
      </c>
      <c r="J11" s="1566"/>
      <c r="K11" s="1554"/>
      <c r="L11" s="1554"/>
      <c r="M11" s="1554"/>
      <c r="N11" s="1554">
        <v>2118377.61</v>
      </c>
      <c r="O11" s="1555">
        <f>+H11-N11</f>
        <v>265101</v>
      </c>
      <c r="P11" s="1555">
        <f>+H11-I11</f>
        <v>398174.60999999987</v>
      </c>
    </row>
    <row r="12" spans="1:16">
      <c r="C12" s="1385" t="s">
        <v>1076</v>
      </c>
      <c r="D12" s="1379"/>
      <c r="E12" s="1856"/>
      <c r="F12" s="1379"/>
      <c r="G12" s="1383">
        <v>4</v>
      </c>
      <c r="H12" s="22">
        <f>+H235</f>
        <v>23233048</v>
      </c>
      <c r="I12" s="22">
        <f>+I235</f>
        <v>11637218</v>
      </c>
      <c r="J12" s="1566">
        <f>11587218-I12</f>
        <v>-50000</v>
      </c>
      <c r="K12" s="1554"/>
      <c r="L12" s="1554"/>
      <c r="M12" s="1554"/>
      <c r="N12" s="1554">
        <v>6377241</v>
      </c>
      <c r="P12" s="1555">
        <f>+H12-I12</f>
        <v>11595830</v>
      </c>
    </row>
    <row r="13" spans="1:16">
      <c r="C13" s="1386" t="s">
        <v>1077</v>
      </c>
      <c r="D13" s="1379"/>
      <c r="E13" s="1856"/>
      <c r="F13" s="1379"/>
      <c r="G13" s="1383"/>
      <c r="H13" s="23">
        <f>+SUM(H8:H12)</f>
        <v>273944802.97000003</v>
      </c>
      <c r="I13" s="23">
        <f>+SUM(I8:I12)</f>
        <v>230165328.1645444</v>
      </c>
      <c r="J13" s="1561"/>
      <c r="K13" s="1569"/>
      <c r="L13" s="1569"/>
      <c r="M13" s="1569"/>
      <c r="N13" s="1569">
        <f>+N12-I12</f>
        <v>-5259977</v>
      </c>
    </row>
    <row r="14" spans="1:16">
      <c r="C14" s="1386" t="s">
        <v>1078</v>
      </c>
      <c r="D14" s="1379"/>
      <c r="E14" s="1856"/>
      <c r="F14" s="1379"/>
      <c r="G14" s="1383"/>
      <c r="H14" s="21"/>
      <c r="I14" s="19"/>
      <c r="J14" s="1566"/>
      <c r="K14" s="1567"/>
      <c r="L14" s="1567"/>
      <c r="M14" s="1567"/>
      <c r="N14" s="1567"/>
    </row>
    <row r="15" spans="1:16">
      <c r="C15" s="1385" t="s">
        <v>1079</v>
      </c>
      <c r="D15" s="1379"/>
      <c r="E15" s="1856"/>
      <c r="F15" s="1379"/>
      <c r="G15" s="1383">
        <v>5</v>
      </c>
      <c r="H15" s="22">
        <f>+H243</f>
        <v>51593266.719999999</v>
      </c>
      <c r="I15" s="22">
        <f>+I243</f>
        <v>67513794.217889339</v>
      </c>
      <c r="J15" s="1566"/>
      <c r="K15" s="1554"/>
      <c r="L15" s="1554"/>
      <c r="M15" s="1554"/>
      <c r="N15" s="1554">
        <f>+I15-H15</f>
        <v>15920527.49788934</v>
      </c>
      <c r="P15" s="1570"/>
    </row>
    <row r="16" spans="1:16">
      <c r="C16" s="1385" t="s">
        <v>1074</v>
      </c>
      <c r="D16" s="1379"/>
      <c r="E16" s="1856"/>
      <c r="F16" s="1379"/>
      <c r="G16" s="1383"/>
      <c r="H16" s="24"/>
      <c r="I16" s="24"/>
      <c r="J16" s="1561"/>
      <c r="K16" s="1569"/>
      <c r="L16" s="1569"/>
      <c r="M16" s="1569"/>
      <c r="N16" s="1569"/>
    </row>
    <row r="17" spans="3:17">
      <c r="C17" s="1387" t="s">
        <v>1080</v>
      </c>
      <c r="D17" s="1379"/>
      <c r="E17" s="1856"/>
      <c r="F17" s="1379"/>
      <c r="G17" s="1383">
        <v>6</v>
      </c>
      <c r="H17" s="22">
        <f>+H249</f>
        <v>166554746.43000001</v>
      </c>
      <c r="I17" s="22">
        <f>+I249</f>
        <v>155760049.43000001</v>
      </c>
      <c r="J17" s="1566"/>
      <c r="K17" s="1554"/>
      <c r="L17" s="1554"/>
      <c r="M17" s="1554"/>
      <c r="N17" s="1554">
        <f>+I17-H17</f>
        <v>-10794697</v>
      </c>
      <c r="O17" s="1571"/>
      <c r="P17" s="1571"/>
      <c r="Q17" s="1571"/>
    </row>
    <row r="18" spans="3:17">
      <c r="C18" s="1387" t="s">
        <v>1081</v>
      </c>
      <c r="D18" s="1379"/>
      <c r="E18" s="1856"/>
      <c r="F18" s="1379"/>
      <c r="G18" s="1383">
        <v>7</v>
      </c>
      <c r="H18" s="22">
        <f>+H278</f>
        <v>79146.64</v>
      </c>
      <c r="I18" s="22">
        <f>+I278</f>
        <v>333868.40000000002</v>
      </c>
      <c r="J18" s="1566"/>
      <c r="K18" s="1554"/>
      <c r="L18" s="1554"/>
      <c r="M18" s="1554"/>
      <c r="N18" s="1554"/>
      <c r="O18" s="1571"/>
      <c r="P18" s="1571"/>
      <c r="Q18" s="1571"/>
    </row>
    <row r="19" spans="3:17">
      <c r="C19" s="1387" t="s">
        <v>1082</v>
      </c>
      <c r="D19" s="1379"/>
      <c r="E19" s="1856"/>
      <c r="F19" s="1379"/>
      <c r="G19" s="1383">
        <v>8</v>
      </c>
      <c r="H19" s="22">
        <f>+H282</f>
        <v>0</v>
      </c>
      <c r="I19" s="22">
        <f>+I282</f>
        <v>0</v>
      </c>
      <c r="J19" s="1566"/>
      <c r="K19" s="1554"/>
      <c r="L19" s="1554"/>
      <c r="M19" s="1554"/>
      <c r="N19" s="1554"/>
    </row>
    <row r="20" spans="3:17">
      <c r="C20" s="1387" t="s">
        <v>1083</v>
      </c>
      <c r="D20" s="1379"/>
      <c r="E20" s="1856"/>
      <c r="F20" s="1379"/>
      <c r="G20" s="1383">
        <v>9</v>
      </c>
      <c r="H20" s="22">
        <f>+H287</f>
        <v>8362500</v>
      </c>
      <c r="I20" s="22">
        <f>+I287</f>
        <v>7281000</v>
      </c>
      <c r="J20" s="1566"/>
      <c r="K20" s="1554"/>
      <c r="L20" s="1554"/>
      <c r="M20" s="1554"/>
      <c r="N20" s="1554"/>
    </row>
    <row r="21" spans="3:17">
      <c r="C21" s="1385" t="s">
        <v>1084</v>
      </c>
      <c r="D21" s="1379"/>
      <c r="E21" s="1856"/>
      <c r="F21" s="1379"/>
      <c r="G21" s="1383">
        <v>10</v>
      </c>
      <c r="H21" s="22">
        <f>+H294</f>
        <v>6255737.0199999996</v>
      </c>
      <c r="I21" s="22">
        <f>+I294</f>
        <v>4159495.02</v>
      </c>
      <c r="J21" s="1566">
        <f>4209495-I21</f>
        <v>49999.979999999981</v>
      </c>
      <c r="K21" s="1554"/>
      <c r="L21" s="1554"/>
      <c r="M21" s="1554"/>
      <c r="N21" s="1554">
        <v>5106736</v>
      </c>
      <c r="O21" s="1555">
        <f>+I21-N21</f>
        <v>-947240.98</v>
      </c>
    </row>
    <row r="22" spans="3:17">
      <c r="C22" s="1385" t="s">
        <v>1085</v>
      </c>
      <c r="D22" s="1379"/>
      <c r="E22" s="1856"/>
      <c r="F22" s="1379"/>
      <c r="G22" s="1383">
        <v>11</v>
      </c>
      <c r="H22" s="22">
        <f>+H297</f>
        <v>2322957.8136877958</v>
      </c>
      <c r="I22" s="22">
        <f>+I297</f>
        <v>673307</v>
      </c>
      <c r="J22" s="1566"/>
      <c r="K22" s="1554"/>
      <c r="L22" s="1554"/>
      <c r="M22" s="1554"/>
      <c r="N22" s="1554">
        <v>673307</v>
      </c>
      <c r="O22" s="1555">
        <f>+H22-N22</f>
        <v>1649650.8136877958</v>
      </c>
    </row>
    <row r="23" spans="3:17">
      <c r="C23" s="1384"/>
      <c r="D23" s="1379"/>
      <c r="E23" s="1856"/>
      <c r="F23" s="1388"/>
      <c r="G23" s="1383"/>
      <c r="H23" s="23">
        <f>+SUM(H15:H22)</f>
        <v>235168354.6236878</v>
      </c>
      <c r="I23" s="23">
        <f>+SUM(I15:I22)</f>
        <v>235721514.06788936</v>
      </c>
      <c r="J23" s="1561"/>
      <c r="K23" s="1569"/>
      <c r="L23" s="1569"/>
      <c r="M23" s="1569"/>
      <c r="N23" s="1569"/>
    </row>
    <row r="24" spans="3:17" hidden="1">
      <c r="C24" s="1384"/>
      <c r="D24" s="1379"/>
      <c r="E24" s="1856"/>
      <c r="F24" s="1379"/>
      <c r="G24" s="1383"/>
      <c r="H24" s="25"/>
      <c r="I24" s="26"/>
      <c r="J24" s="1566"/>
      <c r="K24" s="1567"/>
      <c r="L24" s="1567"/>
      <c r="M24" s="1567"/>
      <c r="N24" s="1567"/>
    </row>
    <row r="25" spans="3:17" hidden="1">
      <c r="C25" s="1389"/>
      <c r="D25" s="1379"/>
      <c r="E25" s="1856"/>
      <c r="F25" s="1379"/>
      <c r="G25" s="1380"/>
      <c r="H25" s="18"/>
      <c r="I25" s="18"/>
      <c r="J25" s="1563"/>
      <c r="K25" s="1564"/>
      <c r="L25" s="1564"/>
      <c r="M25" s="1564"/>
      <c r="N25" s="1564"/>
    </row>
    <row r="26" spans="3:17" ht="19.5" thickBot="1">
      <c r="C26" s="1389" t="s">
        <v>1086</v>
      </c>
      <c r="D26" s="1379"/>
      <c r="E26" s="1856"/>
      <c r="F26" s="1379"/>
      <c r="G26" s="1380"/>
      <c r="H26" s="27">
        <f>+H23+H13</f>
        <v>509113157.59368783</v>
      </c>
      <c r="I26" s="27">
        <f>+I23+I13</f>
        <v>465886842.2324338</v>
      </c>
      <c r="J26" s="1572"/>
      <c r="K26" s="1573"/>
      <c r="L26" s="1573"/>
      <c r="M26" s="1573"/>
      <c r="N26" s="1573">
        <v>412667869</v>
      </c>
      <c r="O26" s="1555">
        <f>I26-N26</f>
        <v>53218973.232433796</v>
      </c>
    </row>
    <row r="27" spans="3:17" ht="19.5" thickTop="1">
      <c r="C27" s="1390" t="s">
        <v>1087</v>
      </c>
      <c r="D27" s="1379"/>
      <c r="E27" s="1856"/>
      <c r="F27" s="1379"/>
      <c r="G27" s="1383"/>
      <c r="H27" s="21"/>
      <c r="I27" s="28"/>
      <c r="J27" s="1574"/>
      <c r="K27" s="1575"/>
      <c r="L27" s="1575"/>
      <c r="M27" s="1575"/>
      <c r="N27" s="1575"/>
    </row>
    <row r="28" spans="3:17">
      <c r="C28" s="1389" t="s">
        <v>1088</v>
      </c>
      <c r="D28" s="1379"/>
      <c r="E28" s="1856"/>
      <c r="F28" s="1379"/>
      <c r="G28" s="1383"/>
      <c r="H28" s="21"/>
      <c r="I28" s="28"/>
      <c r="J28" s="1574"/>
      <c r="K28" s="1575"/>
      <c r="L28" s="1575"/>
      <c r="M28" s="1575"/>
      <c r="N28" s="1575"/>
    </row>
    <row r="29" spans="3:17">
      <c r="C29" s="1384" t="s">
        <v>1089</v>
      </c>
      <c r="D29" s="1379"/>
      <c r="E29" s="1856"/>
      <c r="F29" s="1379"/>
      <c r="G29" s="1383">
        <v>12</v>
      </c>
      <c r="H29" s="22">
        <f>+H146</f>
        <v>26922650</v>
      </c>
      <c r="I29" s="22">
        <f>+I146</f>
        <v>26922650</v>
      </c>
      <c r="J29" s="1566"/>
      <c r="K29" s="1554"/>
      <c r="L29" s="1554"/>
      <c r="M29" s="1554"/>
      <c r="N29" s="1554"/>
    </row>
    <row r="30" spans="3:17">
      <c r="C30" s="1384" t="s">
        <v>1090</v>
      </c>
      <c r="D30" s="1379"/>
      <c r="E30" s="1856"/>
      <c r="F30" s="1379"/>
      <c r="G30" s="1383"/>
      <c r="H30" s="22">
        <f>+H192</f>
        <v>246301497.54475299</v>
      </c>
      <c r="I30" s="22">
        <f>+I192</f>
        <v>241372133.55420685</v>
      </c>
      <c r="J30" s="1566"/>
      <c r="K30" s="1554"/>
      <c r="L30" s="1554"/>
      <c r="M30" s="1554"/>
      <c r="N30" s="1554"/>
    </row>
    <row r="31" spans="3:17">
      <c r="C31" s="1389" t="s">
        <v>1091</v>
      </c>
      <c r="D31" s="1379"/>
      <c r="E31" s="1856"/>
      <c r="F31" s="1379"/>
      <c r="G31" s="1383"/>
      <c r="H31" s="29">
        <f>+SUM(H29:H30)</f>
        <v>273224147.54475296</v>
      </c>
      <c r="I31" s="29">
        <f>+SUM(I29:I30)</f>
        <v>268294783.55420685</v>
      </c>
      <c r="J31" s="1572"/>
      <c r="K31" s="1573"/>
      <c r="L31" s="1573"/>
      <c r="M31" s="1573"/>
      <c r="N31" s="1573"/>
    </row>
    <row r="32" spans="3:17">
      <c r="C32" s="1389" t="s">
        <v>1092</v>
      </c>
      <c r="D32" s="1379"/>
      <c r="E32" s="1856"/>
      <c r="F32" s="1379"/>
      <c r="G32" s="1383"/>
      <c r="H32" s="21"/>
      <c r="I32" s="28"/>
      <c r="J32" s="1574"/>
      <c r="K32" s="1575"/>
      <c r="L32" s="1575"/>
      <c r="M32" s="1575"/>
      <c r="N32" s="1575"/>
    </row>
    <row r="33" spans="3:14">
      <c r="C33" s="1384" t="s">
        <v>1093</v>
      </c>
      <c r="D33" s="1379"/>
      <c r="E33" s="1856"/>
      <c r="F33" s="1379"/>
      <c r="G33" s="1383"/>
      <c r="H33" s="21"/>
      <c r="I33" s="28"/>
      <c r="J33" s="1574"/>
      <c r="K33" s="1575"/>
      <c r="L33" s="1575"/>
      <c r="M33" s="1575"/>
      <c r="N33" s="1575"/>
    </row>
    <row r="34" spans="3:14">
      <c r="C34" s="1384" t="s">
        <v>1094</v>
      </c>
      <c r="D34" s="1379"/>
      <c r="E34" s="1856"/>
      <c r="F34" s="1379"/>
      <c r="G34" s="1383">
        <v>13</v>
      </c>
      <c r="H34" s="22">
        <f>+H380</f>
        <v>43066112</v>
      </c>
      <c r="I34" s="22">
        <f>+I380</f>
        <v>31986480</v>
      </c>
      <c r="J34" s="1566"/>
      <c r="K34" s="1554"/>
      <c r="L34" s="1554"/>
      <c r="M34" s="1554"/>
      <c r="N34" s="1554"/>
    </row>
    <row r="35" spans="3:14">
      <c r="C35" s="1384" t="s">
        <v>1095</v>
      </c>
      <c r="D35" s="1379"/>
      <c r="E35" s="1856"/>
      <c r="F35" s="1379"/>
      <c r="G35" s="1383">
        <v>14</v>
      </c>
      <c r="H35" s="22">
        <f>+H388</f>
        <v>975075.70000000019</v>
      </c>
      <c r="I35" s="22">
        <f>+I388</f>
        <v>1543625.7000000002</v>
      </c>
      <c r="J35" s="1566"/>
      <c r="K35" s="1554"/>
      <c r="L35" s="1554"/>
      <c r="M35" s="1554"/>
      <c r="N35" s="1554"/>
    </row>
    <row r="36" spans="3:14">
      <c r="C36" s="1384" t="s">
        <v>1096</v>
      </c>
      <c r="D36" s="1379"/>
      <c r="E36" s="1856"/>
      <c r="F36" s="1379"/>
      <c r="G36" s="1383">
        <v>15</v>
      </c>
      <c r="H36" s="22">
        <f>+H401</f>
        <v>16151128.949873626</v>
      </c>
      <c r="I36" s="22">
        <f>+I401</f>
        <v>19475120.165946875</v>
      </c>
      <c r="J36" s="1566"/>
      <c r="K36" s="1554"/>
      <c r="L36" s="1554"/>
      <c r="M36" s="1554"/>
      <c r="N36" s="1554"/>
    </row>
    <row r="37" spans="3:14">
      <c r="C37" s="1391"/>
      <c r="D37" s="1379"/>
      <c r="E37" s="1856"/>
      <c r="F37" s="1379"/>
      <c r="G37" s="1383"/>
      <c r="H37" s="29">
        <f>+SUM(H34:H36)</f>
        <v>60192316.649873629</v>
      </c>
      <c r="I37" s="29">
        <f>+SUM(I34:I36)</f>
        <v>53005225.865946874</v>
      </c>
      <c r="J37" s="1572"/>
      <c r="K37" s="1573"/>
      <c r="L37" s="1573"/>
      <c r="M37" s="1573"/>
      <c r="N37" s="1573"/>
    </row>
    <row r="38" spans="3:14">
      <c r="C38" s="1389" t="s">
        <v>1097</v>
      </c>
      <c r="D38" s="1379"/>
      <c r="E38" s="1856"/>
      <c r="F38" s="1379"/>
      <c r="G38" s="1383"/>
      <c r="H38" s="21"/>
      <c r="I38" s="28"/>
      <c r="J38" s="1574"/>
      <c r="K38" s="1575"/>
      <c r="L38" s="1575"/>
      <c r="M38" s="1575"/>
      <c r="N38" s="1575"/>
    </row>
    <row r="39" spans="3:14">
      <c r="C39" s="1384" t="s">
        <v>1093</v>
      </c>
      <c r="D39" s="1379"/>
      <c r="E39" s="1856"/>
      <c r="F39" s="1379"/>
      <c r="G39" s="1383"/>
      <c r="H39" s="21"/>
      <c r="I39" s="28"/>
      <c r="J39" s="1574"/>
      <c r="K39" s="1575"/>
      <c r="L39" s="1575"/>
      <c r="M39" s="1575"/>
      <c r="N39" s="1575"/>
    </row>
    <row r="40" spans="3:14">
      <c r="C40" s="1384" t="s">
        <v>1094</v>
      </c>
      <c r="D40" s="1379"/>
      <c r="E40" s="1856"/>
      <c r="F40" s="1379"/>
      <c r="G40" s="1383">
        <v>16</v>
      </c>
      <c r="H40" s="22">
        <f>+H410</f>
        <v>56842407.57</v>
      </c>
      <c r="I40" s="22">
        <f>+I410</f>
        <v>43576042.979999997</v>
      </c>
      <c r="J40" s="1566"/>
      <c r="K40" s="1554"/>
      <c r="L40" s="1554"/>
      <c r="M40" s="1554"/>
      <c r="N40" s="1554"/>
    </row>
    <row r="41" spans="3:14">
      <c r="C41" s="1384" t="s">
        <v>1098</v>
      </c>
      <c r="D41" s="1379"/>
      <c r="E41" s="1856"/>
      <c r="F41" s="1379"/>
      <c r="G41" s="1383">
        <v>17</v>
      </c>
      <c r="H41" s="22">
        <f>+H419</f>
        <v>87356478.839999989</v>
      </c>
      <c r="I41" s="22">
        <f>+I419</f>
        <v>79627699.75999999</v>
      </c>
      <c r="J41" s="1566"/>
      <c r="K41" s="1554"/>
      <c r="L41" s="1554"/>
      <c r="M41" s="1554"/>
      <c r="N41" s="1554"/>
    </row>
    <row r="42" spans="3:14">
      <c r="C42" s="1384" t="s">
        <v>1099</v>
      </c>
      <c r="D42" s="1379"/>
      <c r="E42" s="1856"/>
      <c r="F42" s="1379"/>
      <c r="G42" s="1383">
        <v>18</v>
      </c>
      <c r="H42" s="22">
        <f>+H453</f>
        <v>21518901</v>
      </c>
      <c r="I42" s="22">
        <f>+I453</f>
        <v>11141021</v>
      </c>
      <c r="J42" s="1566"/>
      <c r="K42" s="1554"/>
      <c r="L42" s="1554"/>
      <c r="M42" s="1554"/>
      <c r="N42" s="1554"/>
    </row>
    <row r="43" spans="3:14">
      <c r="C43" s="1384" t="s">
        <v>1100</v>
      </c>
      <c r="D43" s="1379"/>
      <c r="E43" s="1856"/>
      <c r="F43" s="1379"/>
      <c r="G43" s="1383">
        <v>19</v>
      </c>
      <c r="H43" s="22">
        <f>+H456</f>
        <v>6568369.9999999991</v>
      </c>
      <c r="I43" s="22">
        <f>+I456</f>
        <v>6685831.3100000005</v>
      </c>
      <c r="J43" s="1566"/>
      <c r="K43" s="1554"/>
      <c r="L43" s="1554"/>
      <c r="M43" s="1554"/>
      <c r="N43" s="1554"/>
    </row>
    <row r="44" spans="3:14">
      <c r="C44" s="1384" t="s">
        <v>1101</v>
      </c>
      <c r="D44" s="1379"/>
      <c r="E44" s="1856"/>
      <c r="F44" s="1379"/>
      <c r="G44" s="1383">
        <v>20</v>
      </c>
      <c r="H44" s="22">
        <f>+H463</f>
        <v>3410536</v>
      </c>
      <c r="I44" s="22">
        <f>+I463</f>
        <v>3556237.4950000001</v>
      </c>
      <c r="J44" s="1566"/>
      <c r="K44" s="1554"/>
      <c r="L44" s="1554"/>
      <c r="M44" s="1554"/>
      <c r="N44" s="1554"/>
    </row>
    <row r="45" spans="3:14">
      <c r="C45" s="1389" t="s">
        <v>1102</v>
      </c>
      <c r="D45" s="1379"/>
      <c r="E45" s="1856"/>
      <c r="F45" s="1379"/>
      <c r="G45" s="1383"/>
      <c r="H45" s="30">
        <f>+SUM(H40:H44)</f>
        <v>175696693.41</v>
      </c>
      <c r="I45" s="30">
        <f>+SUM(I40:I44)</f>
        <v>144586832.54499999</v>
      </c>
      <c r="J45" s="1572"/>
      <c r="K45" s="1573"/>
      <c r="L45" s="1573"/>
      <c r="M45" s="1573"/>
      <c r="N45" s="1573"/>
    </row>
    <row r="46" spans="3:14" ht="19.5" thickBot="1">
      <c r="C46" s="1390" t="s">
        <v>1103</v>
      </c>
      <c r="D46" s="1379"/>
      <c r="E46" s="1856"/>
      <c r="F46" s="1379"/>
      <c r="G46" s="1380"/>
      <c r="H46" s="31">
        <f>+H45+H37+H31</f>
        <v>509113157.6046266</v>
      </c>
      <c r="I46" s="31">
        <f>+I45+I37+I31</f>
        <v>465886841.96515369</v>
      </c>
      <c r="J46" s="1572"/>
      <c r="K46" s="1573"/>
      <c r="L46" s="1573"/>
      <c r="M46" s="1573"/>
      <c r="N46" s="1573"/>
    </row>
    <row r="47" spans="3:14" ht="19.5" thickTop="1">
      <c r="C47" s="1392" t="s">
        <v>1104</v>
      </c>
      <c r="D47" s="1377"/>
      <c r="E47" s="1855"/>
      <c r="F47" s="1377"/>
      <c r="G47" s="1974" t="s">
        <v>3515</v>
      </c>
      <c r="H47" s="32"/>
      <c r="I47" s="33"/>
      <c r="J47" s="1563"/>
      <c r="K47" s="1576"/>
      <c r="L47" s="1576"/>
      <c r="M47" s="1576"/>
      <c r="N47" s="1577"/>
    </row>
    <row r="48" spans="3:14">
      <c r="C48" s="1390"/>
      <c r="D48" s="1379"/>
      <c r="E48" s="1856"/>
      <c r="F48" s="1379"/>
      <c r="G48" s="1393"/>
      <c r="H48" s="34"/>
      <c r="I48" s="35"/>
      <c r="J48" s="1563"/>
      <c r="K48" s="1576"/>
      <c r="L48" s="1576"/>
      <c r="M48" s="1576"/>
      <c r="N48" s="1577"/>
    </row>
    <row r="49" spans="3:14">
      <c r="C49" s="1390" t="s">
        <v>1105</v>
      </c>
      <c r="D49" s="1379"/>
      <c r="E49" s="1856"/>
      <c r="F49" s="1379"/>
      <c r="G49" s="1394"/>
      <c r="H49" s="36"/>
      <c r="I49" s="37"/>
      <c r="J49" s="1563"/>
      <c r="K49" s="1564"/>
      <c r="L49" s="1564"/>
      <c r="M49" s="1564"/>
      <c r="N49" s="1565"/>
    </row>
    <row r="50" spans="3:14">
      <c r="C50" s="1395" t="s">
        <v>1106</v>
      </c>
      <c r="D50" s="1396"/>
      <c r="E50" s="1396"/>
      <c r="F50" s="1396"/>
      <c r="G50" s="1397" t="s">
        <v>1107</v>
      </c>
      <c r="H50" s="39"/>
      <c r="I50" s="40"/>
      <c r="J50" s="1566"/>
      <c r="K50" s="1578"/>
      <c r="L50" s="1578"/>
      <c r="M50" s="1578"/>
    </row>
    <row r="51" spans="3:14">
      <c r="C51" s="1398"/>
      <c r="D51" s="1379"/>
      <c r="E51" s="1856"/>
      <c r="F51" s="1379"/>
      <c r="G51" s="1397"/>
      <c r="H51" s="39"/>
      <c r="I51" s="40"/>
      <c r="J51" s="1566"/>
      <c r="K51" s="1578"/>
      <c r="L51" s="1578"/>
      <c r="M51" s="1578"/>
    </row>
    <row r="52" spans="3:14">
      <c r="C52" s="1398" t="s">
        <v>1108</v>
      </c>
      <c r="D52" s="1399"/>
      <c r="E52" s="1399"/>
      <c r="F52" s="1399"/>
      <c r="G52" s="1400" t="s">
        <v>1109</v>
      </c>
      <c r="H52" s="42"/>
      <c r="I52" s="43"/>
      <c r="J52" s="1561"/>
      <c r="K52" s="1561"/>
      <c r="L52" s="1561"/>
      <c r="M52" s="1561"/>
    </row>
    <row r="53" spans="3:14">
      <c r="C53" s="1398" t="s">
        <v>1110</v>
      </c>
      <c r="D53" s="1399"/>
      <c r="E53" s="1399"/>
      <c r="F53" s="1399"/>
      <c r="G53" s="1379" t="s">
        <v>1111</v>
      </c>
      <c r="H53" s="39"/>
      <c r="I53" s="40"/>
      <c r="J53" s="1566"/>
      <c r="K53" s="1578"/>
      <c r="L53" s="1578"/>
      <c r="M53" s="1578"/>
    </row>
    <row r="54" spans="3:14">
      <c r="C54" s="1398" t="s">
        <v>2524</v>
      </c>
      <c r="D54" s="1379"/>
      <c r="E54" s="1856"/>
      <c r="F54" s="1379"/>
      <c r="G54" s="1379"/>
      <c r="H54" s="39"/>
      <c r="I54" s="40"/>
      <c r="J54" s="1566"/>
      <c r="K54" s="1578"/>
      <c r="L54" s="1578"/>
      <c r="M54" s="1578"/>
      <c r="N54" s="1580"/>
    </row>
    <row r="55" spans="3:14">
      <c r="C55" s="1398"/>
      <c r="D55" s="1399"/>
      <c r="E55" s="1399"/>
      <c r="F55" s="1399"/>
      <c r="G55" s="1379"/>
      <c r="H55" s="39"/>
      <c r="I55" s="40"/>
      <c r="J55" s="1566"/>
      <c r="K55" s="1578"/>
      <c r="L55" s="1578"/>
      <c r="M55" s="1578"/>
      <c r="N55" s="1555"/>
    </row>
    <row r="56" spans="3:14">
      <c r="C56" s="1398"/>
      <c r="D56" s="1399"/>
      <c r="E56" s="1399"/>
      <c r="F56" s="1399"/>
      <c r="G56" s="1379"/>
      <c r="H56" s="39"/>
      <c r="I56" s="40"/>
      <c r="J56" s="1566"/>
      <c r="K56" s="1578"/>
      <c r="L56" s="1578"/>
      <c r="M56" s="1578"/>
      <c r="N56" s="1555"/>
    </row>
    <row r="57" spans="3:14">
      <c r="C57" s="1398"/>
      <c r="D57" s="1399"/>
      <c r="E57" s="1399"/>
      <c r="F57" s="1399"/>
      <c r="G57" s="1400" t="s">
        <v>1115</v>
      </c>
      <c r="H57" s="42"/>
      <c r="I57" s="43"/>
      <c r="J57" s="1561"/>
      <c r="K57" s="1561"/>
      <c r="L57" s="1561"/>
      <c r="M57" s="1561"/>
      <c r="N57" s="1555"/>
    </row>
    <row r="58" spans="3:14">
      <c r="C58" s="1398" t="s">
        <v>2525</v>
      </c>
      <c r="D58" s="1399"/>
      <c r="E58" s="1399"/>
      <c r="F58" s="1399"/>
      <c r="G58" s="1379" t="s">
        <v>1117</v>
      </c>
      <c r="H58" s="39"/>
      <c r="I58" s="40"/>
      <c r="J58" s="1566"/>
      <c r="K58" s="1578"/>
      <c r="L58" s="1578"/>
      <c r="M58" s="1578"/>
      <c r="N58" s="1555"/>
    </row>
    <row r="59" spans="3:14">
      <c r="C59" s="1398" t="s">
        <v>1114</v>
      </c>
      <c r="D59" s="44"/>
      <c r="E59" s="1838"/>
      <c r="F59" s="44"/>
      <c r="G59" s="1397"/>
      <c r="H59" s="39"/>
      <c r="I59" s="40"/>
      <c r="J59" s="1566"/>
      <c r="K59" s="1578"/>
      <c r="L59" s="1578"/>
      <c r="M59" s="1578"/>
      <c r="N59" s="1580"/>
    </row>
    <row r="60" spans="3:14">
      <c r="C60" s="1398" t="s">
        <v>2526</v>
      </c>
      <c r="D60" s="46"/>
      <c r="E60" s="1840"/>
      <c r="F60" s="46"/>
      <c r="G60" s="1397"/>
      <c r="H60" s="39"/>
      <c r="I60" s="40"/>
      <c r="J60" s="1566"/>
      <c r="K60" s="1578"/>
      <c r="L60" s="1578"/>
      <c r="M60" s="1578"/>
      <c r="N60" s="1555"/>
    </row>
    <row r="61" spans="3:14" ht="36" customHeight="1">
      <c r="C61" s="1402"/>
      <c r="D61" s="46"/>
      <c r="E61" s="1840"/>
      <c r="F61" s="46"/>
      <c r="G61" s="2237" t="s">
        <v>1119</v>
      </c>
      <c r="H61" s="2237"/>
      <c r="I61" s="2238"/>
      <c r="J61" s="1581"/>
      <c r="K61" s="1581"/>
      <c r="L61" s="1581"/>
      <c r="M61" s="1581"/>
    </row>
    <row r="62" spans="3:14">
      <c r="C62" s="1401" t="s">
        <v>1118</v>
      </c>
      <c r="D62" s="46"/>
      <c r="E62" s="1840"/>
      <c r="F62" s="46"/>
      <c r="G62" s="1379" t="s">
        <v>1120</v>
      </c>
      <c r="H62" s="39"/>
      <c r="I62" s="40"/>
      <c r="J62" s="1566"/>
      <c r="K62" s="1578"/>
      <c r="L62" s="1578"/>
      <c r="M62" s="1578"/>
    </row>
    <row r="63" spans="3:14" ht="18.75" customHeight="1">
      <c r="C63" s="1401" t="s">
        <v>2527</v>
      </c>
      <c r="D63" s="46"/>
      <c r="E63" s="1840"/>
      <c r="F63" s="46"/>
      <c r="G63" s="1379"/>
      <c r="H63" s="39"/>
      <c r="I63" s="40"/>
      <c r="J63" s="1566"/>
      <c r="K63" s="1578"/>
      <c r="L63" s="1578"/>
      <c r="M63" s="1578"/>
      <c r="N63" s="1581"/>
    </row>
    <row r="64" spans="3:14">
      <c r="C64" s="1398" t="s">
        <v>3531</v>
      </c>
      <c r="D64" s="46"/>
      <c r="E64" s="1840"/>
      <c r="F64" s="46"/>
      <c r="G64" s="1379"/>
      <c r="H64" s="39"/>
      <c r="I64" s="40"/>
      <c r="J64" s="1566"/>
      <c r="K64" s="1578"/>
      <c r="L64" s="1578"/>
      <c r="M64" s="1578"/>
      <c r="N64" s="1555"/>
    </row>
    <row r="65" spans="3:15">
      <c r="C65" s="1398"/>
      <c r="D65" s="46"/>
      <c r="E65" s="1840"/>
      <c r="F65" s="46"/>
      <c r="G65" s="1379"/>
      <c r="H65" s="39"/>
      <c r="I65" s="40"/>
      <c r="J65" s="1566"/>
      <c r="K65" s="1578"/>
      <c r="L65" s="1578"/>
      <c r="M65" s="1578"/>
      <c r="N65" s="1555"/>
    </row>
    <row r="66" spans="3:15">
      <c r="C66" s="1398"/>
      <c r="D66" s="46"/>
      <c r="E66" s="1840"/>
      <c r="F66" s="46"/>
      <c r="G66" s="1400" t="s">
        <v>3459</v>
      </c>
      <c r="H66" s="42"/>
      <c r="I66" s="43"/>
      <c r="J66" s="1561"/>
      <c r="K66" s="1561"/>
      <c r="L66" s="1561"/>
      <c r="M66" s="1561"/>
      <c r="N66" s="1555"/>
    </row>
    <row r="67" spans="3:15">
      <c r="C67" s="1398"/>
      <c r="D67" s="46"/>
      <c r="E67" s="1840"/>
      <c r="F67" s="46"/>
      <c r="G67" s="1379" t="s">
        <v>1122</v>
      </c>
      <c r="H67" s="39"/>
      <c r="I67" s="40"/>
      <c r="J67" s="1566"/>
      <c r="K67" s="1578"/>
      <c r="L67" s="1578"/>
      <c r="M67" s="1578"/>
      <c r="N67" s="1555"/>
    </row>
    <row r="68" spans="3:15">
      <c r="C68" s="1398"/>
      <c r="D68" s="46"/>
      <c r="E68" s="1840"/>
      <c r="F68" s="46"/>
      <c r="G68" s="1379"/>
      <c r="H68" s="39"/>
      <c r="I68" s="40"/>
      <c r="J68" s="1566"/>
      <c r="K68" s="1578"/>
      <c r="L68" s="1578"/>
      <c r="M68" s="1578"/>
      <c r="N68" s="1580"/>
    </row>
    <row r="69" spans="3:15">
      <c r="C69" s="1398"/>
      <c r="D69" s="46"/>
      <c r="E69" s="1840"/>
      <c r="F69" s="46"/>
      <c r="G69" s="1379"/>
      <c r="H69" s="39"/>
      <c r="I69" s="40"/>
      <c r="J69" s="1566"/>
      <c r="K69" s="1578"/>
      <c r="L69" s="1578"/>
      <c r="M69" s="1578"/>
      <c r="N69" s="1555"/>
    </row>
    <row r="70" spans="3:15">
      <c r="C70" s="1398"/>
      <c r="D70" s="46"/>
      <c r="E70" s="1840"/>
      <c r="F70" s="46"/>
      <c r="G70" s="1379"/>
      <c r="H70" s="39"/>
      <c r="I70" s="40"/>
      <c r="J70" s="1566"/>
      <c r="K70" s="1578"/>
      <c r="L70" s="1578"/>
      <c r="M70" s="1578"/>
      <c r="N70" s="1555"/>
    </row>
    <row r="71" spans="3:15">
      <c r="C71" s="1398"/>
      <c r="D71" s="46"/>
      <c r="E71" s="1840"/>
      <c r="F71" s="46"/>
      <c r="G71" s="1399" t="s">
        <v>1123</v>
      </c>
      <c r="H71" s="48"/>
      <c r="I71" s="49"/>
      <c r="J71" s="1561"/>
      <c r="K71" s="1582"/>
      <c r="L71" s="1582"/>
      <c r="M71" s="1582"/>
      <c r="N71" s="1555"/>
    </row>
    <row r="72" spans="3:15">
      <c r="C72" s="1398"/>
      <c r="D72" s="46"/>
      <c r="E72" s="1840"/>
      <c r="F72" s="46"/>
      <c r="G72" s="1403" t="s">
        <v>1118</v>
      </c>
      <c r="H72" s="50"/>
      <c r="I72" s="51"/>
      <c r="J72" s="1566"/>
      <c r="K72" s="1566"/>
      <c r="L72" s="1566"/>
      <c r="M72" s="1566"/>
      <c r="N72" s="1555"/>
    </row>
    <row r="73" spans="3:15">
      <c r="C73" s="52"/>
      <c r="D73" s="53"/>
      <c r="E73" s="1859"/>
      <c r="F73" s="53"/>
      <c r="G73" s="1404" t="s">
        <v>2527</v>
      </c>
      <c r="H73" s="54"/>
      <c r="I73" s="55"/>
      <c r="J73" s="1566"/>
      <c r="K73" s="1578"/>
      <c r="L73" s="1578"/>
      <c r="M73" s="1578"/>
    </row>
    <row r="74" spans="3:15">
      <c r="C74" s="2259" t="s">
        <v>1065</v>
      </c>
      <c r="D74" s="2260"/>
      <c r="E74" s="2261"/>
      <c r="F74" s="2260"/>
      <c r="G74" s="2260"/>
      <c r="H74" s="2260"/>
      <c r="I74" s="2262"/>
      <c r="J74" s="1583"/>
      <c r="K74" s="1584"/>
      <c r="L74" s="1584"/>
      <c r="M74" s="1584"/>
      <c r="N74" s="1584"/>
    </row>
    <row r="75" spans="3:15">
      <c r="C75" s="2266" t="s">
        <v>2316</v>
      </c>
      <c r="D75" s="2267"/>
      <c r="E75" s="2267"/>
      <c r="F75" s="2267"/>
      <c r="G75" s="2267"/>
      <c r="H75" s="2267"/>
      <c r="I75" s="2268"/>
      <c r="J75" s="1585"/>
      <c r="K75" s="1586"/>
      <c r="L75" s="1586"/>
      <c r="M75" s="1586"/>
      <c r="N75" s="1586"/>
    </row>
    <row r="76" spans="3:15">
      <c r="C76" s="1374" t="s">
        <v>9</v>
      </c>
      <c r="D76" s="1375"/>
      <c r="E76" s="1871"/>
      <c r="F76" s="1405"/>
      <c r="G76" s="2256" t="s">
        <v>1124</v>
      </c>
      <c r="H76" s="15" t="str">
        <f>+H4</f>
        <v xml:space="preserve">As At </v>
      </c>
      <c r="I76" s="15" t="str">
        <f>+I4</f>
        <v xml:space="preserve"> As At</v>
      </c>
      <c r="J76" s="1558"/>
      <c r="K76" s="1559"/>
      <c r="L76" s="1559"/>
      <c r="M76" s="1559"/>
      <c r="N76" s="1587"/>
    </row>
    <row r="77" spans="3:15" ht="27.75" customHeight="1">
      <c r="C77" s="1376" t="s">
        <v>1126</v>
      </c>
      <c r="D77" s="1377"/>
      <c r="E77" s="1855"/>
      <c r="F77" s="1406"/>
      <c r="G77" s="2257"/>
      <c r="H77" s="56" t="str">
        <f>+H5</f>
        <v>March 31, 2022 (₹)</v>
      </c>
      <c r="I77" s="56" t="s">
        <v>1069</v>
      </c>
      <c r="J77" s="1561">
        <f>+GETPIVOTDATA("Sum of Cr. Final 21-22",Pivot!$A$3,"Note",21,"BS Main Head","Revenue From Operations","BS Sub Head","Sale of Goods - Manufacturing Sales")-GETPIVOTDATA("Sum of Dr. Final 21-22",Pivot!$A$3,"Note",21,"BS Main Head","Revenue From Operations","BS Sub Head","Sale of Goods - Manufacturing Sales")</f>
        <v>1114588510.75</v>
      </c>
      <c r="K77" s="1562"/>
      <c r="L77" s="1562"/>
      <c r="M77" s="1562"/>
      <c r="N77" s="1562"/>
    </row>
    <row r="78" spans="3:15">
      <c r="C78" s="1516" t="s">
        <v>621</v>
      </c>
      <c r="D78" s="1379"/>
      <c r="E78" s="1856"/>
      <c r="F78" s="1379"/>
      <c r="G78" s="1407">
        <v>21</v>
      </c>
      <c r="H78" s="57">
        <f>+H476</f>
        <v>1124021510.75</v>
      </c>
      <c r="I78" s="57">
        <f>+I476</f>
        <v>819759041.19999993</v>
      </c>
      <c r="J78" s="1566"/>
      <c r="K78" s="1554"/>
      <c r="L78" s="1554"/>
      <c r="M78" s="1554"/>
      <c r="N78" s="1554">
        <f>+H470-H82-H84-H519</f>
        <v>55970965.51211068</v>
      </c>
      <c r="O78" s="1554">
        <f>+I470-I82-I84-I519-I83</f>
        <v>88060267.377889305</v>
      </c>
    </row>
    <row r="79" spans="3:15">
      <c r="C79" s="1516" t="s">
        <v>491</v>
      </c>
      <c r="D79" s="1379"/>
      <c r="E79" s="1856"/>
      <c r="F79" s="1379"/>
      <c r="G79" s="1408">
        <v>22</v>
      </c>
      <c r="H79" s="22">
        <f>+H482</f>
        <v>1391218.6099999999</v>
      </c>
      <c r="I79" s="22">
        <f>+I482</f>
        <v>1189801</v>
      </c>
      <c r="J79" s="1561" t="s">
        <v>1522</v>
      </c>
      <c r="K79" s="1569" t="s">
        <v>1522</v>
      </c>
      <c r="L79" s="1554"/>
      <c r="M79" s="1554"/>
      <c r="N79" s="1554">
        <f>+N78+H79</f>
        <v>57362184.12211068</v>
      </c>
      <c r="O79" s="1554">
        <f>+O78+I79</f>
        <v>89250068.377889305</v>
      </c>
    </row>
    <row r="80" spans="3:15">
      <c r="C80" s="1389" t="s">
        <v>1129</v>
      </c>
      <c r="D80" s="1379"/>
      <c r="E80" s="1856"/>
      <c r="F80" s="1379"/>
      <c r="G80" s="1384"/>
      <c r="H80" s="58">
        <f>+H78+H79</f>
        <v>1125412729.3599999</v>
      </c>
      <c r="I80" s="58">
        <f>+I78+I79</f>
        <v>820948842.19999993</v>
      </c>
      <c r="J80" s="1558">
        <f>+H472</f>
        <v>1114588510.75</v>
      </c>
      <c r="K80" s="1588">
        <f>+I472</f>
        <v>800902541.19999993</v>
      </c>
      <c r="L80" s="1588"/>
      <c r="M80" s="1588"/>
      <c r="N80" s="1588"/>
    </row>
    <row r="81" spans="3:18">
      <c r="C81" s="59" t="s">
        <v>1130</v>
      </c>
      <c r="D81" s="1379"/>
      <c r="E81" s="1856"/>
      <c r="F81" s="1379"/>
      <c r="G81" s="1384"/>
      <c r="H81" s="60"/>
      <c r="I81" s="18"/>
      <c r="J81" s="1563">
        <f>+H82+H84+H508+H511+H512+H514+H518+H517+H83+H509+H510+H544-H474</f>
        <v>1048853545.7278893</v>
      </c>
      <c r="K81" s="1564">
        <f>+I82+I84+I508+I511+I512+I514+I518+I517+I83+I509+I510+I544-I474</f>
        <v>693400694.24211073</v>
      </c>
      <c r="L81" s="1564"/>
      <c r="M81" s="1564"/>
      <c r="N81" s="1565"/>
    </row>
    <row r="82" spans="3:18">
      <c r="C82" s="1808" t="s">
        <v>1131</v>
      </c>
      <c r="D82" s="1807"/>
      <c r="E82" s="1856"/>
      <c r="F82" s="1379"/>
      <c r="G82" s="1408">
        <v>23</v>
      </c>
      <c r="H82" s="22">
        <f>+H488</f>
        <v>866942160.29999995</v>
      </c>
      <c r="I82" s="22">
        <f>+I488</f>
        <v>552919696.88999999</v>
      </c>
      <c r="J82" s="1566">
        <f>+J80-J81</f>
        <v>65734965.022110701</v>
      </c>
      <c r="K82" s="1554">
        <f>+K80-K81</f>
        <v>107501846.9578892</v>
      </c>
      <c r="L82" s="1554"/>
      <c r="M82" s="1554"/>
      <c r="N82" s="1554"/>
    </row>
    <row r="83" spans="3:18">
      <c r="C83" s="1808" t="s">
        <v>1132</v>
      </c>
      <c r="D83" s="1807"/>
      <c r="E83" s="1856"/>
      <c r="F83" s="1379"/>
      <c r="G83" s="1408"/>
      <c r="H83" s="22">
        <v>0</v>
      </c>
      <c r="I83" s="22">
        <v>0</v>
      </c>
      <c r="J83" s="1566">
        <v>0</v>
      </c>
      <c r="K83" s="1554">
        <v>81298721</v>
      </c>
      <c r="L83" s="1554"/>
      <c r="M83" s="1554"/>
      <c r="N83" s="1554"/>
    </row>
    <row r="84" spans="3:18">
      <c r="C84" s="1809" t="s">
        <v>3458</v>
      </c>
      <c r="D84" s="1807"/>
      <c r="E84" s="1856"/>
      <c r="F84" s="1379"/>
      <c r="G84" s="1408">
        <v>24</v>
      </c>
      <c r="H84" s="22">
        <f>+H492</f>
        <v>-988480.28211065382</v>
      </c>
      <c r="I84" s="22">
        <f>+I492</f>
        <v>-8248259.7178893462</v>
      </c>
      <c r="J84" s="1566">
        <f>+J82-J83</f>
        <v>65734965.022110701</v>
      </c>
      <c r="K84" s="1554">
        <f>+K82-K83</f>
        <v>26203125.957889199</v>
      </c>
      <c r="L84" s="1554"/>
      <c r="M84" s="1554"/>
      <c r="N84" s="1589">
        <f>+(H95+H98)/H93</f>
        <v>-0.2396719758728337</v>
      </c>
      <c r="O84" s="1589">
        <f>+(I95+I98)/I93</f>
        <v>0.2546657007921227</v>
      </c>
    </row>
    <row r="85" spans="3:18">
      <c r="C85" s="1808" t="s">
        <v>1134</v>
      </c>
      <c r="D85" s="1807"/>
      <c r="E85" s="1856"/>
      <c r="F85" s="1379"/>
      <c r="G85" s="1408">
        <v>25</v>
      </c>
      <c r="H85" s="22">
        <f>+H497</f>
        <v>24533935</v>
      </c>
      <c r="I85" s="22">
        <f>+I497</f>
        <v>21641049</v>
      </c>
      <c r="J85" s="1566"/>
      <c r="K85" s="1554"/>
      <c r="L85" s="1554"/>
      <c r="M85" s="1554"/>
      <c r="N85" s="1554"/>
    </row>
    <row r="86" spans="3:18">
      <c r="C86" s="1808" t="s">
        <v>1135</v>
      </c>
      <c r="D86" s="1807"/>
      <c r="E86" s="1856"/>
      <c r="F86" s="1388"/>
      <c r="G86" s="1408">
        <v>26</v>
      </c>
      <c r="H86" s="22">
        <f>+H501</f>
        <v>7602953.1500000004</v>
      </c>
      <c r="I86" s="22">
        <f>+I501</f>
        <v>6372184.9500000002</v>
      </c>
      <c r="J86" s="1566"/>
      <c r="K86" s="1554"/>
      <c r="L86" s="1554"/>
      <c r="M86" s="1554"/>
      <c r="N86" s="1554"/>
    </row>
    <row r="87" spans="3:18">
      <c r="C87" s="2136" t="s">
        <v>1136</v>
      </c>
      <c r="D87" s="2137"/>
      <c r="E87" s="1867"/>
      <c r="F87" s="1410"/>
      <c r="G87" s="1408">
        <v>2</v>
      </c>
      <c r="H87" s="22">
        <f>+SUM(Depreciation!B20:I20)</f>
        <v>17957748.491325565</v>
      </c>
      <c r="I87" s="22">
        <f>+GETPIVOTDATA("Sum of Dr. Final 2020-21",Pivot!$A$3,"Note",,"BS Main Head","Depreciation &amp; Amortisation")</f>
        <v>17727982</v>
      </c>
      <c r="J87" s="1566"/>
      <c r="K87" s="1554"/>
      <c r="L87" s="1554"/>
      <c r="M87" s="1554"/>
      <c r="N87" s="1554"/>
      <c r="O87" s="1555">
        <f>+H90-N87</f>
        <v>3085726.7607851028</v>
      </c>
    </row>
    <row r="88" spans="3:18">
      <c r="C88" s="1808" t="s">
        <v>1137</v>
      </c>
      <c r="D88" s="1807"/>
      <c r="E88" s="1856"/>
      <c r="F88" s="1388"/>
      <c r="G88" s="1408">
        <v>27</v>
      </c>
      <c r="H88" s="22">
        <f>+H555</f>
        <v>206278685.94000003</v>
      </c>
      <c r="I88" s="22">
        <f>+I555</f>
        <v>182271652.99999997</v>
      </c>
      <c r="J88" s="1566"/>
      <c r="K88" s="1554"/>
      <c r="L88" s="1554"/>
      <c r="M88" s="1554"/>
      <c r="N88" s="1554"/>
      <c r="O88" s="1555">
        <f>+H88-N88</f>
        <v>206278685.94000003</v>
      </c>
      <c r="P88" s="1590" t="s">
        <v>1523</v>
      </c>
      <c r="Q88" s="1590">
        <f>+H87</f>
        <v>17957748.491325565</v>
      </c>
      <c r="R88" s="1590"/>
    </row>
    <row r="89" spans="3:18">
      <c r="C89" s="1389" t="s">
        <v>1138</v>
      </c>
      <c r="D89" s="1379"/>
      <c r="E89" s="1856"/>
      <c r="F89" s="1388"/>
      <c r="G89" s="1384"/>
      <c r="H89" s="58">
        <f>+SUM(H82:H88)</f>
        <v>1122327002.5992148</v>
      </c>
      <c r="I89" s="58">
        <f>+SUM(I82:I88)</f>
        <v>772684306.12211072</v>
      </c>
      <c r="J89" s="1558"/>
      <c r="K89" s="1588"/>
      <c r="L89" s="1588"/>
      <c r="M89" s="1588"/>
      <c r="N89" s="1588"/>
      <c r="P89" s="1590" t="s">
        <v>1524</v>
      </c>
      <c r="Q89" s="1590">
        <f>+H87</f>
        <v>17957748.491325565</v>
      </c>
      <c r="R89" s="1590">
        <f>+Q89-Q88</f>
        <v>0</v>
      </c>
    </row>
    <row r="90" spans="3:18">
      <c r="C90" s="1390" t="s">
        <v>1139</v>
      </c>
      <c r="D90" s="1411"/>
      <c r="E90" s="1841"/>
      <c r="F90" s="1412"/>
      <c r="G90" s="1384"/>
      <c r="H90" s="61">
        <f>+H80-H89</f>
        <v>3085726.7607851028</v>
      </c>
      <c r="I90" s="61">
        <f>+I80-I89</f>
        <v>48264536.077889204</v>
      </c>
      <c r="J90" s="1558"/>
      <c r="K90" s="1588"/>
      <c r="L90" s="1588"/>
      <c r="M90" s="1588"/>
      <c r="N90" s="1588">
        <v>47694318.859999999</v>
      </c>
      <c r="O90" s="1591">
        <f>+H93-N90+H103</f>
        <v>-43504517.099214897</v>
      </c>
    </row>
    <row r="91" spans="3:18">
      <c r="C91" s="2136" t="s">
        <v>1140</v>
      </c>
      <c r="D91" s="2137"/>
      <c r="E91" s="1867"/>
      <c r="F91" s="1410"/>
      <c r="G91" s="1384"/>
      <c r="H91" s="60">
        <v>0</v>
      </c>
      <c r="I91" s="18">
        <v>0</v>
      </c>
      <c r="J91" s="1563"/>
      <c r="K91" s="1564"/>
      <c r="L91" s="1564"/>
      <c r="M91" s="1564"/>
      <c r="N91" s="1592">
        <v>1699939</v>
      </c>
    </row>
    <row r="92" spans="3:18" hidden="1">
      <c r="C92" s="1385"/>
      <c r="D92" s="1413"/>
      <c r="E92" s="1867"/>
      <c r="F92" s="1413"/>
      <c r="G92" s="1384"/>
      <c r="H92" s="60"/>
      <c r="I92" s="18"/>
      <c r="J92" s="1563"/>
      <c r="K92" s="1564"/>
      <c r="L92" s="1564"/>
      <c r="M92" s="1564"/>
      <c r="N92" s="1593">
        <f>+N90+N91</f>
        <v>49394257.859999999</v>
      </c>
      <c r="O92" s="1555">
        <f>+N92-H90-H103</f>
        <v>45204456.099214897</v>
      </c>
    </row>
    <row r="93" spans="3:18">
      <c r="C93" s="1389" t="s">
        <v>1141</v>
      </c>
      <c r="D93" s="1379"/>
      <c r="E93" s="1856"/>
      <c r="F93" s="1379"/>
      <c r="G93" s="62"/>
      <c r="H93" s="61">
        <f>+H90-H91</f>
        <v>3085726.7607851028</v>
      </c>
      <c r="I93" s="61">
        <f>+I90-I91</f>
        <v>48264536.077889204</v>
      </c>
      <c r="J93" s="1558">
        <v>3201725.75</v>
      </c>
      <c r="K93" s="1588"/>
      <c r="L93" s="1588"/>
      <c r="M93" s="1588"/>
      <c r="N93" s="1588"/>
    </row>
    <row r="94" spans="3:18">
      <c r="C94" s="1384" t="s">
        <v>1142</v>
      </c>
      <c r="D94" s="1379"/>
      <c r="E94" s="1856"/>
      <c r="F94" s="1379"/>
      <c r="G94" s="62"/>
      <c r="H94" s="60"/>
      <c r="I94" s="18"/>
      <c r="J94" s="1563">
        <f>+J93-H93</f>
        <v>115998.98921489716</v>
      </c>
      <c r="K94" s="1564"/>
      <c r="L94" s="1564"/>
      <c r="M94" s="1564"/>
      <c r="N94" s="1594">
        <f>+H93-H96+H103</f>
        <v>4189801.7607851028</v>
      </c>
    </row>
    <row r="95" spans="3:18">
      <c r="C95" s="1384" t="s">
        <v>1143</v>
      </c>
      <c r="D95" s="1379"/>
      <c r="E95" s="1856"/>
      <c r="F95" s="1379"/>
      <c r="G95" s="1408"/>
      <c r="H95" s="63">
        <f>+COI!L65</f>
        <v>2584428.986312204</v>
      </c>
      <c r="I95" s="19">
        <v>13081127.2400002</v>
      </c>
      <c r="J95" s="1566"/>
      <c r="K95" s="1567"/>
      <c r="L95" s="1567"/>
      <c r="M95" s="1567"/>
      <c r="N95" s="1562" t="s">
        <v>1525</v>
      </c>
    </row>
    <row r="96" spans="3:18">
      <c r="C96" s="1384" t="s">
        <v>1144</v>
      </c>
      <c r="D96" s="1379"/>
      <c r="E96" s="1856"/>
      <c r="F96" s="1379"/>
      <c r="G96" s="1408"/>
      <c r="H96" s="63">
        <v>0</v>
      </c>
      <c r="I96" s="19">
        <v>1699939</v>
      </c>
      <c r="J96" s="1566"/>
      <c r="K96" s="1567"/>
      <c r="L96" s="1567"/>
      <c r="M96" s="1567"/>
      <c r="N96" s="1562"/>
    </row>
    <row r="97" spans="3:17">
      <c r="C97" s="1384" t="s">
        <v>1145</v>
      </c>
      <c r="D97" s="1379"/>
      <c r="E97" s="1856"/>
      <c r="F97" s="1379"/>
      <c r="G97" s="1408"/>
      <c r="H97" s="64">
        <v>0</v>
      </c>
      <c r="I97" s="22">
        <v>0</v>
      </c>
      <c r="J97" s="1595">
        <v>4189801.47</v>
      </c>
      <c r="K97" s="1596"/>
      <c r="L97" s="1596"/>
      <c r="M97" s="1596"/>
      <c r="N97" s="1597">
        <f>+H15</f>
        <v>51593266.719999999</v>
      </c>
      <c r="O97" s="1590" t="s">
        <v>1526</v>
      </c>
      <c r="P97" s="1598"/>
    </row>
    <row r="98" spans="3:17">
      <c r="C98" s="1384" t="s">
        <v>1146</v>
      </c>
      <c r="D98" s="1379"/>
      <c r="E98" s="1856"/>
      <c r="F98" s="1379"/>
      <c r="G98" s="1408"/>
      <c r="H98" s="64">
        <f>+DT!I38</f>
        <v>-3323991.2160732485</v>
      </c>
      <c r="I98" s="22">
        <v>-789805.33631785586</v>
      </c>
      <c r="J98" s="1595">
        <f>+H93+H103</f>
        <v>4189801.7607851028</v>
      </c>
      <c r="K98" s="1596"/>
      <c r="L98" s="1596"/>
      <c r="M98" s="1596"/>
      <c r="N98" s="1599">
        <v>67541077</v>
      </c>
      <c r="O98" s="1590" t="s">
        <v>1527</v>
      </c>
      <c r="P98" s="1598">
        <f>+N98-N97</f>
        <v>15947810.280000001</v>
      </c>
      <c r="Q98" s="1555" t="s">
        <v>1528</v>
      </c>
    </row>
    <row r="99" spans="3:17">
      <c r="C99" s="1384"/>
      <c r="D99" s="1379"/>
      <c r="E99" s="1856"/>
      <c r="F99" s="1379"/>
      <c r="G99" s="1408"/>
      <c r="H99" s="65">
        <f>+SUM(H95:H98)</f>
        <v>-739562.22976104449</v>
      </c>
      <c r="I99" s="23">
        <f>+SUM(I95:I98)</f>
        <v>13991260.903682344</v>
      </c>
      <c r="J99" s="1561">
        <f>+J97-J98</f>
        <v>-0.29078510263934731</v>
      </c>
      <c r="K99" s="1569"/>
      <c r="L99" s="1569"/>
      <c r="M99" s="1569"/>
      <c r="N99" s="1600">
        <f>+N97-N98</f>
        <v>-15947810.280000001</v>
      </c>
      <c r="P99" s="1601"/>
    </row>
    <row r="100" spans="3:17" ht="19.5" thickBot="1">
      <c r="C100" s="1389" t="s">
        <v>1147</v>
      </c>
      <c r="D100" s="1379"/>
      <c r="E100" s="1856"/>
      <c r="F100" s="1379"/>
      <c r="G100" s="1384"/>
      <c r="H100" s="66">
        <f>+H93-H99</f>
        <v>3825288.9905461473</v>
      </c>
      <c r="I100" s="67">
        <f>+I93-I99</f>
        <v>34273275.17420686</v>
      </c>
      <c r="J100" s="1558"/>
      <c r="K100" s="1588"/>
      <c r="L100" s="1588"/>
      <c r="M100" s="1588"/>
      <c r="N100" s="1588"/>
    </row>
    <row r="101" spans="3:17" ht="19.5" thickTop="1">
      <c r="C101" s="2269"/>
      <c r="D101" s="2270"/>
      <c r="E101" s="1885"/>
      <c r="F101" s="1388"/>
      <c r="G101" s="1384"/>
      <c r="H101" s="60"/>
      <c r="I101" s="18"/>
      <c r="J101" s="1774"/>
      <c r="K101" s="1774"/>
      <c r="L101" s="1564"/>
      <c r="M101" s="1564"/>
      <c r="N101" s="1565"/>
    </row>
    <row r="102" spans="3:17">
      <c r="C102" s="2269" t="s">
        <v>1148</v>
      </c>
      <c r="D102" s="2270"/>
      <c r="E102" s="1885"/>
      <c r="F102" s="1388"/>
      <c r="G102" s="1408">
        <v>28</v>
      </c>
      <c r="H102" s="68"/>
      <c r="I102" s="21"/>
      <c r="J102" s="1561"/>
      <c r="K102" s="1562"/>
      <c r="L102" s="1562"/>
      <c r="M102" s="1562"/>
      <c r="N102" s="1602"/>
    </row>
    <row r="103" spans="3:17">
      <c r="C103" s="1409" t="s">
        <v>1149</v>
      </c>
      <c r="D103" s="1415"/>
      <c r="E103" s="1873"/>
      <c r="F103" s="1388"/>
      <c r="G103" s="1380"/>
      <c r="H103" s="18">
        <f>+H568</f>
        <v>1104075</v>
      </c>
      <c r="I103" s="18">
        <f>+I568</f>
        <v>1129722</v>
      </c>
      <c r="J103" s="1563"/>
      <c r="K103" s="1564"/>
      <c r="L103" s="1564"/>
      <c r="M103" s="1564"/>
      <c r="N103" s="1564"/>
    </row>
    <row r="104" spans="3:17">
      <c r="C104" s="1409" t="s">
        <v>1150</v>
      </c>
      <c r="D104" s="1415"/>
      <c r="E104" s="1873"/>
      <c r="F104" s="1388"/>
      <c r="G104" s="1380"/>
      <c r="H104" s="18">
        <v>0</v>
      </c>
      <c r="I104" s="18">
        <v>0</v>
      </c>
      <c r="J104" s="1563"/>
      <c r="K104" s="1564"/>
      <c r="L104" s="1564"/>
      <c r="M104" s="1564"/>
      <c r="N104" s="1564"/>
    </row>
    <row r="105" spans="3:17">
      <c r="C105" s="1409" t="s">
        <v>1151</v>
      </c>
      <c r="D105" s="1415"/>
      <c r="E105" s="1873"/>
      <c r="F105" s="1388"/>
      <c r="G105" s="1380"/>
      <c r="H105" s="18">
        <v>0</v>
      </c>
      <c r="I105" s="18">
        <v>0</v>
      </c>
      <c r="J105" s="1563"/>
      <c r="K105" s="1564"/>
      <c r="L105" s="1564"/>
      <c r="M105" s="1564"/>
      <c r="N105" s="1564"/>
    </row>
    <row r="106" spans="3:17">
      <c r="C106" s="1409" t="s">
        <v>1150</v>
      </c>
      <c r="D106" s="1416"/>
      <c r="E106" s="1874"/>
      <c r="F106" s="1388"/>
      <c r="G106" s="1380"/>
      <c r="H106" s="69">
        <v>0</v>
      </c>
      <c r="I106" s="69">
        <v>0</v>
      </c>
      <c r="J106" s="1563"/>
      <c r="K106" s="1564"/>
      <c r="L106" s="1564"/>
      <c r="M106" s="1564"/>
      <c r="N106" s="1564"/>
    </row>
    <row r="107" spans="3:17">
      <c r="C107" s="1378" t="s">
        <v>1152</v>
      </c>
      <c r="D107" s="1417"/>
      <c r="E107" s="1842"/>
      <c r="F107" s="1388"/>
      <c r="G107" s="1380"/>
      <c r="H107" s="69">
        <f>+SUM(H103:H106)</f>
        <v>1104075</v>
      </c>
      <c r="I107" s="69">
        <f>+SUM(I103:I106)</f>
        <v>1129722</v>
      </c>
      <c r="J107" s="1563"/>
      <c r="K107" s="1564"/>
      <c r="L107" s="1564"/>
      <c r="M107" s="1564"/>
      <c r="N107" s="1564"/>
    </row>
    <row r="108" spans="3:17">
      <c r="C108" s="2263"/>
      <c r="D108" s="2264"/>
      <c r="E108" s="2264"/>
      <c r="F108" s="2265"/>
      <c r="G108" s="1384"/>
      <c r="H108" s="60"/>
      <c r="I108" s="18"/>
      <c r="J108" s="1563"/>
      <c r="K108" s="1564"/>
      <c r="L108" s="1564"/>
      <c r="M108" s="1564"/>
      <c r="N108" s="1565"/>
    </row>
    <row r="109" spans="3:17">
      <c r="C109" s="1378"/>
      <c r="D109" s="1417"/>
      <c r="E109" s="1842"/>
      <c r="F109" s="1388"/>
      <c r="G109" s="1384"/>
      <c r="H109" s="60"/>
      <c r="I109" s="18"/>
      <c r="J109" s="1563"/>
      <c r="K109" s="1564"/>
      <c r="L109" s="1564"/>
      <c r="M109" s="1564"/>
      <c r="N109" s="1565"/>
    </row>
    <row r="110" spans="3:17" ht="19.5" thickBot="1">
      <c r="C110" s="2263" t="s">
        <v>1153</v>
      </c>
      <c r="D110" s="2264"/>
      <c r="E110" s="1866"/>
      <c r="F110" s="1388"/>
      <c r="G110" s="1384"/>
      <c r="H110" s="67">
        <f>+H100+H107</f>
        <v>4929363.9905461473</v>
      </c>
      <c r="I110" s="67">
        <f>+I100+I107</f>
        <v>35402997.17420686</v>
      </c>
      <c r="J110" s="1558"/>
      <c r="K110" s="1588"/>
      <c r="L110" s="1588"/>
      <c r="M110" s="1588"/>
      <c r="N110" s="1588"/>
      <c r="O110" s="1591"/>
      <c r="P110" s="1591"/>
      <c r="Q110" s="1591"/>
    </row>
    <row r="111" spans="3:17" ht="19.5" thickTop="1">
      <c r="C111" s="2263"/>
      <c r="D111" s="2264"/>
      <c r="E111" s="1866"/>
      <c r="F111" s="1388"/>
      <c r="G111" s="1384"/>
      <c r="H111" s="60"/>
      <c r="I111" s="18"/>
      <c r="J111" s="1563"/>
      <c r="K111" s="1564"/>
      <c r="L111" s="1564"/>
      <c r="M111" s="1564"/>
      <c r="N111" s="1565"/>
    </row>
    <row r="112" spans="3:17">
      <c r="C112" s="1384" t="s">
        <v>1154</v>
      </c>
      <c r="D112" s="1379"/>
      <c r="E112" s="1856"/>
      <c r="F112" s="1379"/>
      <c r="G112" s="1418">
        <v>29</v>
      </c>
      <c r="H112" s="70">
        <f>+H573</f>
        <v>1.4208441555887505</v>
      </c>
      <c r="I112" s="71">
        <f>+I573</f>
        <v>12.730275501931221</v>
      </c>
      <c r="J112" s="1552"/>
      <c r="K112" s="1553"/>
      <c r="L112" s="1553"/>
      <c r="M112" s="1553"/>
      <c r="N112" s="1553"/>
    </row>
    <row r="113" spans="3:14">
      <c r="C113" s="1384" t="s">
        <v>1155</v>
      </c>
      <c r="D113" s="1379"/>
      <c r="E113" s="1856"/>
      <c r="F113" s="1379"/>
      <c r="G113" s="1418"/>
      <c r="H113" s="70">
        <f>+H574</f>
        <v>1.4208441555887505</v>
      </c>
      <c r="I113" s="71">
        <f>+I574</f>
        <v>12.730275501931221</v>
      </c>
      <c r="J113" s="1552"/>
      <c r="K113" s="1553"/>
      <c r="L113" s="1553"/>
      <c r="M113" s="1553"/>
      <c r="N113" s="1553"/>
    </row>
    <row r="114" spans="3:14">
      <c r="C114" s="1392" t="s">
        <v>1104</v>
      </c>
      <c r="D114" s="1419"/>
      <c r="E114" s="1843"/>
      <c r="F114" s="1420"/>
      <c r="G114" s="1974" t="s">
        <v>3515</v>
      </c>
      <c r="H114" s="72"/>
      <c r="I114" s="32"/>
      <c r="J114" s="1563"/>
      <c r="K114" s="1576"/>
      <c r="L114" s="1576"/>
      <c r="M114" s="1576"/>
      <c r="N114" s="1603"/>
    </row>
    <row r="115" spans="3:14">
      <c r="C115" s="1390"/>
      <c r="D115" s="1411"/>
      <c r="E115" s="1841"/>
      <c r="F115" s="1421"/>
      <c r="G115" s="1422"/>
      <c r="H115" s="34"/>
      <c r="I115" s="73"/>
      <c r="J115" s="1563"/>
      <c r="K115" s="1576"/>
      <c r="L115" s="1576"/>
      <c r="M115" s="1576"/>
      <c r="N115" s="1603"/>
    </row>
    <row r="116" spans="3:14">
      <c r="C116" s="74" t="s">
        <v>1105</v>
      </c>
      <c r="D116" s="44"/>
      <c r="E116" s="1838"/>
      <c r="F116" s="44"/>
      <c r="G116" s="1397"/>
      <c r="H116" s="39"/>
      <c r="I116" s="40"/>
      <c r="J116" s="1566"/>
      <c r="K116" s="1578"/>
      <c r="L116" s="1578"/>
      <c r="M116" s="1578"/>
    </row>
    <row r="117" spans="3:14">
      <c r="C117" s="1395" t="str">
        <f>+C50</f>
        <v>As per our report of even date</v>
      </c>
      <c r="D117" s="1396"/>
      <c r="E117" s="1396"/>
      <c r="F117" s="1396"/>
      <c r="G117" s="1397" t="s">
        <v>1107</v>
      </c>
      <c r="H117" s="39"/>
      <c r="I117" s="40"/>
      <c r="J117" s="1566"/>
      <c r="K117" s="1578"/>
      <c r="L117" s="1578"/>
      <c r="M117" s="1578"/>
    </row>
    <row r="118" spans="3:14">
      <c r="C118" s="1398"/>
      <c r="D118" s="1379"/>
      <c r="E118" s="1856"/>
      <c r="F118" s="1379"/>
      <c r="G118" s="1397"/>
      <c r="H118" s="39"/>
      <c r="I118" s="40"/>
      <c r="J118" s="1566"/>
      <c r="K118" s="1578"/>
      <c r="L118" s="1578"/>
      <c r="M118" s="1578"/>
    </row>
    <row r="119" spans="3:14">
      <c r="C119" s="1514" t="str">
        <f t="shared" ref="C119:C127" si="0">+C52</f>
        <v>FOR DARAK AND ASSOCIATES</v>
      </c>
      <c r="D119" s="1399"/>
      <c r="E119" s="1399"/>
      <c r="F119" s="1399"/>
      <c r="G119" s="1423" t="str">
        <f>+G52</f>
        <v>ANIL KUMAR LAKHOTIYA - MANAGING  DIRECTOR</v>
      </c>
      <c r="H119" s="39"/>
      <c r="I119" s="40"/>
      <c r="J119" s="1566"/>
      <c r="K119" s="1578"/>
      <c r="L119" s="1578"/>
      <c r="M119" s="1578"/>
    </row>
    <row r="120" spans="3:14">
      <c r="C120" s="1514" t="str">
        <f t="shared" si="0"/>
        <v>CHARTERED ACCOUNTANTS</v>
      </c>
      <c r="D120" s="1399"/>
      <c r="E120" s="1399"/>
      <c r="F120" s="1399"/>
      <c r="G120" s="1397" t="str">
        <f>+G53</f>
        <v>(DIN:00367361)</v>
      </c>
      <c r="H120" s="39"/>
      <c r="I120" s="40"/>
      <c r="J120" s="1566"/>
      <c r="K120" s="1578"/>
      <c r="L120" s="1578"/>
      <c r="M120" s="1578"/>
    </row>
    <row r="121" spans="3:14">
      <c r="C121" s="1514" t="str">
        <f t="shared" si="0"/>
        <v>FIRM REGISTRATION NO.: 132818W</v>
      </c>
      <c r="D121" s="1379"/>
      <c r="E121" s="1856"/>
      <c r="F121" s="1379"/>
      <c r="G121" s="1400"/>
      <c r="H121" s="42"/>
      <c r="I121" s="43"/>
      <c r="J121" s="1561"/>
      <c r="K121" s="1561"/>
      <c r="L121" s="1561"/>
      <c r="M121" s="1561"/>
      <c r="N121" s="1580"/>
    </row>
    <row r="122" spans="3:14">
      <c r="C122" s="1514"/>
      <c r="D122" s="1379"/>
      <c r="E122" s="1856"/>
      <c r="F122" s="1379"/>
      <c r="G122" s="1379"/>
      <c r="H122" s="39"/>
      <c r="I122" s="40"/>
      <c r="J122" s="1566"/>
      <c r="K122" s="1578"/>
      <c r="L122" s="1578"/>
      <c r="M122" s="1578"/>
      <c r="N122" s="1555"/>
    </row>
    <row r="123" spans="3:14">
      <c r="C123" s="1514"/>
      <c r="D123" s="1379"/>
      <c r="E123" s="1856"/>
      <c r="F123" s="1379"/>
      <c r="G123" s="1399" t="str">
        <f>+G57</f>
        <v>KAILASH AGARWAL - WHOLE TIME DIRECTOR</v>
      </c>
      <c r="H123" s="39"/>
      <c r="I123" s="40"/>
      <c r="J123" s="1566"/>
      <c r="K123" s="1578"/>
      <c r="L123" s="1578"/>
      <c r="M123" s="1578"/>
      <c r="N123" s="1555"/>
    </row>
    <row r="124" spans="3:14">
      <c r="C124" s="1514"/>
      <c r="D124" s="1399"/>
      <c r="E124" s="1399"/>
      <c r="F124" s="1399"/>
      <c r="G124" s="1379" t="str">
        <f>+G58</f>
        <v>(DIN:00367292)</v>
      </c>
      <c r="H124" s="39"/>
      <c r="I124" s="40"/>
      <c r="J124" s="1566"/>
      <c r="K124" s="1578"/>
      <c r="L124" s="1578"/>
      <c r="M124" s="1578"/>
      <c r="N124" s="1555"/>
    </row>
    <row r="125" spans="3:14">
      <c r="C125" s="1514" t="str">
        <f t="shared" si="0"/>
        <v>AMIT M. DARAK</v>
      </c>
      <c r="D125" s="46"/>
      <c r="E125" s="1840"/>
      <c r="F125" s="46"/>
      <c r="G125" s="1379"/>
      <c r="H125" s="39"/>
      <c r="I125" s="40"/>
      <c r="J125" s="1566"/>
      <c r="K125" s="1578"/>
      <c r="L125" s="1578"/>
      <c r="M125" s="1578"/>
      <c r="N125" s="1555"/>
    </row>
    <row r="126" spans="3:14">
      <c r="C126" s="1514" t="str">
        <f t="shared" si="0"/>
        <v>PARTNER</v>
      </c>
      <c r="D126" s="46"/>
      <c r="E126" s="1840"/>
      <c r="F126" s="46"/>
      <c r="G126" s="1397"/>
      <c r="H126" s="39"/>
      <c r="I126" s="40"/>
      <c r="J126" s="1566"/>
      <c r="K126" s="1578"/>
      <c r="L126" s="1578"/>
      <c r="M126" s="1578"/>
    </row>
    <row r="127" spans="3:14" ht="36" customHeight="1">
      <c r="C127" s="1447" t="str">
        <f t="shared" si="0"/>
        <v>MEMBERSHIP NO. : 144005</v>
      </c>
      <c r="D127" s="46"/>
      <c r="E127" s="1840"/>
      <c r="F127" s="46"/>
      <c r="G127" s="2237" t="str">
        <f>+G61</f>
        <v>JARNAIL SINGH SAINI - CHIEF FINANCIAL OFFICER &amp; EXECUTIVE DIRECTOR</v>
      </c>
      <c r="H127" s="2237"/>
      <c r="I127" s="2238"/>
      <c r="J127" s="1581"/>
      <c r="K127" s="1581"/>
      <c r="L127" s="1581"/>
      <c r="M127" s="1581"/>
    </row>
    <row r="128" spans="3:14">
      <c r="C128" s="1395"/>
      <c r="D128" s="46"/>
      <c r="E128" s="1840"/>
      <c r="F128" s="46"/>
      <c r="G128" s="2239" t="str">
        <f>+G62</f>
        <v>(DIN:00367656)</v>
      </c>
      <c r="H128" s="2239"/>
      <c r="I128" s="2240"/>
      <c r="J128" s="1604"/>
      <c r="K128" s="1604"/>
      <c r="L128" s="1604"/>
      <c r="M128" s="1604"/>
      <c r="N128" s="1581"/>
    </row>
    <row r="129" spans="1:61">
      <c r="C129" s="1401" t="str">
        <f>+C62</f>
        <v>Place: Nagpur</v>
      </c>
      <c r="D129" s="1379"/>
      <c r="E129" s="1856"/>
      <c r="F129" s="1379"/>
      <c r="G129" s="1379"/>
      <c r="H129" s="39"/>
      <c r="I129" s="40"/>
      <c r="J129" s="1566"/>
      <c r="K129" s="1578"/>
      <c r="L129" s="1578"/>
      <c r="M129" s="1578"/>
      <c r="N129" s="1555"/>
    </row>
    <row r="130" spans="1:61">
      <c r="C130" s="1401" t="str">
        <f t="shared" ref="C130:C131" si="1">+C63</f>
        <v>Date: 27-05-2022</v>
      </c>
      <c r="D130" s="1379"/>
      <c r="E130" s="1856"/>
      <c r="F130" s="1379"/>
      <c r="G130" s="1379"/>
      <c r="H130" s="39"/>
      <c r="I130" s="40"/>
      <c r="J130" s="1566"/>
      <c r="K130" s="1578"/>
      <c r="L130" s="1578"/>
      <c r="M130" s="1578"/>
      <c r="N130" s="1555"/>
    </row>
    <row r="131" spans="1:61">
      <c r="C131" s="1398" t="str">
        <f t="shared" si="1"/>
        <v>UDIN: 22144005AKUHQC3197</v>
      </c>
      <c r="D131" s="1379"/>
      <c r="E131" s="1856"/>
      <c r="F131" s="1379"/>
      <c r="G131" s="1399" t="str">
        <f>+G66</f>
        <v>OMPRAKASH RATHI - WHOLE TIME DIRECTOR</v>
      </c>
      <c r="H131" s="39"/>
      <c r="I131" s="40"/>
      <c r="J131" s="1566"/>
      <c r="K131" s="1578"/>
      <c r="L131" s="1578"/>
      <c r="M131" s="1578"/>
      <c r="N131" s="1555"/>
    </row>
    <row r="132" spans="1:61">
      <c r="C132" s="1401"/>
      <c r="D132" s="1379"/>
      <c r="E132" s="1856"/>
      <c r="F132" s="1379"/>
      <c r="G132" s="1403" t="str">
        <f>+G67</f>
        <v>(DIN:00895316)</v>
      </c>
      <c r="H132" s="42"/>
      <c r="I132" s="43"/>
      <c r="J132" s="1561"/>
      <c r="K132" s="1561"/>
      <c r="L132" s="1561"/>
      <c r="M132" s="1561"/>
      <c r="N132" s="1580"/>
    </row>
    <row r="133" spans="1:61">
      <c r="C133" s="1401"/>
      <c r="D133" s="1379"/>
      <c r="E133" s="1856"/>
      <c r="F133" s="1379"/>
      <c r="G133" s="1379"/>
      <c r="H133" s="39"/>
      <c r="I133" s="40"/>
      <c r="J133" s="1566"/>
      <c r="K133" s="1578"/>
      <c r="L133" s="1578"/>
      <c r="M133" s="1578"/>
      <c r="N133" s="1555"/>
    </row>
    <row r="134" spans="1:61">
      <c r="C134" s="1401"/>
      <c r="D134" s="1379"/>
      <c r="E134" s="1856"/>
      <c r="F134" s="1379"/>
      <c r="G134" s="1379"/>
      <c r="H134" s="39"/>
      <c r="I134" s="40"/>
      <c r="J134" s="1566"/>
      <c r="K134" s="1578"/>
      <c r="L134" s="1578"/>
      <c r="M134" s="1578"/>
      <c r="N134" s="1555"/>
    </row>
    <row r="135" spans="1:61">
      <c r="C135" s="1401"/>
      <c r="D135" s="1379"/>
      <c r="E135" s="1856"/>
      <c r="F135" s="1379"/>
      <c r="G135" s="1399" t="str">
        <f>+G71</f>
        <v>MAYANK LUNIYA - COMPANY SECRETARY</v>
      </c>
      <c r="H135" s="39"/>
      <c r="I135" s="40"/>
      <c r="J135" s="1566"/>
      <c r="K135" s="1578"/>
      <c r="L135" s="1578"/>
      <c r="M135" s="1578"/>
      <c r="N135" s="1555"/>
    </row>
    <row r="136" spans="1:61">
      <c r="C136" s="1401"/>
      <c r="D136" s="1379"/>
      <c r="E136" s="1856"/>
      <c r="F136" s="1379"/>
      <c r="G136" s="1399"/>
      <c r="H136" s="39"/>
      <c r="I136" s="40"/>
      <c r="J136" s="1566"/>
      <c r="K136" s="1578"/>
      <c r="L136" s="1578"/>
      <c r="M136" s="1578"/>
      <c r="N136" s="1555"/>
    </row>
    <row r="137" spans="1:61">
      <c r="C137" s="1401"/>
      <c r="D137" s="1379"/>
      <c r="E137" s="1856"/>
      <c r="F137" s="1379"/>
      <c r="G137" s="1397" t="str">
        <f>+G72</f>
        <v>Place: Nagpur</v>
      </c>
      <c r="H137" s="39"/>
      <c r="I137" s="40"/>
      <c r="J137" s="1566"/>
      <c r="K137" s="1578"/>
      <c r="L137" s="1578"/>
      <c r="M137" s="1578"/>
    </row>
    <row r="138" spans="1:61">
      <c r="C138" s="1424"/>
      <c r="D138" s="1377"/>
      <c r="E138" s="1855"/>
      <c r="F138" s="1377"/>
      <c r="G138" s="1404" t="str">
        <f>+G73</f>
        <v>Date: 27-05-2022</v>
      </c>
      <c r="H138" s="76"/>
      <c r="I138" s="77"/>
      <c r="J138" s="1566"/>
      <c r="K138" s="1566"/>
      <c r="L138" s="1566"/>
      <c r="M138" s="1566"/>
      <c r="N138" s="1605"/>
    </row>
    <row r="139" spans="1:61" s="1375" customFormat="1">
      <c r="A139" s="1371"/>
      <c r="B139" s="1371"/>
      <c r="C139" s="2241" t="s">
        <v>1065</v>
      </c>
      <c r="D139" s="2242"/>
      <c r="E139" s="2242"/>
      <c r="F139" s="2242"/>
      <c r="G139" s="2242"/>
      <c r="H139" s="2242"/>
      <c r="I139" s="2243"/>
      <c r="J139" s="1606"/>
      <c r="K139" s="1607"/>
      <c r="L139" s="1607"/>
      <c r="M139" s="1607"/>
      <c r="N139" s="1607"/>
      <c r="O139" s="1608"/>
      <c r="P139" s="1608"/>
      <c r="Q139" s="1608"/>
      <c r="R139" s="1608"/>
      <c r="S139" s="1608"/>
      <c r="T139" s="1608"/>
      <c r="U139" s="1608"/>
      <c r="V139" s="1608"/>
      <c r="W139" s="1608"/>
      <c r="X139" s="1608"/>
      <c r="Y139" s="1608"/>
      <c r="Z139" s="1608"/>
      <c r="AA139" s="1608"/>
      <c r="AB139" s="1608"/>
      <c r="AC139" s="1608"/>
      <c r="AD139" s="1608"/>
      <c r="AE139" s="1608"/>
      <c r="AF139" s="1608"/>
      <c r="AG139" s="1608"/>
      <c r="AH139" s="1608"/>
      <c r="AI139" s="1608"/>
      <c r="AJ139" s="1608"/>
      <c r="AK139" s="1608"/>
      <c r="AL139" s="1425"/>
      <c r="AM139" s="1425"/>
      <c r="AN139" s="1425"/>
      <c r="AO139" s="1425"/>
      <c r="AP139" s="1425"/>
      <c r="AQ139" s="1425"/>
      <c r="AR139" s="1425"/>
      <c r="AS139" s="1425"/>
      <c r="AT139" s="1425"/>
      <c r="AU139" s="1425"/>
      <c r="AV139" s="1425"/>
      <c r="AW139" s="1425"/>
      <c r="AX139" s="1425"/>
      <c r="AY139" s="1425"/>
      <c r="AZ139" s="1425"/>
      <c r="BA139" s="1425"/>
      <c r="BB139" s="1425"/>
      <c r="BC139" s="1425"/>
      <c r="BD139" s="1425"/>
      <c r="BE139" s="1425"/>
      <c r="BF139" s="1425"/>
      <c r="BG139" s="1425"/>
      <c r="BH139" s="1425"/>
      <c r="BI139" s="1425"/>
    </row>
    <row r="140" spans="1:61">
      <c r="C140" s="2234" t="s">
        <v>2317</v>
      </c>
      <c r="D140" s="2235"/>
      <c r="E140" s="2235"/>
      <c r="F140" s="2235"/>
      <c r="G140" s="2235"/>
      <c r="H140" s="2235"/>
      <c r="I140" s="2236"/>
      <c r="J140" s="1585"/>
      <c r="K140" s="1586"/>
      <c r="L140" s="1586"/>
      <c r="M140" s="1586"/>
      <c r="N140" s="1586"/>
    </row>
    <row r="141" spans="1:61">
      <c r="C141" s="1426" t="s">
        <v>402</v>
      </c>
      <c r="D141" s="1869"/>
      <c r="E141" s="1869"/>
      <c r="F141" s="1869"/>
      <c r="G141" s="1942"/>
      <c r="H141" s="15" t="s">
        <v>1067</v>
      </c>
      <c r="I141" s="15" t="str">
        <f>+I4</f>
        <v xml:space="preserve"> As At</v>
      </c>
      <c r="J141" s="1558"/>
      <c r="K141" s="1559"/>
      <c r="L141" s="1559"/>
      <c r="M141" s="1559"/>
      <c r="N141" s="1587"/>
    </row>
    <row r="142" spans="1:61" ht="37.5">
      <c r="C142" s="52"/>
      <c r="D142" s="1844"/>
      <c r="E142" s="1844"/>
      <c r="F142" s="1844"/>
      <c r="G142" s="1428"/>
      <c r="H142" s="56" t="str">
        <f>+H5</f>
        <v>March 31, 2022 (₹)</v>
      </c>
      <c r="I142" s="56" t="s">
        <v>1069</v>
      </c>
      <c r="J142" s="1561"/>
      <c r="K142" s="1562"/>
      <c r="L142" s="1562"/>
      <c r="M142" s="1562"/>
      <c r="N142" s="1562"/>
    </row>
    <row r="143" spans="1:61">
      <c r="C143" s="1429" t="s">
        <v>1156</v>
      </c>
      <c r="D143" s="2060"/>
      <c r="E143" s="2060"/>
      <c r="F143" s="2060"/>
      <c r="G143" s="2060"/>
      <c r="H143" s="80"/>
      <c r="I143" s="80"/>
      <c r="J143" s="1609"/>
      <c r="K143" s="1610"/>
      <c r="L143" s="1610"/>
      <c r="M143" s="1610"/>
      <c r="N143" s="1611"/>
    </row>
    <row r="144" spans="1:61">
      <c r="C144" s="1401" t="s">
        <v>1157</v>
      </c>
      <c r="D144" s="1845"/>
      <c r="E144" s="1845"/>
      <c r="F144" s="1845"/>
      <c r="G144" s="1856"/>
      <c r="H144" s="81">
        <f>+I146</f>
        <v>26922650</v>
      </c>
      <c r="I144" s="81">
        <v>26922650</v>
      </c>
      <c r="J144" s="1566"/>
      <c r="K144" s="1612"/>
      <c r="L144" s="1612"/>
      <c r="M144" s="1612"/>
      <c r="N144" s="1612"/>
    </row>
    <row r="145" spans="3:14">
      <c r="C145" s="1401" t="s">
        <v>1158</v>
      </c>
      <c r="D145" s="1845"/>
      <c r="E145" s="1845"/>
      <c r="F145" s="1845"/>
      <c r="G145" s="1856"/>
      <c r="H145" s="82">
        <v>0</v>
      </c>
      <c r="I145" s="82">
        <v>0</v>
      </c>
      <c r="J145" s="1566"/>
      <c r="K145" s="1578"/>
      <c r="L145" s="1578"/>
      <c r="M145" s="1578"/>
      <c r="N145" s="1591"/>
    </row>
    <row r="146" spans="3:14" ht="19.5" thickBot="1">
      <c r="C146" s="1431" t="s">
        <v>1159</v>
      </c>
      <c r="D146" s="1845"/>
      <c r="E146" s="1845"/>
      <c r="F146" s="1845"/>
      <c r="G146" s="1856"/>
      <c r="H146" s="83">
        <f>+SUM(H144:H145)</f>
        <v>26922650</v>
      </c>
      <c r="I146" s="83">
        <f>+SUM(I144:I145)</f>
        <v>26922650</v>
      </c>
      <c r="J146" s="1561"/>
      <c r="K146" s="1613"/>
      <c r="L146" s="1613"/>
      <c r="M146" s="1613"/>
      <c r="N146" s="1613"/>
    </row>
    <row r="147" spans="3:14" ht="19.5" hidden="1" thickTop="1">
      <c r="C147" s="1431"/>
      <c r="D147" s="1845"/>
      <c r="E147" s="1845"/>
      <c r="F147" s="1845"/>
      <c r="G147" s="1856"/>
      <c r="H147" s="82"/>
      <c r="I147" s="82"/>
      <c r="J147" s="1566"/>
      <c r="K147" s="1578"/>
      <c r="L147" s="1578"/>
      <c r="M147" s="1578"/>
      <c r="N147" s="1555"/>
    </row>
    <row r="148" spans="3:14" ht="19.5" thickTop="1">
      <c r="C148" s="1429" t="s">
        <v>1160</v>
      </c>
      <c r="D148" s="1845"/>
      <c r="E148" s="1845"/>
      <c r="F148" s="1845"/>
      <c r="G148" s="1845"/>
      <c r="H148" s="81"/>
      <c r="I148" s="81"/>
      <c r="J148" s="1566"/>
      <c r="K148" s="1612"/>
      <c r="L148" s="1612"/>
      <c r="M148" s="1612"/>
      <c r="N148" s="1614"/>
    </row>
    <row r="149" spans="3:14">
      <c r="C149" s="1432" t="s">
        <v>525</v>
      </c>
      <c r="D149" s="1845"/>
      <c r="E149" s="1845"/>
      <c r="F149" s="1845"/>
      <c r="G149" s="1845"/>
      <c r="H149" s="81"/>
      <c r="I149" s="81"/>
      <c r="J149" s="1566"/>
      <c r="K149" s="1612"/>
      <c r="L149" s="1612"/>
      <c r="M149" s="1612"/>
      <c r="N149" s="1614"/>
    </row>
    <row r="150" spans="3:14">
      <c r="C150" s="75" t="s">
        <v>1161</v>
      </c>
      <c r="D150" s="2061"/>
      <c r="E150" s="2061"/>
      <c r="F150" s="2061"/>
      <c r="G150" s="1845"/>
      <c r="H150" s="84">
        <f>+I154</f>
        <v>20413989</v>
      </c>
      <c r="I150" s="81">
        <v>20413989</v>
      </c>
      <c r="J150" s="1566"/>
      <c r="K150" s="1612"/>
      <c r="L150" s="1612"/>
      <c r="M150" s="1612"/>
      <c r="N150" s="1612"/>
    </row>
    <row r="151" spans="3:14">
      <c r="C151" s="1431" t="s">
        <v>1162</v>
      </c>
      <c r="D151" s="1845"/>
      <c r="E151" s="1845"/>
      <c r="F151" s="1845"/>
      <c r="G151" s="1845"/>
      <c r="H151" s="81">
        <v>0</v>
      </c>
      <c r="I151" s="85">
        <v>0</v>
      </c>
      <c r="J151" s="1566"/>
      <c r="K151" s="1612"/>
      <c r="L151" s="1612"/>
      <c r="M151" s="1612"/>
      <c r="N151" s="1615"/>
    </row>
    <row r="152" spans="3:14">
      <c r="C152" s="1431" t="s">
        <v>1163</v>
      </c>
      <c r="D152" s="1845"/>
      <c r="E152" s="1845"/>
      <c r="F152" s="1845"/>
      <c r="G152" s="1845"/>
      <c r="H152" s="86">
        <f>+H150+H151</f>
        <v>20413989</v>
      </c>
      <c r="I152" s="81">
        <f>+I150+I151</f>
        <v>20413989</v>
      </c>
      <c r="J152" s="1566"/>
      <c r="K152" s="1612"/>
      <c r="L152" s="1612"/>
      <c r="M152" s="1612"/>
      <c r="N152" s="1612"/>
    </row>
    <row r="153" spans="3:14">
      <c r="C153" s="1431" t="s">
        <v>1164</v>
      </c>
      <c r="D153" s="1845"/>
      <c r="E153" s="1845"/>
      <c r="F153" s="1845"/>
      <c r="G153" s="1845"/>
      <c r="H153" s="81">
        <v>0</v>
      </c>
      <c r="I153" s="81">
        <v>0</v>
      </c>
      <c r="J153" s="1566"/>
      <c r="K153" s="1612"/>
      <c r="L153" s="1612"/>
      <c r="M153" s="1612"/>
      <c r="N153" s="1615"/>
    </row>
    <row r="154" spans="3:14">
      <c r="C154" s="1433" t="s">
        <v>10</v>
      </c>
      <c r="D154" s="1475"/>
      <c r="E154" s="1475"/>
      <c r="F154" s="1475"/>
      <c r="G154" s="1475"/>
      <c r="H154" s="87">
        <f>+H152+H153</f>
        <v>20413989</v>
      </c>
      <c r="I154" s="87">
        <f>+I152+I153</f>
        <v>20413989</v>
      </c>
      <c r="J154" s="1561"/>
      <c r="K154" s="1613"/>
      <c r="L154" s="1613"/>
      <c r="M154" s="1613"/>
      <c r="N154" s="1613"/>
    </row>
    <row r="155" spans="3:14" hidden="1">
      <c r="C155" s="1433"/>
      <c r="D155" s="1475"/>
      <c r="E155" s="1475"/>
      <c r="F155" s="1475"/>
      <c r="G155" s="1475"/>
      <c r="H155" s="88"/>
      <c r="I155" s="88"/>
      <c r="J155" s="1561"/>
      <c r="K155" s="1613"/>
      <c r="L155" s="1613"/>
      <c r="M155" s="1613"/>
      <c r="N155" s="1613"/>
    </row>
    <row r="156" spans="3:14">
      <c r="C156" s="1433" t="s">
        <v>855</v>
      </c>
      <c r="D156" s="1845"/>
      <c r="E156" s="1845"/>
      <c r="F156" s="1845"/>
      <c r="G156" s="1845"/>
      <c r="H156" s="81"/>
      <c r="I156" s="81"/>
      <c r="J156" s="1566"/>
      <c r="K156" s="1612"/>
      <c r="L156" s="1612"/>
      <c r="M156" s="1612"/>
      <c r="N156" s="1614"/>
    </row>
    <row r="157" spans="3:14">
      <c r="C157" s="75" t="s">
        <v>1161</v>
      </c>
      <c r="D157" s="1845"/>
      <c r="E157" s="1845"/>
      <c r="F157" s="1845"/>
      <c r="G157" s="1845"/>
      <c r="H157" s="81">
        <f>+I161</f>
        <v>8664946</v>
      </c>
      <c r="I157" s="81">
        <v>8664946</v>
      </c>
      <c r="J157" s="1566"/>
      <c r="K157" s="1612"/>
      <c r="L157" s="1612"/>
      <c r="M157" s="1612"/>
      <c r="N157" s="1616"/>
    </row>
    <row r="158" spans="3:14">
      <c r="C158" s="1431" t="s">
        <v>1162</v>
      </c>
      <c r="D158" s="1845"/>
      <c r="E158" s="1845"/>
      <c r="F158" s="1845"/>
      <c r="G158" s="1845"/>
      <c r="H158" s="85">
        <v>0</v>
      </c>
      <c r="I158" s="85">
        <v>0</v>
      </c>
      <c r="J158" s="1566"/>
      <c r="K158" s="1612"/>
      <c r="L158" s="1612"/>
      <c r="M158" s="1612"/>
      <c r="N158" s="1615"/>
    </row>
    <row r="159" spans="3:14">
      <c r="C159" s="1431" t="s">
        <v>1163</v>
      </c>
      <c r="D159" s="1845"/>
      <c r="E159" s="1845"/>
      <c r="F159" s="1845"/>
      <c r="G159" s="1845"/>
      <c r="H159" s="81">
        <f>+H157+H158</f>
        <v>8664946</v>
      </c>
      <c r="I159" s="81">
        <f>+I157+I158</f>
        <v>8664946</v>
      </c>
      <c r="J159" s="1566"/>
      <c r="K159" s="1612"/>
      <c r="L159" s="1612"/>
      <c r="M159" s="1612"/>
      <c r="N159" s="1612"/>
    </row>
    <row r="160" spans="3:14">
      <c r="C160" s="1431" t="s">
        <v>1164</v>
      </c>
      <c r="D160" s="1845"/>
      <c r="E160" s="1845"/>
      <c r="F160" s="1845"/>
      <c r="G160" s="1845"/>
      <c r="H160" s="81">
        <v>0</v>
      </c>
      <c r="I160" s="81">
        <v>0</v>
      </c>
      <c r="J160" s="1566"/>
      <c r="K160" s="1612"/>
      <c r="L160" s="1612"/>
      <c r="M160" s="1612"/>
      <c r="N160" s="1615"/>
    </row>
    <row r="161" spans="3:14">
      <c r="C161" s="1433" t="s">
        <v>10</v>
      </c>
      <c r="D161" s="1845"/>
      <c r="E161" s="1845"/>
      <c r="F161" s="1845"/>
      <c r="G161" s="1845"/>
      <c r="H161" s="87">
        <f>+H159+H160</f>
        <v>8664946</v>
      </c>
      <c r="I161" s="87">
        <f>+I159+I160</f>
        <v>8664946</v>
      </c>
      <c r="J161" s="1561"/>
      <c r="K161" s="1613"/>
      <c r="L161" s="1613"/>
      <c r="M161" s="1613"/>
      <c r="N161" s="1613"/>
    </row>
    <row r="162" spans="3:14" hidden="1">
      <c r="C162" s="1433"/>
      <c r="D162" s="1845"/>
      <c r="E162" s="1845"/>
      <c r="F162" s="1845"/>
      <c r="G162" s="1845"/>
      <c r="H162" s="88"/>
      <c r="I162" s="88"/>
      <c r="J162" s="1561"/>
      <c r="K162" s="1613"/>
      <c r="L162" s="1613"/>
      <c r="M162" s="1613"/>
      <c r="N162" s="1613"/>
    </row>
    <row r="163" spans="3:14">
      <c r="C163" s="1433" t="s">
        <v>132</v>
      </c>
      <c r="D163" s="1845"/>
      <c r="E163" s="1845"/>
      <c r="F163" s="1845"/>
      <c r="G163" s="1845"/>
      <c r="H163" s="81"/>
      <c r="I163" s="81"/>
      <c r="J163" s="1566"/>
      <c r="K163" s="1612"/>
      <c r="L163" s="1612"/>
      <c r="M163" s="1612"/>
      <c r="N163" s="1614"/>
    </row>
    <row r="164" spans="3:14">
      <c r="C164" s="75" t="s">
        <v>1161</v>
      </c>
      <c r="D164" s="1845"/>
      <c r="E164" s="1845"/>
      <c r="F164" s="1845"/>
      <c r="G164" s="1845"/>
      <c r="H164" s="84">
        <f>+I168</f>
        <v>1800000</v>
      </c>
      <c r="I164" s="81">
        <v>1800000</v>
      </c>
      <c r="J164" s="1566"/>
      <c r="K164" s="1612"/>
      <c r="L164" s="1612"/>
      <c r="M164" s="1612"/>
      <c r="N164" s="1612"/>
    </row>
    <row r="165" spans="3:14">
      <c r="C165" s="1431" t="s">
        <v>1162</v>
      </c>
      <c r="D165" s="1845"/>
      <c r="E165" s="1845"/>
      <c r="F165" s="1845"/>
      <c r="G165" s="1845"/>
      <c r="H165" s="85">
        <v>0</v>
      </c>
      <c r="I165" s="85">
        <v>0</v>
      </c>
      <c r="J165" s="1566"/>
      <c r="K165" s="1612"/>
      <c r="L165" s="1612"/>
      <c r="M165" s="1612"/>
      <c r="N165" s="1615"/>
    </row>
    <row r="166" spans="3:14">
      <c r="C166" s="1431" t="s">
        <v>1163</v>
      </c>
      <c r="D166" s="1845"/>
      <c r="E166" s="1845"/>
      <c r="F166" s="1845"/>
      <c r="G166" s="1845"/>
      <c r="H166" s="81">
        <f>+H164+H165</f>
        <v>1800000</v>
      </c>
      <c r="I166" s="81">
        <f>+I164+I165</f>
        <v>1800000</v>
      </c>
      <c r="J166" s="1566"/>
      <c r="K166" s="1612"/>
      <c r="L166" s="1612"/>
      <c r="M166" s="1612"/>
      <c r="N166" s="1612"/>
    </row>
    <row r="167" spans="3:14">
      <c r="C167" s="1431" t="s">
        <v>1164</v>
      </c>
      <c r="D167" s="1845"/>
      <c r="E167" s="1845"/>
      <c r="F167" s="1845"/>
      <c r="G167" s="1845"/>
      <c r="H167" s="81"/>
      <c r="I167" s="81">
        <v>0</v>
      </c>
      <c r="J167" s="1566"/>
      <c r="K167" s="1612"/>
      <c r="L167" s="1612"/>
      <c r="M167" s="1612"/>
      <c r="N167" s="1615"/>
    </row>
    <row r="168" spans="3:14">
      <c r="C168" s="1431" t="s">
        <v>10</v>
      </c>
      <c r="D168" s="1845"/>
      <c r="E168" s="1845"/>
      <c r="F168" s="1845"/>
      <c r="G168" s="1845"/>
      <c r="H168" s="87">
        <f>+H166+H167</f>
        <v>1800000</v>
      </c>
      <c r="I168" s="87">
        <f>+I166+I167</f>
        <v>1800000</v>
      </c>
      <c r="J168" s="1561"/>
      <c r="K168" s="1613"/>
      <c r="L168" s="1613"/>
      <c r="M168" s="1613"/>
      <c r="N168" s="1613"/>
    </row>
    <row r="169" spans="3:14" hidden="1">
      <c r="C169" s="1431"/>
      <c r="D169" s="1845"/>
      <c r="E169" s="1845"/>
      <c r="F169" s="1845"/>
      <c r="G169" s="1845"/>
      <c r="H169" s="88"/>
      <c r="I169" s="88"/>
      <c r="J169" s="1561"/>
      <c r="K169" s="1613"/>
      <c r="L169" s="1613"/>
      <c r="M169" s="1613"/>
      <c r="N169" s="1613"/>
    </row>
    <row r="170" spans="3:14">
      <c r="C170" s="1433" t="s">
        <v>1165</v>
      </c>
      <c r="D170" s="1845"/>
      <c r="E170" s="1845"/>
      <c r="F170" s="1845"/>
      <c r="G170" s="1845"/>
      <c r="H170" s="81"/>
      <c r="I170" s="81"/>
      <c r="J170" s="1566"/>
      <c r="K170" s="1612"/>
      <c r="L170" s="1612"/>
      <c r="M170" s="1612"/>
      <c r="N170" s="1614"/>
    </row>
    <row r="171" spans="3:14">
      <c r="C171" s="1431" t="s">
        <v>1161</v>
      </c>
      <c r="D171" s="1845"/>
      <c r="E171" s="1845"/>
      <c r="F171" s="1845"/>
      <c r="G171" s="1845"/>
      <c r="H171" s="89">
        <f>+I176</f>
        <v>50905005</v>
      </c>
      <c r="I171" s="88">
        <v>50905005</v>
      </c>
      <c r="J171" s="1561"/>
      <c r="K171" s="1613"/>
      <c r="L171" s="1613"/>
      <c r="M171" s="1613"/>
      <c r="N171" s="1613"/>
    </row>
    <row r="172" spans="3:14">
      <c r="C172" s="1431" t="s">
        <v>1166</v>
      </c>
      <c r="D172" s="1845"/>
      <c r="E172" s="1845"/>
      <c r="F172" s="1845"/>
      <c r="G172" s="1845"/>
      <c r="H172" s="81">
        <v>0</v>
      </c>
      <c r="I172" s="81">
        <v>0</v>
      </c>
      <c r="J172" s="1566"/>
      <c r="K172" s="1612"/>
      <c r="L172" s="1612"/>
      <c r="M172" s="1612"/>
      <c r="N172" s="1612"/>
    </row>
    <row r="173" spans="3:14">
      <c r="C173" s="1431" t="s">
        <v>1167</v>
      </c>
      <c r="D173" s="1845"/>
      <c r="E173" s="1845"/>
      <c r="F173" s="1845"/>
      <c r="G173" s="1845"/>
      <c r="H173" s="85">
        <v>0</v>
      </c>
      <c r="I173" s="85">
        <v>0</v>
      </c>
      <c r="J173" s="1566"/>
      <c r="K173" s="1612"/>
      <c r="L173" s="1612"/>
      <c r="M173" s="1612"/>
      <c r="N173" s="1612"/>
    </row>
    <row r="174" spans="3:14">
      <c r="C174" s="1431" t="s">
        <v>1163</v>
      </c>
      <c r="D174" s="1845"/>
      <c r="E174" s="1845"/>
      <c r="F174" s="1845"/>
      <c r="G174" s="1845"/>
      <c r="H174" s="88">
        <f>+H171+H172+H173</f>
        <v>50905005</v>
      </c>
      <c r="I174" s="88">
        <f>+I171+I172+I173</f>
        <v>50905005</v>
      </c>
      <c r="J174" s="1561"/>
      <c r="K174" s="1613"/>
      <c r="L174" s="1613"/>
      <c r="M174" s="1613"/>
      <c r="N174" s="1613"/>
    </row>
    <row r="175" spans="3:14">
      <c r="C175" s="1431" t="s">
        <v>1164</v>
      </c>
      <c r="D175" s="1845"/>
      <c r="E175" s="1845"/>
      <c r="F175" s="1845"/>
      <c r="G175" s="1845"/>
      <c r="H175" s="81">
        <v>0</v>
      </c>
      <c r="I175" s="81">
        <v>0</v>
      </c>
      <c r="J175" s="1566"/>
      <c r="K175" s="1612"/>
      <c r="L175" s="1612"/>
      <c r="M175" s="1612"/>
      <c r="N175" s="1612"/>
    </row>
    <row r="176" spans="3:14">
      <c r="C176" s="1431" t="s">
        <v>10</v>
      </c>
      <c r="D176" s="1845"/>
      <c r="E176" s="1845"/>
      <c r="F176" s="1845"/>
      <c r="G176" s="1845"/>
      <c r="H176" s="87">
        <f>+H174+H175</f>
        <v>50905005</v>
      </c>
      <c r="I176" s="87">
        <f>+I174+I175</f>
        <v>50905005</v>
      </c>
      <c r="J176" s="1561"/>
      <c r="K176" s="1613"/>
      <c r="L176" s="1613"/>
      <c r="M176" s="1613"/>
      <c r="N176" s="1613"/>
    </row>
    <row r="177" spans="3:15" hidden="1">
      <c r="C177" s="1431"/>
      <c r="D177" s="1845"/>
      <c r="E177" s="1845"/>
      <c r="F177" s="1845"/>
      <c r="G177" s="1845"/>
      <c r="H177" s="88"/>
      <c r="I177" s="88"/>
      <c r="J177" s="1561"/>
      <c r="K177" s="1613"/>
      <c r="L177" s="1613"/>
      <c r="M177" s="1613"/>
      <c r="N177" s="1613"/>
    </row>
    <row r="178" spans="3:15">
      <c r="C178" s="1433" t="s">
        <v>1168</v>
      </c>
      <c r="D178" s="1845"/>
      <c r="E178" s="1845"/>
      <c r="F178" s="1845"/>
      <c r="G178" s="1845"/>
      <c r="H178" s="81"/>
      <c r="I178" s="81"/>
      <c r="J178" s="1566"/>
      <c r="K178" s="1612"/>
      <c r="L178" s="1612"/>
      <c r="M178" s="1612"/>
      <c r="N178" s="1614"/>
    </row>
    <row r="179" spans="3:15">
      <c r="C179" s="75" t="s">
        <v>1161</v>
      </c>
      <c r="D179" s="1845"/>
      <c r="E179" s="1845"/>
      <c r="F179" s="1845"/>
      <c r="G179" s="1845"/>
      <c r="H179" s="81">
        <f>+I191</f>
        <v>159588193.55420685</v>
      </c>
      <c r="I179" s="81">
        <v>124185196.38</v>
      </c>
      <c r="J179" s="1566"/>
      <c r="K179" s="1612"/>
      <c r="L179" s="1612"/>
      <c r="M179" s="1612"/>
      <c r="N179" s="1616"/>
    </row>
    <row r="180" spans="3:15">
      <c r="C180" s="1431" t="s">
        <v>1162</v>
      </c>
      <c r="D180" s="1845"/>
      <c r="E180" s="1845"/>
      <c r="F180" s="1845"/>
      <c r="G180" s="1845"/>
      <c r="H180" s="81">
        <v>0</v>
      </c>
      <c r="I180" s="81">
        <v>0</v>
      </c>
      <c r="J180" s="1566"/>
      <c r="K180" s="1612"/>
      <c r="L180" s="1612"/>
      <c r="M180" s="1612"/>
      <c r="N180" s="1612"/>
    </row>
    <row r="181" spans="3:15">
      <c r="C181" s="1431" t="s">
        <v>1169</v>
      </c>
      <c r="D181" s="1845"/>
      <c r="E181" s="1845"/>
      <c r="F181" s="1845"/>
      <c r="G181" s="1845"/>
      <c r="H181" s="81">
        <v>0</v>
      </c>
      <c r="I181" s="81">
        <v>0</v>
      </c>
      <c r="J181" s="1566"/>
      <c r="K181" s="1612"/>
      <c r="L181" s="1612"/>
      <c r="M181" s="1612"/>
      <c r="N181" s="1612"/>
    </row>
    <row r="182" spans="3:15">
      <c r="C182" s="1431" t="s">
        <v>1163</v>
      </c>
      <c r="D182" s="1845"/>
      <c r="E182" s="1845"/>
      <c r="F182" s="1845"/>
      <c r="G182" s="1845"/>
      <c r="H182" s="86">
        <f>+H179+H180+H181</f>
        <v>159588193.55420685</v>
      </c>
      <c r="I182" s="86">
        <f>+I179+I180+I181</f>
        <v>124185196.38</v>
      </c>
      <c r="J182" s="1566">
        <v>158458471.24000001</v>
      </c>
      <c r="K182" s="1612">
        <f>+H182-J182</f>
        <v>1129722.3142068386</v>
      </c>
      <c r="L182" s="1612"/>
      <c r="M182" s="1612"/>
      <c r="N182" s="1612"/>
    </row>
    <row r="183" spans="3:15">
      <c r="C183" s="1431" t="s">
        <v>1170</v>
      </c>
      <c r="D183" s="1845"/>
      <c r="E183" s="1845"/>
      <c r="F183" s="1845"/>
      <c r="G183" s="1845"/>
      <c r="H183" s="81">
        <f>+H100</f>
        <v>3825288.9905461473</v>
      </c>
      <c r="I183" s="81">
        <f>+I100</f>
        <v>34273275.17420686</v>
      </c>
      <c r="J183" s="1566"/>
      <c r="K183" s="1612"/>
      <c r="L183" s="1612"/>
      <c r="M183" s="1612"/>
      <c r="N183" s="1612">
        <v>38905622.857527018</v>
      </c>
      <c r="O183" s="1555">
        <f>+H183-N183</f>
        <v>-35080333.866980873</v>
      </c>
    </row>
    <row r="184" spans="3:15">
      <c r="C184" s="1431" t="s">
        <v>1171</v>
      </c>
      <c r="D184" s="1845"/>
      <c r="E184" s="1845"/>
      <c r="F184" s="1845"/>
      <c r="G184" s="1845"/>
      <c r="H184" s="85">
        <f>+H107</f>
        <v>1104075</v>
      </c>
      <c r="I184" s="85">
        <v>1129722</v>
      </c>
      <c r="J184" s="1566"/>
      <c r="K184" s="1612"/>
      <c r="L184" s="1612"/>
      <c r="M184" s="1612"/>
      <c r="N184" s="1612"/>
    </row>
    <row r="185" spans="3:15">
      <c r="C185" s="1431" t="s">
        <v>1172</v>
      </c>
      <c r="D185" s="1845"/>
      <c r="E185" s="1845"/>
      <c r="F185" s="1845"/>
      <c r="G185" s="1845"/>
      <c r="H185" s="81">
        <f>+H183+H184</f>
        <v>4929363.9905461473</v>
      </c>
      <c r="I185" s="81">
        <f>+I183+I184</f>
        <v>35402997.17420686</v>
      </c>
      <c r="J185" s="1566"/>
      <c r="K185" s="1612"/>
      <c r="L185" s="1612"/>
      <c r="M185" s="1612"/>
      <c r="N185" s="1612"/>
    </row>
    <row r="186" spans="3:15">
      <c r="C186" s="1433" t="s">
        <v>1173</v>
      </c>
      <c r="D186" s="1845"/>
      <c r="E186" s="1845"/>
      <c r="F186" s="1845"/>
      <c r="G186" s="1845"/>
      <c r="H186" s="81"/>
      <c r="I186" s="81"/>
      <c r="J186" s="1566"/>
      <c r="K186" s="1612"/>
      <c r="L186" s="1612"/>
      <c r="M186" s="1612"/>
      <c r="N186" s="1614"/>
    </row>
    <row r="187" spans="3:15">
      <c r="C187" s="1431" t="s">
        <v>1174</v>
      </c>
      <c r="D187" s="1845"/>
      <c r="E187" s="1845"/>
      <c r="F187" s="1845"/>
      <c r="G187" s="1845"/>
      <c r="H187" s="81">
        <v>0</v>
      </c>
      <c r="I187" s="81">
        <v>0</v>
      </c>
      <c r="J187" s="1566"/>
      <c r="K187" s="1612"/>
      <c r="L187" s="1612"/>
      <c r="M187" s="1612"/>
      <c r="N187" s="1614"/>
    </row>
    <row r="188" spans="3:15">
      <c r="C188" s="1431" t="s">
        <v>1175</v>
      </c>
      <c r="D188" s="1845"/>
      <c r="E188" s="1845"/>
      <c r="F188" s="1845"/>
      <c r="G188" s="1845"/>
      <c r="H188" s="81">
        <v>0</v>
      </c>
      <c r="I188" s="81">
        <v>0</v>
      </c>
      <c r="J188" s="1566"/>
      <c r="K188" s="1612"/>
      <c r="L188" s="1612"/>
      <c r="M188" s="1612"/>
      <c r="N188" s="1615"/>
    </row>
    <row r="189" spans="3:15">
      <c r="C189" s="1431" t="s">
        <v>1176</v>
      </c>
      <c r="D189" s="1845"/>
      <c r="E189" s="1845"/>
      <c r="F189" s="1845"/>
      <c r="G189" s="1845"/>
      <c r="H189" s="81">
        <v>0</v>
      </c>
      <c r="I189" s="81">
        <v>0</v>
      </c>
      <c r="J189" s="1566"/>
      <c r="K189" s="1612"/>
      <c r="L189" s="1612"/>
      <c r="M189" s="1612"/>
      <c r="N189" s="1615"/>
    </row>
    <row r="190" spans="3:15">
      <c r="C190" s="1431" t="s">
        <v>1164</v>
      </c>
      <c r="D190" s="1845"/>
      <c r="E190" s="1845"/>
      <c r="F190" s="1845"/>
      <c r="G190" s="1845"/>
      <c r="H190" s="81">
        <v>0</v>
      </c>
      <c r="I190" s="81">
        <v>0</v>
      </c>
      <c r="J190" s="1566"/>
      <c r="K190" s="1612"/>
      <c r="L190" s="1612"/>
      <c r="M190" s="1612"/>
      <c r="N190" s="1615"/>
    </row>
    <row r="191" spans="3:15">
      <c r="C191" s="1431" t="s">
        <v>10</v>
      </c>
      <c r="D191" s="1845"/>
      <c r="E191" s="1845"/>
      <c r="F191" s="1845"/>
      <c r="G191" s="1845"/>
      <c r="H191" s="90">
        <f>+H182+H185-SUM(H188:H190)</f>
        <v>164517557.54475299</v>
      </c>
      <c r="I191" s="90">
        <f>+I182+I185-SUM(I188:I190)</f>
        <v>159588193.55420685</v>
      </c>
      <c r="J191" s="1566"/>
      <c r="K191" s="1612"/>
      <c r="L191" s="1612"/>
      <c r="M191" s="1612"/>
      <c r="N191" s="1617"/>
    </row>
    <row r="192" spans="3:15">
      <c r="C192" s="1436"/>
      <c r="D192" s="1846"/>
      <c r="E192" s="1846"/>
      <c r="F192" s="1846"/>
      <c r="G192" s="1846"/>
      <c r="H192" s="87">
        <f>H191+H168+H161+H154+H176</f>
        <v>246301497.54475299</v>
      </c>
      <c r="I192" s="87">
        <f>I191+I168+I161+I154+I176</f>
        <v>241372133.55420685</v>
      </c>
      <c r="J192" s="1561"/>
      <c r="K192" s="1613"/>
      <c r="L192" s="1613"/>
      <c r="M192" s="1613"/>
      <c r="N192" s="1618"/>
    </row>
    <row r="193" spans="3:14" hidden="1">
      <c r="C193" s="1437"/>
      <c r="D193" s="1870"/>
      <c r="E193" s="1870"/>
      <c r="F193" s="1870"/>
      <c r="G193" s="1870"/>
      <c r="H193" s="2062"/>
      <c r="I193" s="91"/>
      <c r="J193" s="1561"/>
      <c r="K193" s="1613"/>
      <c r="L193" s="1613"/>
      <c r="M193" s="1613"/>
      <c r="N193" s="1618"/>
    </row>
    <row r="194" spans="3:14">
      <c r="C194" s="74" t="s">
        <v>1105</v>
      </c>
      <c r="D194" s="2018"/>
      <c r="E194" s="2018"/>
      <c r="F194" s="2018"/>
      <c r="G194" s="2018"/>
      <c r="H194" s="92"/>
      <c r="I194" s="93"/>
      <c r="J194" s="1574"/>
      <c r="K194" s="1619"/>
      <c r="L194" s="1619"/>
      <c r="M194" s="1619"/>
      <c r="N194" s="1619"/>
    </row>
    <row r="195" spans="3:14">
      <c r="C195" s="1395" t="str">
        <f>+C117</f>
        <v>As per our report of even date</v>
      </c>
      <c r="D195" s="1396"/>
      <c r="E195" s="1396"/>
      <c r="F195" s="1396"/>
      <c r="G195" s="1397" t="s">
        <v>1107</v>
      </c>
      <c r="H195" s="1850"/>
      <c r="I195" s="40"/>
      <c r="J195" s="1566"/>
      <c r="K195" s="1578"/>
      <c r="L195" s="1578"/>
      <c r="M195" s="1578"/>
    </row>
    <row r="196" spans="3:14">
      <c r="C196" s="1398" t="str">
        <f>+C119</f>
        <v>FOR DARAK AND ASSOCIATES</v>
      </c>
      <c r="D196" s="1856"/>
      <c r="E196" s="1856"/>
      <c r="F196" s="1856"/>
      <c r="G196" s="1397"/>
      <c r="H196" s="1850"/>
      <c r="I196" s="40"/>
      <c r="J196" s="1566"/>
      <c r="K196" s="1578"/>
      <c r="L196" s="1578"/>
      <c r="M196" s="1578"/>
    </row>
    <row r="197" spans="3:14">
      <c r="C197" s="1398" t="str">
        <f t="shared" ref="C197:C208" si="2">+C120</f>
        <v>CHARTERED ACCOUNTANTS</v>
      </c>
      <c r="D197" s="1856"/>
      <c r="E197" s="1856"/>
      <c r="F197" s="1856"/>
      <c r="G197" s="1397"/>
      <c r="H197" s="1850"/>
      <c r="I197" s="40"/>
      <c r="J197" s="1566"/>
      <c r="K197" s="1578"/>
      <c r="L197" s="1578"/>
      <c r="M197" s="1578"/>
    </row>
    <row r="198" spans="3:14">
      <c r="C198" s="1398" t="str">
        <f t="shared" si="2"/>
        <v>FIRM REGISTRATION NO.: 132818W</v>
      </c>
      <c r="D198" s="1399"/>
      <c r="E198" s="1399"/>
      <c r="F198" s="1399"/>
      <c r="G198" s="1423" t="str">
        <f>+G119</f>
        <v>ANIL KUMAR LAKHOTIYA - MANAGING  DIRECTOR</v>
      </c>
      <c r="H198" s="1850"/>
      <c r="I198" s="40"/>
      <c r="J198" s="1566"/>
      <c r="K198" s="1578"/>
      <c r="L198" s="1578"/>
      <c r="M198" s="1578"/>
    </row>
    <row r="199" spans="3:14">
      <c r="C199" s="1398"/>
      <c r="D199" s="1399"/>
      <c r="E199" s="1399"/>
      <c r="F199" s="1399"/>
      <c r="G199" s="1397" t="str">
        <f>+G120</f>
        <v>(DIN:00367361)</v>
      </c>
      <c r="H199" s="1850"/>
      <c r="I199" s="40"/>
      <c r="J199" s="1566"/>
      <c r="K199" s="1578"/>
      <c r="L199" s="1578"/>
      <c r="M199" s="1578"/>
    </row>
    <row r="200" spans="3:14">
      <c r="C200" s="1398"/>
      <c r="D200" s="1856"/>
      <c r="E200" s="1856"/>
      <c r="F200" s="1856"/>
      <c r="G200" s="1400"/>
      <c r="H200" s="42"/>
      <c r="I200" s="43"/>
      <c r="J200" s="1561"/>
      <c r="K200" s="1561"/>
      <c r="L200" s="1561"/>
      <c r="M200" s="1561"/>
      <c r="N200" s="1580"/>
    </row>
    <row r="201" spans="3:14">
      <c r="C201" s="1398"/>
      <c r="D201" s="1856"/>
      <c r="E201" s="1856"/>
      <c r="F201" s="1856"/>
      <c r="G201" s="1856"/>
      <c r="H201" s="1850"/>
      <c r="I201" s="40"/>
      <c r="J201" s="1566"/>
      <c r="K201" s="1578"/>
      <c r="L201" s="1578"/>
      <c r="M201" s="1578"/>
      <c r="N201" s="1555"/>
    </row>
    <row r="202" spans="3:14">
      <c r="C202" s="1398" t="str">
        <f t="shared" si="2"/>
        <v>AMIT M. DARAK</v>
      </c>
      <c r="D202" s="1856"/>
      <c r="E202" s="1856"/>
      <c r="F202" s="1856"/>
      <c r="G202" s="1399" t="str">
        <f>+G123</f>
        <v>KAILASH AGARWAL - WHOLE TIME DIRECTOR</v>
      </c>
      <c r="H202" s="1850"/>
      <c r="I202" s="40"/>
      <c r="J202" s="1566"/>
      <c r="K202" s="1578"/>
      <c r="L202" s="1578"/>
      <c r="M202" s="1578"/>
      <c r="N202" s="1555"/>
    </row>
    <row r="203" spans="3:14">
      <c r="C203" s="1398" t="str">
        <f t="shared" si="2"/>
        <v>PARTNER</v>
      </c>
      <c r="D203" s="1399"/>
      <c r="E203" s="1399"/>
      <c r="F203" s="1399"/>
      <c r="G203" s="1856" t="str">
        <f>+G124</f>
        <v>(DIN:00367292)</v>
      </c>
      <c r="H203" s="1850"/>
      <c r="I203" s="40"/>
      <c r="J203" s="1566"/>
      <c r="K203" s="1578"/>
      <c r="L203" s="1578"/>
      <c r="M203" s="1578"/>
      <c r="N203" s="1580"/>
    </row>
    <row r="204" spans="3:14">
      <c r="C204" s="1398" t="str">
        <f t="shared" si="2"/>
        <v>MEMBERSHIP NO. : 144005</v>
      </c>
      <c r="D204" s="1838"/>
      <c r="E204" s="1838"/>
      <c r="F204" s="1838"/>
      <c r="G204" s="1400"/>
      <c r="H204" s="42"/>
      <c r="I204" s="43"/>
      <c r="J204" s="1561"/>
      <c r="K204" s="1561"/>
      <c r="L204" s="1561"/>
      <c r="M204" s="1561"/>
      <c r="N204" s="1555"/>
    </row>
    <row r="205" spans="3:14">
      <c r="C205" s="1398"/>
      <c r="D205" s="1840"/>
      <c r="E205" s="1840"/>
      <c r="F205" s="1840"/>
      <c r="G205" s="1856"/>
      <c r="H205" s="1850"/>
      <c r="I205" s="40"/>
      <c r="J205" s="1566"/>
      <c r="K205" s="1578"/>
      <c r="L205" s="1578"/>
      <c r="M205" s="1578"/>
    </row>
    <row r="206" spans="3:14" ht="35.450000000000003" customHeight="1">
      <c r="C206" s="1401" t="str">
        <f t="shared" si="2"/>
        <v>Place: Nagpur</v>
      </c>
      <c r="D206" s="1840"/>
      <c r="E206" s="1840"/>
      <c r="F206" s="1840"/>
      <c r="G206" s="2237" t="str">
        <f>+G127</f>
        <v>JARNAIL SINGH SAINI - CHIEF FINANCIAL OFFICER &amp; EXECUTIVE DIRECTOR</v>
      </c>
      <c r="H206" s="2237"/>
      <c r="I206" s="2238"/>
      <c r="J206" s="1581"/>
      <c r="K206" s="1581"/>
      <c r="L206" s="1581"/>
      <c r="M206" s="1581"/>
      <c r="N206" s="1581"/>
    </row>
    <row r="207" spans="3:14">
      <c r="C207" s="1401" t="str">
        <f t="shared" si="2"/>
        <v>Date: 27-05-2022</v>
      </c>
      <c r="D207" s="1840"/>
      <c r="E207" s="1840"/>
      <c r="F207" s="1840"/>
      <c r="G207" s="2239" t="str">
        <f>+G128</f>
        <v>(DIN:00367656)</v>
      </c>
      <c r="H207" s="2239"/>
      <c r="I207" s="2240"/>
      <c r="J207" s="1604"/>
      <c r="K207" s="1604"/>
      <c r="L207" s="1604"/>
      <c r="M207" s="1604"/>
      <c r="N207" s="1555"/>
    </row>
    <row r="208" spans="3:14">
      <c r="C208" s="1398" t="str">
        <f t="shared" si="2"/>
        <v>UDIN: 22144005AKUHQC3197</v>
      </c>
      <c r="D208" s="1856"/>
      <c r="E208" s="1856"/>
      <c r="F208" s="1856"/>
      <c r="G208" s="1856"/>
      <c r="H208" s="1850"/>
      <c r="I208" s="40"/>
      <c r="J208" s="1566"/>
      <c r="K208" s="1578"/>
      <c r="L208" s="1578"/>
      <c r="M208" s="1578"/>
      <c r="N208" s="1555"/>
    </row>
    <row r="209" spans="3:14">
      <c r="C209" s="1398"/>
      <c r="D209" s="1856"/>
      <c r="E209" s="1856"/>
      <c r="F209" s="1856"/>
      <c r="G209" s="1856"/>
      <c r="H209" s="1850"/>
      <c r="I209" s="40"/>
      <c r="J209" s="1566"/>
      <c r="L209" s="1578"/>
      <c r="M209" s="1578"/>
      <c r="N209" s="1555"/>
    </row>
    <row r="210" spans="3:14">
      <c r="C210" s="1401"/>
      <c r="D210" s="1856"/>
      <c r="E210" s="1856"/>
      <c r="F210" s="1856"/>
      <c r="G210" s="1399" t="str">
        <f>+G131</f>
        <v>OMPRAKASH RATHI - WHOLE TIME DIRECTOR</v>
      </c>
      <c r="H210" s="1850"/>
      <c r="I210" s="40"/>
      <c r="J210" s="1566"/>
      <c r="K210" s="1578"/>
      <c r="L210" s="1578"/>
      <c r="M210" s="1578"/>
      <c r="N210" s="1580"/>
    </row>
    <row r="211" spans="3:14">
      <c r="C211" s="1401"/>
      <c r="D211" s="1856"/>
      <c r="E211" s="1856"/>
      <c r="F211" s="1856"/>
      <c r="G211" s="1856" t="str">
        <f>+G132</f>
        <v>(DIN:00895316)</v>
      </c>
      <c r="H211" s="42"/>
      <c r="I211" s="43"/>
      <c r="J211" s="1561"/>
      <c r="K211" s="1561"/>
      <c r="L211" s="1561"/>
      <c r="M211" s="1561"/>
      <c r="N211" s="1605"/>
    </row>
    <row r="212" spans="3:14">
      <c r="C212" s="1401"/>
      <c r="D212" s="1856"/>
      <c r="E212" s="1856"/>
      <c r="F212" s="1856"/>
      <c r="G212" s="1856"/>
      <c r="H212" s="1850"/>
      <c r="I212" s="40"/>
      <c r="J212" s="1566"/>
      <c r="K212" s="1578"/>
      <c r="L212" s="1578"/>
      <c r="M212" s="1578"/>
      <c r="N212" s="1605"/>
    </row>
    <row r="213" spans="3:14">
      <c r="C213" s="1401"/>
      <c r="D213" s="1856"/>
      <c r="E213" s="1856"/>
      <c r="F213" s="1856"/>
      <c r="G213" s="1856"/>
      <c r="H213" s="1850"/>
      <c r="I213" s="40"/>
      <c r="J213" s="1566"/>
      <c r="K213" s="1578"/>
      <c r="L213" s="1578"/>
      <c r="M213" s="1578"/>
      <c r="N213" s="1605"/>
    </row>
    <row r="214" spans="3:14">
      <c r="C214" s="1401"/>
      <c r="D214" s="1856"/>
      <c r="E214" s="1856"/>
      <c r="F214" s="1856"/>
      <c r="G214" s="1856" t="str">
        <f>+G135</f>
        <v>MAYANK LUNIYA - COMPANY SECRETARY</v>
      </c>
      <c r="H214" s="1850"/>
      <c r="I214" s="40"/>
      <c r="J214" s="1566"/>
      <c r="K214" s="1578"/>
      <c r="L214" s="1578"/>
      <c r="M214" s="1578"/>
      <c r="N214" s="1580"/>
    </row>
    <row r="215" spans="3:14" hidden="1">
      <c r="C215" s="1401"/>
      <c r="D215" s="1856"/>
      <c r="E215" s="1856"/>
      <c r="F215" s="1856"/>
      <c r="G215" s="1400"/>
      <c r="H215" s="42"/>
      <c r="I215" s="49"/>
      <c r="J215" s="1561"/>
      <c r="K215" s="1582"/>
      <c r="L215" s="1582"/>
      <c r="M215" s="1582"/>
      <c r="N215" s="1605"/>
    </row>
    <row r="216" spans="3:14">
      <c r="C216" s="1401"/>
      <c r="D216" s="1856"/>
      <c r="E216" s="1856"/>
      <c r="F216" s="1856"/>
      <c r="G216" s="1856" t="str">
        <f>+G137</f>
        <v>Place: Nagpur</v>
      </c>
      <c r="H216" s="1850"/>
      <c r="I216" s="40"/>
      <c r="J216" s="1566"/>
      <c r="K216" s="1578"/>
      <c r="L216" s="1578"/>
      <c r="M216" s="1578"/>
      <c r="N216" s="1605"/>
    </row>
    <row r="217" spans="3:14">
      <c r="C217" s="1424"/>
      <c r="D217" s="1855"/>
      <c r="E217" s="1855"/>
      <c r="F217" s="1855"/>
      <c r="G217" s="1855" t="str">
        <f>+G138</f>
        <v>Date: 27-05-2022</v>
      </c>
      <c r="H217" s="1858"/>
      <c r="I217" s="55"/>
      <c r="J217" s="1566"/>
      <c r="K217" s="1578"/>
      <c r="L217" s="1578"/>
      <c r="M217" s="1578"/>
      <c r="N217" s="1605"/>
    </row>
    <row r="218" spans="3:14">
      <c r="C218" s="2241" t="s">
        <v>1065</v>
      </c>
      <c r="D218" s="2242"/>
      <c r="E218" s="2242"/>
      <c r="F218" s="2242"/>
      <c r="G218" s="2242"/>
      <c r="H218" s="2242"/>
      <c r="I218" s="2243"/>
      <c r="J218" s="1621"/>
      <c r="K218" s="1622"/>
      <c r="L218" s="1622"/>
      <c r="M218" s="1622"/>
      <c r="N218" s="1605"/>
    </row>
    <row r="219" spans="3:14">
      <c r="C219" s="2169" t="s">
        <v>1546</v>
      </c>
      <c r="D219" s="2170"/>
      <c r="E219" s="2170"/>
      <c r="F219" s="2170"/>
      <c r="G219" s="2170"/>
      <c r="H219" s="2170"/>
      <c r="I219" s="2171"/>
      <c r="J219" s="1623"/>
      <c r="K219" s="1624"/>
      <c r="L219" s="1624"/>
      <c r="M219" s="1624"/>
      <c r="N219" s="1624"/>
    </row>
    <row r="220" spans="3:14">
      <c r="C220" s="1426" t="s">
        <v>402</v>
      </c>
      <c r="D220" s="1869"/>
      <c r="E220" s="1869"/>
      <c r="F220" s="1869"/>
      <c r="G220" s="1942"/>
      <c r="H220" s="15" t="s">
        <v>1067</v>
      </c>
      <c r="I220" s="15" t="s">
        <v>1068</v>
      </c>
      <c r="J220" s="1558"/>
      <c r="K220" s="1559"/>
      <c r="L220" s="1559"/>
      <c r="M220" s="1559"/>
      <c r="N220" s="1560"/>
    </row>
    <row r="221" spans="3:14" ht="17.25" customHeight="1">
      <c r="C221" s="52"/>
      <c r="D221" s="1844"/>
      <c r="E221" s="1844"/>
      <c r="F221" s="1844"/>
      <c r="G221" s="1428"/>
      <c r="H221" s="56" t="str">
        <f>+H5</f>
        <v>March 31, 2022 (₹)</v>
      </c>
      <c r="I221" s="56" t="s">
        <v>1069</v>
      </c>
      <c r="J221" s="1561"/>
      <c r="K221" s="1562"/>
      <c r="L221" s="1562"/>
      <c r="M221" s="1562"/>
      <c r="N221" s="1562"/>
    </row>
    <row r="222" spans="3:14" hidden="1">
      <c r="C222" s="75"/>
      <c r="D222" s="1838"/>
      <c r="E222" s="1838"/>
      <c r="F222" s="1838"/>
      <c r="G222" s="1423"/>
      <c r="H222" s="94"/>
      <c r="I222" s="25"/>
      <c r="J222" s="1561"/>
      <c r="K222" s="1562"/>
      <c r="L222" s="1562"/>
      <c r="M222" s="1562"/>
      <c r="N222" s="1562"/>
    </row>
    <row r="223" spans="3:14">
      <c r="C223" s="1847" t="s">
        <v>1177</v>
      </c>
      <c r="D223" s="1848"/>
      <c r="E223" s="1848"/>
      <c r="F223" s="1848"/>
      <c r="G223" s="1397"/>
      <c r="H223" s="82"/>
      <c r="I223" s="40"/>
      <c r="J223" s="1566"/>
      <c r="K223" s="1578"/>
      <c r="L223" s="1578"/>
      <c r="M223" s="1578"/>
    </row>
    <row r="224" spans="3:14">
      <c r="C224" s="97" t="s">
        <v>1178</v>
      </c>
      <c r="D224" s="1848"/>
      <c r="E224" s="1848"/>
      <c r="F224" s="1848"/>
      <c r="G224" s="1397"/>
      <c r="H224" s="82"/>
      <c r="I224" s="40"/>
      <c r="J224" s="1566"/>
      <c r="K224" s="1578"/>
      <c r="L224" s="1578"/>
      <c r="M224" s="1578"/>
    </row>
    <row r="225" spans="3:61" s="1438" customFormat="1">
      <c r="C225" s="2194" t="s">
        <v>1179</v>
      </c>
      <c r="D225" s="2244"/>
      <c r="E225" s="2244"/>
      <c r="F225" s="2244"/>
      <c r="G225" s="2244"/>
      <c r="H225" s="98"/>
      <c r="I225" s="99"/>
      <c r="J225" s="1625"/>
      <c r="K225" s="1626"/>
      <c r="L225" s="1626"/>
      <c r="M225" s="1626"/>
      <c r="N225" s="1627"/>
      <c r="O225" s="1628"/>
      <c r="P225" s="1628"/>
      <c r="Q225" s="1628"/>
      <c r="R225" s="1628"/>
      <c r="S225" s="1628"/>
      <c r="T225" s="1628"/>
      <c r="U225" s="1628"/>
      <c r="V225" s="1628"/>
      <c r="W225" s="1628"/>
      <c r="X225" s="1628"/>
      <c r="Y225" s="1628"/>
      <c r="Z225" s="1628"/>
      <c r="AA225" s="1628"/>
      <c r="AB225" s="1628"/>
      <c r="AC225" s="1628"/>
      <c r="AD225" s="1628"/>
      <c r="AE225" s="1628"/>
      <c r="AF225" s="1628"/>
      <c r="AG225" s="1628"/>
      <c r="AH225" s="1628"/>
      <c r="AI225" s="1628"/>
      <c r="AJ225" s="1628"/>
      <c r="AK225" s="1628"/>
      <c r="AL225" s="1440"/>
      <c r="AM225" s="1440"/>
      <c r="AN225" s="1440"/>
      <c r="AO225" s="1440"/>
      <c r="AP225" s="1440"/>
      <c r="AQ225" s="1440"/>
      <c r="AR225" s="1440"/>
      <c r="AS225" s="1440"/>
      <c r="AT225" s="1440"/>
      <c r="AU225" s="1440"/>
      <c r="AV225" s="1440"/>
      <c r="AW225" s="1440"/>
      <c r="AX225" s="1440"/>
      <c r="AY225" s="1440"/>
      <c r="AZ225" s="1440"/>
      <c r="BA225" s="1440"/>
      <c r="BB225" s="1440"/>
      <c r="BC225" s="1440"/>
      <c r="BD225" s="1440"/>
      <c r="BE225" s="1440"/>
      <c r="BF225" s="1440"/>
      <c r="BG225" s="1440"/>
      <c r="BH225" s="1440"/>
      <c r="BI225" s="1440"/>
    </row>
    <row r="226" spans="3:61" s="1438" customFormat="1">
      <c r="C226" s="2271" t="s">
        <v>1180</v>
      </c>
      <c r="D226" s="2272"/>
      <c r="E226" s="2272"/>
      <c r="F226" s="2272"/>
      <c r="G226" s="2272"/>
      <c r="H226" s="100">
        <f>+GETPIVOTDATA("Sum of Dr. Final 21-22",Pivot!$A$3,"Note",3,"BS Main Head","Other Financial Assets - Non Current","BS Sub Head","Balance with Bank in Deposit Accounts")</f>
        <v>2383478.61</v>
      </c>
      <c r="I226" s="101">
        <f>+GETPIVOTDATA("Sum of Dr. Final 2020-21",Pivot!$A$3,"Note",3,"BS Main Head","Other Financial Assets - Non Current","BS Sub Head","Balance with Bank in Deposit Accounts")</f>
        <v>1985304</v>
      </c>
      <c r="J226" s="1629"/>
      <c r="K226" s="1629"/>
      <c r="L226" s="1629"/>
      <c r="M226" s="1629"/>
      <c r="N226" s="1566" t="s">
        <v>1529</v>
      </c>
      <c r="O226" s="1628"/>
      <c r="P226" s="1628"/>
      <c r="Q226" s="1628"/>
      <c r="R226" s="1628"/>
      <c r="S226" s="1628"/>
      <c r="T226" s="1628"/>
      <c r="U226" s="1628"/>
      <c r="V226" s="1628"/>
      <c r="W226" s="1628"/>
      <c r="X226" s="1628"/>
      <c r="Y226" s="1628"/>
      <c r="Z226" s="1628"/>
      <c r="AA226" s="1628"/>
      <c r="AB226" s="1628"/>
      <c r="AC226" s="1628"/>
      <c r="AD226" s="1628"/>
      <c r="AE226" s="1628"/>
      <c r="AF226" s="1628"/>
      <c r="AG226" s="1628"/>
      <c r="AH226" s="1628"/>
      <c r="AI226" s="1628"/>
      <c r="AJ226" s="1628"/>
      <c r="AK226" s="1628"/>
      <c r="AL226" s="1440"/>
      <c r="AM226" s="1440"/>
      <c r="AN226" s="1440"/>
      <c r="AO226" s="1440"/>
      <c r="AP226" s="1440"/>
      <c r="AQ226" s="1440"/>
      <c r="AR226" s="1440"/>
      <c r="AS226" s="1440"/>
      <c r="AT226" s="1440"/>
      <c r="AU226" s="1440"/>
      <c r="AV226" s="1440"/>
      <c r="AW226" s="1440"/>
      <c r="AX226" s="1440"/>
      <c r="AY226" s="1440"/>
      <c r="AZ226" s="1440"/>
      <c r="BA226" s="1440"/>
      <c r="BB226" s="1440"/>
      <c r="BC226" s="1440"/>
      <c r="BD226" s="1440"/>
      <c r="BE226" s="1440"/>
      <c r="BF226" s="1440"/>
      <c r="BG226" s="1440"/>
      <c r="BH226" s="1440"/>
      <c r="BI226" s="1440"/>
    </row>
    <row r="227" spans="3:61">
      <c r="C227" s="1401" t="s">
        <v>1181</v>
      </c>
      <c r="D227" s="1856"/>
      <c r="E227" s="1856"/>
      <c r="F227" s="1856"/>
      <c r="G227" s="1856"/>
      <c r="H227" s="102"/>
      <c r="I227" s="82"/>
      <c r="J227" s="1566"/>
      <c r="K227" s="1578"/>
      <c r="L227" s="1578"/>
      <c r="M227" s="1578"/>
      <c r="N227" s="1591"/>
    </row>
    <row r="228" spans="3:61" ht="19.5" thickBot="1">
      <c r="C228" s="75"/>
      <c r="D228" s="1838"/>
      <c r="E228" s="1838"/>
      <c r="F228" s="1838"/>
      <c r="G228" s="1397"/>
      <c r="H228" s="103">
        <f>+SUM(H225:H227)</f>
        <v>2383478.61</v>
      </c>
      <c r="I228" s="103">
        <f>+SUM(I225:I227)</f>
        <v>1985304</v>
      </c>
      <c r="J228" s="1561"/>
      <c r="K228" s="1569"/>
      <c r="L228" s="1569"/>
      <c r="M228" s="1569"/>
      <c r="N228" s="1569"/>
    </row>
    <row r="229" spans="3:61" ht="19.5" hidden="1" thickTop="1">
      <c r="C229" s="104"/>
      <c r="D229" s="1849"/>
      <c r="E229" s="1849"/>
      <c r="F229" s="1849"/>
      <c r="G229" s="1397"/>
      <c r="H229" s="102"/>
      <c r="I229" s="82"/>
      <c r="J229" s="1566"/>
      <c r="K229" s="1578"/>
      <c r="L229" s="1578"/>
      <c r="M229" s="1578"/>
    </row>
    <row r="230" spans="3:61" ht="19.5" thickTop="1">
      <c r="C230" s="1847" t="s">
        <v>1182</v>
      </c>
      <c r="D230" s="1848"/>
      <c r="E230" s="1848"/>
      <c r="F230" s="1848"/>
      <c r="G230" s="1397"/>
      <c r="H230" s="102"/>
      <c r="I230" s="82"/>
      <c r="J230" s="1566"/>
      <c r="K230" s="1578"/>
      <c r="L230" s="1578"/>
      <c r="M230" s="1578"/>
    </row>
    <row r="231" spans="3:61">
      <c r="C231" s="97" t="s">
        <v>1178</v>
      </c>
      <c r="D231" s="1848"/>
      <c r="E231" s="1848"/>
      <c r="F231" s="1848"/>
      <c r="G231" s="1397"/>
      <c r="H231" s="102"/>
      <c r="I231" s="82"/>
      <c r="J231" s="1566"/>
      <c r="K231" s="1578"/>
      <c r="L231" s="1578"/>
      <c r="M231" s="1578"/>
    </row>
    <row r="232" spans="3:61">
      <c r="C232" s="2014" t="s">
        <v>1183</v>
      </c>
      <c r="D232" s="2018"/>
      <c r="E232" s="2018"/>
      <c r="F232" s="2018"/>
      <c r="G232" s="1943"/>
      <c r="H232" s="106">
        <f>+GETPIVOTDATA("Sum of Dr. Final 21-22",Pivot!$A$3,"Note",4,"BS Main Head","Other Non Current Assets","BS Sub Head","Advance For Capital Goods")</f>
        <v>13793930</v>
      </c>
      <c r="I232" s="98">
        <f>+GETPIVOTDATA("Sum of Dr. Final 2020-21",Pivot!$A$3,"Note",4,"BS Main Head","Other Non Current Assets","BS Sub Head","Advance For Capital Goods")</f>
        <v>2745000</v>
      </c>
      <c r="J232" s="1625"/>
      <c r="K232" s="1626"/>
      <c r="L232" s="1626"/>
      <c r="M232" s="1626"/>
      <c r="N232" s="1566"/>
    </row>
    <row r="233" spans="3:61">
      <c r="C233" s="2014" t="s">
        <v>600</v>
      </c>
      <c r="D233" s="2018"/>
      <c r="E233" s="2018"/>
      <c r="F233" s="2018"/>
      <c r="G233" s="1943"/>
      <c r="H233" s="106">
        <f>+GETPIVOTDATA("Sum of Dr. Final 21-22",Pivot!$A$3,"Note",4,"BS Main Head","Other Non Current Assets","BS Sub Head","Long Term Deposits")</f>
        <v>589677</v>
      </c>
      <c r="I233" s="98">
        <f>+GETPIVOTDATA("Sum of Dr. Final 2020-21",Pivot!$A$3,"Note",4,"BS Main Head","Other Non Current Assets","BS Sub Head","Long Term Deposits")</f>
        <v>515777</v>
      </c>
      <c r="J233" s="1625"/>
      <c r="K233" s="1626"/>
      <c r="L233" s="1626"/>
      <c r="M233" s="1626"/>
      <c r="N233" s="1630"/>
    </row>
    <row r="234" spans="3:61">
      <c r="C234" s="75" t="s">
        <v>590</v>
      </c>
      <c r="D234" s="1838"/>
      <c r="E234" s="1838"/>
      <c r="F234" s="1838"/>
      <c r="G234" s="107"/>
      <c r="H234" s="106">
        <f>+GETPIVOTDATA("Sum of Dr. Final 21-22",Pivot!$A$3,"Note",4,"BS Main Head","Other Non Current Assets","BS Sub Head","Balance with Government Authorities")-H286</f>
        <v>8849441</v>
      </c>
      <c r="I234" s="82">
        <f>+GETPIVOTDATA("Sum of Dr. Final 2020-21",Pivot!$A$3,"Note",4,"BS Main Head","Other Non Current Assets","BS Sub Head","Balance with Government Authorities")-I286</f>
        <v>8376441</v>
      </c>
      <c r="J234" s="1566"/>
      <c r="K234" s="1578"/>
      <c r="L234" s="1578"/>
      <c r="M234" s="1578"/>
      <c r="N234" s="1631"/>
    </row>
    <row r="235" spans="3:61">
      <c r="C235" s="75"/>
      <c r="D235" s="1838"/>
      <c r="E235" s="1838"/>
      <c r="F235" s="1838"/>
      <c r="G235" s="1397"/>
      <c r="H235" s="23">
        <f>+SUM(H232:H234)</f>
        <v>23233048</v>
      </c>
      <c r="I235" s="23">
        <f>+SUM(I232:I234)</f>
        <v>11637218</v>
      </c>
      <c r="J235" s="1561"/>
      <c r="K235" s="1569"/>
      <c r="L235" s="1569"/>
      <c r="M235" s="1569"/>
      <c r="N235" s="1569"/>
    </row>
    <row r="236" spans="3:61">
      <c r="C236" s="1847" t="s">
        <v>1184</v>
      </c>
      <c r="D236" s="1848"/>
      <c r="E236" s="1848"/>
      <c r="F236" s="1848"/>
      <c r="G236" s="1397"/>
      <c r="H236" s="102"/>
      <c r="I236" s="82"/>
      <c r="J236" s="1566"/>
      <c r="K236" s="1578"/>
      <c r="L236" s="1578"/>
      <c r="M236" s="1578"/>
    </row>
    <row r="237" spans="3:61">
      <c r="C237" s="108" t="s">
        <v>1185</v>
      </c>
      <c r="D237" s="1848"/>
      <c r="E237" s="1848"/>
      <c r="F237" s="1848"/>
      <c r="G237" s="1397"/>
      <c r="H237" s="102"/>
      <c r="I237" s="82"/>
      <c r="J237" s="1566"/>
      <c r="K237" s="1578"/>
      <c r="L237" s="1578"/>
      <c r="M237" s="1578"/>
    </row>
    <row r="238" spans="3:61">
      <c r="C238" s="1441" t="s">
        <v>2458</v>
      </c>
      <c r="D238" s="1944"/>
      <c r="E238" s="1944"/>
      <c r="F238" s="1944"/>
      <c r="G238" s="1397"/>
      <c r="H238" s="82">
        <f>+H487</f>
        <v>23499723</v>
      </c>
      <c r="I238" s="82">
        <v>41971585.5</v>
      </c>
      <c r="J238" s="1566"/>
      <c r="K238" s="1578"/>
      <c r="L238" s="1578"/>
      <c r="M238" s="1578"/>
      <c r="N238" s="1631"/>
    </row>
    <row r="239" spans="3:61" hidden="1">
      <c r="C239" s="1441"/>
      <c r="D239" s="1944"/>
      <c r="E239" s="1944"/>
      <c r="F239" s="1944"/>
      <c r="G239" s="1397"/>
      <c r="H239" s="102"/>
      <c r="I239" s="82"/>
      <c r="J239" s="1566"/>
      <c r="K239" s="1578"/>
      <c r="L239" s="1578"/>
      <c r="M239" s="1578"/>
      <c r="N239" s="1631"/>
    </row>
    <row r="240" spans="3:61">
      <c r="C240" s="75" t="s">
        <v>1186</v>
      </c>
      <c r="D240" s="1944"/>
      <c r="E240" s="1944"/>
      <c r="F240" s="1944"/>
      <c r="G240" s="1397"/>
      <c r="H240" s="102">
        <f>+P496+S496+U496</f>
        <v>11005251.719999999</v>
      </c>
      <c r="I240" s="82">
        <v>9442397</v>
      </c>
      <c r="J240" s="1566"/>
      <c r="K240" s="1578"/>
      <c r="L240" s="1578"/>
      <c r="M240" s="1578"/>
      <c r="N240" s="1631"/>
    </row>
    <row r="241" spans="3:61">
      <c r="C241" s="1441" t="s">
        <v>2459</v>
      </c>
      <c r="D241" s="1944"/>
      <c r="E241" s="1944"/>
      <c r="F241" s="1944"/>
      <c r="G241" s="1397"/>
      <c r="H241" s="82">
        <f>+H491</f>
        <v>17088292</v>
      </c>
      <c r="I241" s="82">
        <v>16099811.717889346</v>
      </c>
      <c r="J241" s="1566"/>
      <c r="K241" s="1578"/>
      <c r="L241" s="1578"/>
      <c r="M241" s="1578"/>
      <c r="N241" s="1631"/>
    </row>
    <row r="242" spans="3:61">
      <c r="C242" s="1441" t="s">
        <v>1187</v>
      </c>
      <c r="D242" s="1944"/>
      <c r="E242" s="1944"/>
      <c r="F242" s="1944"/>
      <c r="G242" s="1944"/>
      <c r="H242" s="109"/>
      <c r="I242" s="82"/>
      <c r="J242" s="1566"/>
      <c r="K242" s="1578"/>
      <c r="L242" s="1578"/>
      <c r="M242" s="1578"/>
      <c r="N242" s="1631"/>
    </row>
    <row r="243" spans="3:61" s="1438" customFormat="1" ht="19.5" thickBot="1">
      <c r="C243" s="1441"/>
      <c r="D243" s="1944"/>
      <c r="E243" s="1944"/>
      <c r="F243" s="1944"/>
      <c r="G243" s="1944"/>
      <c r="H243" s="103">
        <f>+SUM(H238:H241)</f>
        <v>51593266.719999999</v>
      </c>
      <c r="I243" s="103">
        <f>+SUM(I238:I241)</f>
        <v>67513794.217889339</v>
      </c>
      <c r="J243" s="1561"/>
      <c r="K243" s="1569"/>
      <c r="L243" s="1569"/>
      <c r="M243" s="1569"/>
      <c r="N243" s="1569"/>
      <c r="O243" s="1628"/>
      <c r="P243" s="1628"/>
      <c r="Q243" s="1628"/>
      <c r="R243" s="1628"/>
      <c r="S243" s="1628"/>
      <c r="T243" s="1628"/>
      <c r="U243" s="1628"/>
      <c r="V243" s="1628"/>
      <c r="W243" s="1628"/>
      <c r="X243" s="1628"/>
      <c r="Y243" s="1628"/>
      <c r="Z243" s="1628"/>
      <c r="AA243" s="1628"/>
      <c r="AB243" s="1628"/>
      <c r="AC243" s="1628"/>
      <c r="AD243" s="1628"/>
      <c r="AE243" s="1628"/>
      <c r="AF243" s="1628"/>
      <c r="AG243" s="1628"/>
      <c r="AH243" s="1628"/>
      <c r="AI243" s="1628"/>
      <c r="AJ243" s="1628"/>
      <c r="AK243" s="1628"/>
      <c r="AL243" s="1440"/>
      <c r="AM243" s="1440"/>
      <c r="AN243" s="1440"/>
      <c r="AO243" s="1440"/>
      <c r="AP243" s="1440"/>
      <c r="AQ243" s="1440"/>
      <c r="AR243" s="1440"/>
      <c r="AS243" s="1440"/>
      <c r="AT243" s="1440"/>
      <c r="AU243" s="1440"/>
      <c r="AV243" s="1440"/>
      <c r="AW243" s="1440"/>
      <c r="AX243" s="1440"/>
      <c r="AY243" s="1440"/>
      <c r="AZ243" s="1440"/>
      <c r="BA243" s="1440"/>
      <c r="BB243" s="1440"/>
      <c r="BC243" s="1440"/>
      <c r="BD243" s="1440"/>
      <c r="BE243" s="1440"/>
      <c r="BF243" s="1440"/>
      <c r="BG243" s="1440"/>
      <c r="BH243" s="1440"/>
      <c r="BI243" s="1440"/>
    </row>
    <row r="244" spans="3:61" s="1438" customFormat="1" ht="19.5" thickTop="1">
      <c r="C244" s="1847" t="s">
        <v>1188</v>
      </c>
      <c r="D244" s="1848"/>
      <c r="E244" s="1848"/>
      <c r="F244" s="1848"/>
      <c r="G244" s="1397"/>
      <c r="H244" s="102"/>
      <c r="I244" s="82"/>
      <c r="J244" s="1566"/>
      <c r="K244" s="1578"/>
      <c r="L244" s="1578"/>
      <c r="M244" s="1578"/>
      <c r="N244" s="1579"/>
      <c r="O244" s="1628"/>
      <c r="P244" s="1628"/>
      <c r="Q244" s="1628"/>
      <c r="R244" s="1628"/>
      <c r="S244" s="1628"/>
      <c r="T244" s="1628"/>
      <c r="U244" s="1628"/>
      <c r="V244" s="1628"/>
      <c r="W244" s="1628"/>
      <c r="X244" s="1628"/>
      <c r="Y244" s="1628"/>
      <c r="Z244" s="1628"/>
      <c r="AA244" s="1628"/>
      <c r="AB244" s="1628"/>
      <c r="AC244" s="1628"/>
      <c r="AD244" s="1628"/>
      <c r="AE244" s="1628"/>
      <c r="AF244" s="1628"/>
      <c r="AG244" s="1628"/>
      <c r="AH244" s="1628"/>
      <c r="AI244" s="1628"/>
      <c r="AJ244" s="1628"/>
      <c r="AK244" s="1628"/>
      <c r="AL244" s="1440"/>
      <c r="AM244" s="1440"/>
      <c r="AN244" s="1440"/>
      <c r="AO244" s="1440"/>
      <c r="AP244" s="1440"/>
      <c r="AQ244" s="1440"/>
      <c r="AR244" s="1440"/>
      <c r="AS244" s="1440"/>
      <c r="AT244" s="1440"/>
      <c r="AU244" s="1440"/>
      <c r="AV244" s="1440"/>
      <c r="AW244" s="1440"/>
      <c r="AX244" s="1440"/>
      <c r="AY244" s="1440"/>
      <c r="AZ244" s="1440"/>
      <c r="BA244" s="1440"/>
      <c r="BB244" s="1440"/>
      <c r="BC244" s="1440"/>
      <c r="BD244" s="1440"/>
      <c r="BE244" s="1440"/>
      <c r="BF244" s="1440"/>
      <c r="BG244" s="1440"/>
      <c r="BH244" s="1440"/>
      <c r="BI244" s="1440"/>
    </row>
    <row r="245" spans="3:61" s="1438" customFormat="1">
      <c r="C245" s="74" t="s">
        <v>1178</v>
      </c>
      <c r="D245" s="1945"/>
      <c r="E245" s="1945"/>
      <c r="F245" s="1945"/>
      <c r="G245" s="1397"/>
      <c r="H245" s="102"/>
      <c r="I245" s="82"/>
      <c r="J245" s="1566"/>
      <c r="K245" s="1578"/>
      <c r="L245" s="1578"/>
      <c r="M245" s="1578"/>
      <c r="N245" s="1579"/>
      <c r="O245" s="1628"/>
      <c r="P245" s="1628"/>
      <c r="Q245" s="1628"/>
      <c r="R245" s="1628"/>
      <c r="S245" s="1628"/>
      <c r="T245" s="1628"/>
      <c r="U245" s="1628"/>
      <c r="V245" s="1628"/>
      <c r="W245" s="1628"/>
      <c r="X245" s="1628"/>
      <c r="Y245" s="1628"/>
      <c r="Z245" s="1628"/>
      <c r="AA245" s="1628"/>
      <c r="AB245" s="1628"/>
      <c r="AC245" s="1628"/>
      <c r="AD245" s="1628"/>
      <c r="AE245" s="1628"/>
      <c r="AF245" s="1628"/>
      <c r="AG245" s="1628"/>
      <c r="AH245" s="1628"/>
      <c r="AI245" s="1628"/>
      <c r="AJ245" s="1628"/>
      <c r="AK245" s="1628"/>
      <c r="AL245" s="1440"/>
      <c r="AM245" s="1440"/>
      <c r="AN245" s="1440"/>
      <c r="AO245" s="1440"/>
      <c r="AP245" s="1440"/>
      <c r="AQ245" s="1440"/>
      <c r="AR245" s="1440"/>
      <c r="AS245" s="1440"/>
      <c r="AT245" s="1440"/>
      <c r="AU245" s="1440"/>
      <c r="AV245" s="1440"/>
      <c r="AW245" s="1440"/>
      <c r="AX245" s="1440"/>
      <c r="AY245" s="1440"/>
      <c r="AZ245" s="1440"/>
      <c r="BA245" s="1440"/>
      <c r="BB245" s="1440"/>
      <c r="BC245" s="1440"/>
      <c r="BD245" s="1440"/>
      <c r="BE245" s="1440"/>
      <c r="BF245" s="1440"/>
      <c r="BG245" s="1440"/>
      <c r="BH245" s="1440"/>
      <c r="BI245" s="1440"/>
    </row>
    <row r="246" spans="3:61" s="1438" customFormat="1">
      <c r="C246" s="1441" t="s">
        <v>1189</v>
      </c>
      <c r="D246" s="1944"/>
      <c r="E246" s="1944"/>
      <c r="F246" s="1944"/>
      <c r="G246" s="1397"/>
      <c r="H246" s="102"/>
      <c r="I246" s="82"/>
      <c r="J246" s="1566"/>
      <c r="K246" s="1578"/>
      <c r="L246" s="1578"/>
      <c r="M246" s="1578"/>
      <c r="N246" s="1579"/>
      <c r="O246" s="1628"/>
      <c r="P246" s="1628"/>
      <c r="Q246" s="1628"/>
      <c r="R246" s="1628"/>
      <c r="S246" s="1628"/>
      <c r="T246" s="1628"/>
      <c r="U246" s="1628"/>
      <c r="V246" s="1628"/>
      <c r="W246" s="1628"/>
      <c r="X246" s="1628"/>
      <c r="Y246" s="1628"/>
      <c r="Z246" s="1628"/>
      <c r="AA246" s="1628"/>
      <c r="AB246" s="1628"/>
      <c r="AC246" s="1628"/>
      <c r="AD246" s="1628"/>
      <c r="AE246" s="1628"/>
      <c r="AF246" s="1628"/>
      <c r="AG246" s="1628"/>
      <c r="AH246" s="1628"/>
      <c r="AI246" s="1628"/>
      <c r="AJ246" s="1628"/>
      <c r="AK246" s="1628"/>
      <c r="AL246" s="1440"/>
      <c r="AM246" s="1440"/>
      <c r="AN246" s="1440"/>
      <c r="AO246" s="1440"/>
      <c r="AP246" s="1440"/>
      <c r="AQ246" s="1440"/>
      <c r="AR246" s="1440"/>
      <c r="AS246" s="1440"/>
      <c r="AT246" s="1440"/>
      <c r="AU246" s="1440"/>
      <c r="AV246" s="1440"/>
      <c r="AW246" s="1440"/>
      <c r="AX246" s="1440"/>
      <c r="AY246" s="1440"/>
      <c r="AZ246" s="1440"/>
      <c r="BA246" s="1440"/>
      <c r="BB246" s="1440"/>
      <c r="BC246" s="1440"/>
      <c r="BD246" s="1440"/>
      <c r="BE246" s="1440"/>
      <c r="BF246" s="1440"/>
      <c r="BG246" s="1440"/>
      <c r="BH246" s="1440"/>
      <c r="BI246" s="1440"/>
    </row>
    <row r="247" spans="3:61" s="1438" customFormat="1">
      <c r="C247" s="1441" t="s">
        <v>1190</v>
      </c>
      <c r="D247" s="1944"/>
      <c r="E247" s="1944"/>
      <c r="F247" s="1944"/>
      <c r="G247" s="1397"/>
      <c r="H247" s="22">
        <f>+H875+H876</f>
        <v>9482492</v>
      </c>
      <c r="I247" s="22">
        <v>19773924</v>
      </c>
      <c r="J247" s="1566"/>
      <c r="K247" s="1554"/>
      <c r="L247" s="1554"/>
      <c r="M247" s="1554"/>
      <c r="N247" s="1554"/>
      <c r="O247" s="1628"/>
      <c r="P247" s="1628"/>
      <c r="Q247" s="1628"/>
      <c r="R247" s="1628"/>
      <c r="S247" s="1628"/>
      <c r="T247" s="1628"/>
      <c r="U247" s="1628"/>
      <c r="V247" s="1628"/>
      <c r="W247" s="1628"/>
      <c r="X247" s="1628"/>
      <c r="Y247" s="1628"/>
      <c r="Z247" s="1628"/>
      <c r="AA247" s="1628"/>
      <c r="AB247" s="1628"/>
      <c r="AC247" s="1628"/>
      <c r="AD247" s="1628"/>
      <c r="AE247" s="1628"/>
      <c r="AF247" s="1628"/>
      <c r="AG247" s="1628"/>
      <c r="AH247" s="1628"/>
      <c r="AI247" s="1628"/>
      <c r="AJ247" s="1628"/>
      <c r="AK247" s="1628"/>
      <c r="AL247" s="1440"/>
      <c r="AM247" s="1440"/>
      <c r="AN247" s="1440"/>
      <c r="AO247" s="1440"/>
      <c r="AP247" s="1440"/>
      <c r="AQ247" s="1440"/>
      <c r="AR247" s="1440"/>
      <c r="AS247" s="1440"/>
      <c r="AT247" s="1440"/>
      <c r="AU247" s="1440"/>
      <c r="AV247" s="1440"/>
      <c r="AW247" s="1440"/>
      <c r="AX247" s="1440"/>
      <c r="AY247" s="1440"/>
      <c r="AZ247" s="1440"/>
      <c r="BA247" s="1440"/>
      <c r="BB247" s="1440"/>
      <c r="BC247" s="1440"/>
      <c r="BD247" s="1440"/>
      <c r="BE247" s="1440"/>
      <c r="BF247" s="1440"/>
      <c r="BG247" s="1440"/>
      <c r="BH247" s="1440"/>
      <c r="BI247" s="1440"/>
    </row>
    <row r="248" spans="3:61" s="1438" customFormat="1">
      <c r="C248" s="1441" t="s">
        <v>1191</v>
      </c>
      <c r="D248" s="1944"/>
      <c r="E248" s="1944"/>
      <c r="F248" s="1944"/>
      <c r="G248" s="1397"/>
      <c r="H248" s="102">
        <f>+GETPIVOTDATA("Sum of Dr. Final 21-22",Pivot!$A$3,"Note",6,"BS Main Head","Financial Assets")-GETPIVOTDATA("Sum of Cr. Final 21-22",Pivot!$A$3,"Note",6,"BS Main Head","Financial Assets")-H247</f>
        <v>157072254.43000001</v>
      </c>
      <c r="I248" s="82">
        <v>135986125.43000001</v>
      </c>
      <c r="J248" s="1566"/>
      <c r="K248" s="1578"/>
      <c r="L248" s="1578"/>
      <c r="M248" s="1578"/>
      <c r="N248" s="1631"/>
      <c r="O248" s="1628"/>
      <c r="P248" s="1628"/>
      <c r="Q248" s="1628"/>
      <c r="R248" s="1628"/>
      <c r="S248" s="1628"/>
      <c r="T248" s="1628"/>
      <c r="U248" s="1628"/>
      <c r="V248" s="1628"/>
      <c r="W248" s="1628"/>
      <c r="X248" s="1628"/>
      <c r="Y248" s="1628"/>
      <c r="Z248" s="1628"/>
      <c r="AA248" s="1628"/>
      <c r="AB248" s="1628"/>
      <c r="AC248" s="1628"/>
      <c r="AD248" s="1628"/>
      <c r="AE248" s="1628"/>
      <c r="AF248" s="1628"/>
      <c r="AG248" s="1628"/>
      <c r="AH248" s="1628"/>
      <c r="AI248" s="1628"/>
      <c r="AJ248" s="1628"/>
      <c r="AK248" s="1628"/>
      <c r="AL248" s="1440"/>
      <c r="AM248" s="1440"/>
      <c r="AN248" s="1440"/>
      <c r="AO248" s="1440"/>
      <c r="AP248" s="1440"/>
      <c r="AQ248" s="1440"/>
      <c r="AR248" s="1440"/>
      <c r="AS248" s="1440"/>
      <c r="AT248" s="1440"/>
      <c r="AU248" s="1440"/>
      <c r="AV248" s="1440"/>
      <c r="AW248" s="1440"/>
      <c r="AX248" s="1440"/>
      <c r="AY248" s="1440"/>
      <c r="AZ248" s="1440"/>
      <c r="BA248" s="1440"/>
      <c r="BB248" s="1440"/>
      <c r="BC248" s="1440"/>
      <c r="BD248" s="1440"/>
      <c r="BE248" s="1440"/>
      <c r="BF248" s="1440"/>
      <c r="BG248" s="1440"/>
      <c r="BH248" s="1440"/>
      <c r="BI248" s="1440"/>
    </row>
    <row r="249" spans="3:61" s="1438" customFormat="1">
      <c r="C249" s="1441"/>
      <c r="D249" s="1944"/>
      <c r="E249" s="1944"/>
      <c r="F249" s="1944"/>
      <c r="G249" s="1397"/>
      <c r="H249" s="23">
        <f>+SUM(H247:H248)</f>
        <v>166554746.43000001</v>
      </c>
      <c r="I249" s="23">
        <f>+SUM(I247:I248)</f>
        <v>155760049.43000001</v>
      </c>
      <c r="J249" s="1561">
        <f>+I249-H249+H472</f>
        <v>1103793813.75</v>
      </c>
      <c r="K249" s="1569"/>
      <c r="L249" s="1569"/>
      <c r="M249" s="1569"/>
      <c r="N249" s="1569"/>
      <c r="O249" s="1628"/>
      <c r="P249" s="1628"/>
      <c r="Q249" s="1628"/>
      <c r="R249" s="1628"/>
      <c r="S249" s="1628"/>
      <c r="T249" s="1628"/>
      <c r="U249" s="1628"/>
      <c r="V249" s="1628"/>
      <c r="W249" s="1628"/>
      <c r="X249" s="1628"/>
      <c r="Y249" s="1628"/>
      <c r="Z249" s="1628"/>
      <c r="AA249" s="1628"/>
      <c r="AB249" s="1628"/>
      <c r="AC249" s="1628"/>
      <c r="AD249" s="1628"/>
      <c r="AE249" s="1628"/>
      <c r="AF249" s="1628"/>
      <c r="AG249" s="1628"/>
      <c r="AH249" s="1628"/>
      <c r="AI249" s="1628"/>
      <c r="AJ249" s="1628"/>
      <c r="AK249" s="1628"/>
      <c r="AL249" s="1440"/>
      <c r="AM249" s="1440"/>
      <c r="AN249" s="1440"/>
      <c r="AO249" s="1440"/>
      <c r="AP249" s="1440"/>
      <c r="AQ249" s="1440"/>
      <c r="AR249" s="1440"/>
      <c r="AS249" s="1440"/>
      <c r="AT249" s="1440"/>
      <c r="AU249" s="1440"/>
      <c r="AV249" s="1440"/>
      <c r="AW249" s="1440"/>
      <c r="AX249" s="1440"/>
      <c r="AY249" s="1440"/>
      <c r="AZ249" s="1440"/>
      <c r="BA249" s="1440"/>
      <c r="BB249" s="1440"/>
      <c r="BC249" s="1440"/>
      <c r="BD249" s="1440"/>
      <c r="BE249" s="1440"/>
      <c r="BF249" s="1440"/>
      <c r="BG249" s="1440"/>
      <c r="BH249" s="1440"/>
      <c r="BI249" s="1440"/>
    </row>
    <row r="250" spans="3:61" s="1438" customFormat="1" hidden="1">
      <c r="C250" s="1441"/>
      <c r="D250" s="1944"/>
      <c r="E250" s="1944"/>
      <c r="F250" s="1944"/>
      <c r="G250" s="1397"/>
      <c r="H250" s="110"/>
      <c r="I250" s="24"/>
      <c r="J250" s="1561"/>
      <c r="K250" s="1569"/>
      <c r="L250" s="1569"/>
      <c r="M250" s="1569"/>
      <c r="N250" s="1569"/>
      <c r="O250" s="1628"/>
      <c r="P250" s="1628"/>
      <c r="Q250" s="1628"/>
      <c r="R250" s="1628"/>
      <c r="S250" s="1628"/>
      <c r="T250" s="1628"/>
      <c r="U250" s="1628"/>
      <c r="V250" s="1628"/>
      <c r="W250" s="1628"/>
      <c r="X250" s="1628"/>
      <c r="Y250" s="1628"/>
      <c r="Z250" s="1628"/>
      <c r="AA250" s="1628"/>
      <c r="AB250" s="1628"/>
      <c r="AC250" s="1628"/>
      <c r="AD250" s="1628"/>
      <c r="AE250" s="1628"/>
      <c r="AF250" s="1628"/>
      <c r="AG250" s="1628"/>
      <c r="AH250" s="1628"/>
      <c r="AI250" s="1628"/>
      <c r="AJ250" s="1628"/>
      <c r="AK250" s="1628"/>
      <c r="AL250" s="1440"/>
      <c r="AM250" s="1440"/>
      <c r="AN250" s="1440"/>
      <c r="AO250" s="1440"/>
      <c r="AP250" s="1440"/>
      <c r="AQ250" s="1440"/>
      <c r="AR250" s="1440"/>
      <c r="AS250" s="1440"/>
      <c r="AT250" s="1440"/>
      <c r="AU250" s="1440"/>
      <c r="AV250" s="1440"/>
      <c r="AW250" s="1440"/>
      <c r="AX250" s="1440"/>
      <c r="AY250" s="1440"/>
      <c r="AZ250" s="1440"/>
      <c r="BA250" s="1440"/>
      <c r="BB250" s="1440"/>
      <c r="BC250" s="1440"/>
      <c r="BD250" s="1440"/>
      <c r="BE250" s="1440"/>
      <c r="BF250" s="1440"/>
      <c r="BG250" s="1440"/>
      <c r="BH250" s="1440"/>
      <c r="BI250" s="1440"/>
    </row>
    <row r="251" spans="3:61" s="1438" customFormat="1">
      <c r="C251" s="1444" t="s">
        <v>2343</v>
      </c>
      <c r="D251" s="1944"/>
      <c r="E251" s="1944"/>
      <c r="F251" s="1944"/>
      <c r="G251" s="1397"/>
      <c r="H251" s="110"/>
      <c r="I251" s="24"/>
      <c r="J251" s="1561">
        <v>166642240</v>
      </c>
      <c r="K251" s="1569"/>
      <c r="L251" s="1569"/>
      <c r="M251" s="1569"/>
      <c r="N251" s="1569"/>
      <c r="O251" s="1628"/>
      <c r="P251" s="1628"/>
      <c r="Q251" s="1628"/>
      <c r="R251" s="1628"/>
      <c r="S251" s="1628"/>
      <c r="T251" s="1628"/>
      <c r="U251" s="1628"/>
      <c r="V251" s="1628"/>
      <c r="W251" s="1628"/>
      <c r="X251" s="1628"/>
      <c r="Y251" s="1628"/>
      <c r="Z251" s="1628"/>
      <c r="AA251" s="1628"/>
      <c r="AB251" s="1628"/>
      <c r="AC251" s="1628"/>
      <c r="AD251" s="1628"/>
      <c r="AE251" s="1628"/>
      <c r="AF251" s="1628"/>
      <c r="AG251" s="1628"/>
      <c r="AH251" s="1628"/>
      <c r="AI251" s="1628"/>
      <c r="AJ251" s="1628"/>
      <c r="AK251" s="1628"/>
      <c r="AL251" s="1440"/>
      <c r="AM251" s="1440"/>
      <c r="AN251" s="1440"/>
      <c r="AO251" s="1440"/>
      <c r="AP251" s="1440"/>
      <c r="AQ251" s="1440"/>
      <c r="AR251" s="1440"/>
      <c r="AS251" s="1440"/>
      <c r="AT251" s="1440"/>
      <c r="AU251" s="1440"/>
      <c r="AV251" s="1440"/>
      <c r="AW251" s="1440"/>
      <c r="AX251" s="1440"/>
      <c r="AY251" s="1440"/>
      <c r="AZ251" s="1440"/>
      <c r="BA251" s="1440"/>
      <c r="BB251" s="1440"/>
      <c r="BC251" s="1440"/>
      <c r="BD251" s="1440"/>
      <c r="BE251" s="1440"/>
      <c r="BF251" s="1440"/>
      <c r="BG251" s="1440"/>
      <c r="BH251" s="1440"/>
      <c r="BI251" s="1440"/>
    </row>
    <row r="252" spans="3:61" s="1438" customFormat="1">
      <c r="C252" s="2202" t="s">
        <v>9</v>
      </c>
      <c r="D252" s="2142" t="s">
        <v>2350</v>
      </c>
      <c r="E252" s="2143"/>
      <c r="F252" s="2143"/>
      <c r="G252" s="2143"/>
      <c r="H252" s="2143"/>
      <c r="I252" s="2144"/>
      <c r="J252" s="1561">
        <f>+J251-H249</f>
        <v>87493.569999992847</v>
      </c>
      <c r="K252" s="1569"/>
      <c r="L252" s="1569"/>
      <c r="M252" s="1569"/>
      <c r="N252" s="1569"/>
      <c r="O252" s="1628"/>
      <c r="P252" s="1628"/>
      <c r="Q252" s="1628"/>
      <c r="R252" s="1628"/>
      <c r="S252" s="1628"/>
      <c r="T252" s="1628"/>
      <c r="U252" s="1628"/>
      <c r="V252" s="1628"/>
      <c r="W252" s="1628"/>
      <c r="X252" s="1628"/>
      <c r="Y252" s="1628"/>
      <c r="Z252" s="1628"/>
      <c r="AA252" s="1628"/>
      <c r="AB252" s="1628"/>
      <c r="AC252" s="1628"/>
      <c r="AD252" s="1628"/>
      <c r="AE252" s="1628"/>
      <c r="AF252" s="1628"/>
      <c r="AG252" s="1628"/>
      <c r="AH252" s="1628"/>
      <c r="AI252" s="1628"/>
      <c r="AJ252" s="1628"/>
      <c r="AK252" s="1628"/>
      <c r="AL252" s="1440"/>
      <c r="AM252" s="1440"/>
      <c r="AN252" s="1440"/>
      <c r="AO252" s="1440"/>
      <c r="AP252" s="1440"/>
      <c r="AQ252" s="1440"/>
      <c r="AR252" s="1440"/>
      <c r="AS252" s="1440"/>
      <c r="AT252" s="1440"/>
      <c r="AU252" s="1440"/>
      <c r="AV252" s="1440"/>
      <c r="AW252" s="1440"/>
      <c r="AX252" s="1440"/>
      <c r="AY252" s="1440"/>
      <c r="AZ252" s="1440"/>
      <c r="BA252" s="1440"/>
      <c r="BB252" s="1440"/>
      <c r="BC252" s="1440"/>
      <c r="BD252" s="1440"/>
      <c r="BE252" s="1440"/>
      <c r="BF252" s="1440"/>
      <c r="BG252" s="1440"/>
      <c r="BH252" s="1440"/>
      <c r="BI252" s="1440"/>
    </row>
    <row r="253" spans="3:61" s="1966" customFormat="1" ht="37.5">
      <c r="C253" s="2202"/>
      <c r="D253" s="2245" t="s">
        <v>2344</v>
      </c>
      <c r="E253" s="2246"/>
      <c r="F253" s="1957" t="s">
        <v>2345</v>
      </c>
      <c r="G253" s="1962" t="s">
        <v>2346</v>
      </c>
      <c r="H253" s="1962" t="s">
        <v>2359</v>
      </c>
      <c r="I253" s="2021" t="s">
        <v>1249</v>
      </c>
      <c r="J253" s="1558"/>
      <c r="K253" s="1963"/>
      <c r="L253" s="1963"/>
      <c r="M253" s="1963"/>
      <c r="N253" s="1963"/>
      <c r="O253" s="1964"/>
      <c r="P253" s="1964"/>
      <c r="Q253" s="1964"/>
      <c r="R253" s="1964"/>
      <c r="S253" s="1964"/>
      <c r="T253" s="1964"/>
      <c r="U253" s="1964"/>
      <c r="V253" s="1964"/>
      <c r="W253" s="1964"/>
      <c r="X253" s="1964"/>
      <c r="Y253" s="1964"/>
      <c r="Z253" s="1964"/>
      <c r="AA253" s="1964"/>
      <c r="AB253" s="1964"/>
      <c r="AC253" s="1964"/>
      <c r="AD253" s="1964"/>
      <c r="AE253" s="1964"/>
      <c r="AF253" s="1964"/>
      <c r="AG253" s="1964"/>
      <c r="AH253" s="1964"/>
      <c r="AI253" s="1964"/>
      <c r="AJ253" s="1964"/>
      <c r="AK253" s="1964"/>
      <c r="AL253" s="1965"/>
      <c r="AM253" s="1965"/>
      <c r="AN253" s="1965"/>
      <c r="AO253" s="1965"/>
      <c r="AP253" s="1965"/>
      <c r="AQ253" s="1965"/>
      <c r="AR253" s="1965"/>
      <c r="AS253" s="1965"/>
      <c r="AT253" s="1965"/>
      <c r="AU253" s="1965"/>
      <c r="AV253" s="1965"/>
      <c r="AW253" s="1965"/>
      <c r="AX253" s="1965"/>
      <c r="AY253" s="1965"/>
      <c r="AZ253" s="1965"/>
      <c r="BA253" s="1965"/>
      <c r="BB253" s="1965"/>
      <c r="BC253" s="1965"/>
      <c r="BD253" s="1965"/>
      <c r="BE253" s="1965"/>
      <c r="BF253" s="1965"/>
      <c r="BG253" s="1965"/>
      <c r="BH253" s="1965"/>
      <c r="BI253" s="1965"/>
    </row>
    <row r="254" spans="3:61" s="1438" customFormat="1" ht="37.5">
      <c r="C254" s="1445" t="s">
        <v>2360</v>
      </c>
      <c r="D254" s="2134">
        <f>+H249</f>
        <v>166554746.43000001</v>
      </c>
      <c r="E254" s="2135"/>
      <c r="F254" s="1446">
        <v>0</v>
      </c>
      <c r="G254" s="1446">
        <v>0</v>
      </c>
      <c r="H254" s="1446">
        <v>0</v>
      </c>
      <c r="I254" s="1011">
        <f>+SUM(D254:H254)</f>
        <v>166554746.43000001</v>
      </c>
      <c r="J254" s="1561"/>
      <c r="K254" s="1569"/>
      <c r="L254" s="1569"/>
      <c r="M254" s="1569"/>
      <c r="N254" s="1569"/>
      <c r="O254" s="1628"/>
      <c r="P254" s="1628"/>
      <c r="Q254" s="1628"/>
      <c r="R254" s="1628"/>
      <c r="S254" s="1628"/>
      <c r="T254" s="1628"/>
      <c r="U254" s="1628"/>
      <c r="V254" s="1628"/>
      <c r="W254" s="1628"/>
      <c r="X254" s="1628"/>
      <c r="Y254" s="1628"/>
      <c r="Z254" s="1628"/>
      <c r="AA254" s="1628"/>
      <c r="AB254" s="1628"/>
      <c r="AC254" s="1628"/>
      <c r="AD254" s="1628"/>
      <c r="AE254" s="1628"/>
      <c r="AF254" s="1628"/>
      <c r="AG254" s="1628"/>
      <c r="AH254" s="1628"/>
      <c r="AI254" s="1628"/>
      <c r="AJ254" s="1628"/>
      <c r="AK254" s="1628"/>
      <c r="AL254" s="1440"/>
      <c r="AM254" s="1440"/>
      <c r="AN254" s="1440"/>
      <c r="AO254" s="1440"/>
      <c r="AP254" s="1440"/>
      <c r="AQ254" s="1440"/>
      <c r="AR254" s="1440"/>
      <c r="AS254" s="1440"/>
      <c r="AT254" s="1440"/>
      <c r="AU254" s="1440"/>
      <c r="AV254" s="1440"/>
      <c r="AW254" s="1440"/>
      <c r="AX254" s="1440"/>
      <c r="AY254" s="1440"/>
      <c r="AZ254" s="1440"/>
      <c r="BA254" s="1440"/>
      <c r="BB254" s="1440"/>
      <c r="BC254" s="1440"/>
      <c r="BD254" s="1440"/>
      <c r="BE254" s="1440"/>
      <c r="BF254" s="1440"/>
      <c r="BG254" s="1440"/>
      <c r="BH254" s="1440"/>
      <c r="BI254" s="1440"/>
    </row>
    <row r="255" spans="3:61" s="1438" customFormat="1" ht="37.5">
      <c r="C255" s="1445" t="s">
        <v>2361</v>
      </c>
      <c r="D255" s="2134">
        <v>0</v>
      </c>
      <c r="E255" s="2135"/>
      <c r="F255" s="1446">
        <v>0</v>
      </c>
      <c r="G255" s="1446">
        <v>0</v>
      </c>
      <c r="H255" s="1446">
        <v>0</v>
      </c>
      <c r="I255" s="1011">
        <f t="shared" ref="I255:I257" si="3">+SUM(D255:H255)</f>
        <v>0</v>
      </c>
      <c r="J255" s="1561"/>
      <c r="K255" s="1569"/>
      <c r="L255" s="1569"/>
      <c r="M255" s="1569"/>
      <c r="N255" s="1569"/>
      <c r="O255" s="1628"/>
      <c r="P255" s="1628"/>
      <c r="Q255" s="1628"/>
      <c r="R255" s="1628"/>
      <c r="S255" s="1628"/>
      <c r="T255" s="1628"/>
      <c r="U255" s="1628"/>
      <c r="V255" s="1628"/>
      <c r="W255" s="1628"/>
      <c r="X255" s="1628"/>
      <c r="Y255" s="1628"/>
      <c r="Z255" s="1628"/>
      <c r="AA255" s="1628"/>
      <c r="AB255" s="1628"/>
      <c r="AC255" s="1628"/>
      <c r="AD255" s="1628"/>
      <c r="AE255" s="1628"/>
      <c r="AF255" s="1628"/>
      <c r="AG255" s="1628"/>
      <c r="AH255" s="1628"/>
      <c r="AI255" s="1628"/>
      <c r="AJ255" s="1628"/>
      <c r="AK255" s="1628"/>
      <c r="AL255" s="1440"/>
      <c r="AM255" s="1440"/>
      <c r="AN255" s="1440"/>
      <c r="AO255" s="1440"/>
      <c r="AP255" s="1440"/>
      <c r="AQ255" s="1440"/>
      <c r="AR255" s="1440"/>
      <c r="AS255" s="1440"/>
      <c r="AT255" s="1440"/>
      <c r="AU255" s="1440"/>
      <c r="AV255" s="1440"/>
      <c r="AW255" s="1440"/>
      <c r="AX255" s="1440"/>
      <c r="AY255" s="1440"/>
      <c r="AZ255" s="1440"/>
      <c r="BA255" s="1440"/>
      <c r="BB255" s="1440"/>
      <c r="BC255" s="1440"/>
      <c r="BD255" s="1440"/>
      <c r="BE255" s="1440"/>
      <c r="BF255" s="1440"/>
      <c r="BG255" s="1440"/>
      <c r="BH255" s="1440"/>
      <c r="BI255" s="1440"/>
    </row>
    <row r="256" spans="3:61" s="1438" customFormat="1" ht="37.5">
      <c r="C256" s="1445" t="s">
        <v>2362</v>
      </c>
      <c r="D256" s="2134">
        <v>0</v>
      </c>
      <c r="E256" s="2135"/>
      <c r="F256" s="1446">
        <v>0</v>
      </c>
      <c r="G256" s="1446">
        <v>0</v>
      </c>
      <c r="H256" s="1446">
        <v>0</v>
      </c>
      <c r="I256" s="1011">
        <f t="shared" si="3"/>
        <v>0</v>
      </c>
      <c r="J256" s="1561"/>
      <c r="K256" s="1569"/>
      <c r="L256" s="1569"/>
      <c r="M256" s="1569"/>
      <c r="N256" s="1569"/>
      <c r="O256" s="1628"/>
      <c r="P256" s="1628"/>
      <c r="Q256" s="1628"/>
      <c r="R256" s="1628"/>
      <c r="S256" s="1628"/>
      <c r="T256" s="1628"/>
      <c r="U256" s="1628"/>
      <c r="V256" s="1628"/>
      <c r="W256" s="1628"/>
      <c r="X256" s="1628"/>
      <c r="Y256" s="1628"/>
      <c r="Z256" s="1628"/>
      <c r="AA256" s="1628"/>
      <c r="AB256" s="1628"/>
      <c r="AC256" s="1628"/>
      <c r="AD256" s="1628"/>
      <c r="AE256" s="1628"/>
      <c r="AF256" s="1628"/>
      <c r="AG256" s="1628"/>
      <c r="AH256" s="1628"/>
      <c r="AI256" s="1628"/>
      <c r="AJ256" s="1628"/>
      <c r="AK256" s="1628"/>
      <c r="AL256" s="1440"/>
      <c r="AM256" s="1440"/>
      <c r="AN256" s="1440"/>
      <c r="AO256" s="1440"/>
      <c r="AP256" s="1440"/>
      <c r="AQ256" s="1440"/>
      <c r="AR256" s="1440"/>
      <c r="AS256" s="1440"/>
      <c r="AT256" s="1440"/>
      <c r="AU256" s="1440"/>
      <c r="AV256" s="1440"/>
      <c r="AW256" s="1440"/>
      <c r="AX256" s="1440"/>
      <c r="AY256" s="1440"/>
      <c r="AZ256" s="1440"/>
      <c r="BA256" s="1440"/>
      <c r="BB256" s="1440"/>
      <c r="BC256" s="1440"/>
      <c r="BD256" s="1440"/>
      <c r="BE256" s="1440"/>
      <c r="BF256" s="1440"/>
      <c r="BG256" s="1440"/>
      <c r="BH256" s="1440"/>
      <c r="BI256" s="1440"/>
    </row>
    <row r="257" spans="3:61" s="1438" customFormat="1" ht="37.5">
      <c r="C257" s="1445" t="s">
        <v>2363</v>
      </c>
      <c r="D257" s="2134">
        <v>0</v>
      </c>
      <c r="E257" s="2135"/>
      <c r="F257" s="1446">
        <v>0</v>
      </c>
      <c r="G257" s="1446">
        <v>0</v>
      </c>
      <c r="H257" s="1446">
        <v>0</v>
      </c>
      <c r="I257" s="1011">
        <f t="shared" si="3"/>
        <v>0</v>
      </c>
      <c r="J257" s="1561"/>
      <c r="K257" s="1569"/>
      <c r="L257" s="1569"/>
      <c r="M257" s="1569"/>
      <c r="N257" s="1569"/>
      <c r="O257" s="1628"/>
      <c r="P257" s="1628"/>
      <c r="Q257" s="1628"/>
      <c r="R257" s="1628"/>
      <c r="S257" s="1628"/>
      <c r="T257" s="1628"/>
      <c r="U257" s="1628"/>
      <c r="V257" s="1628"/>
      <c r="W257" s="1628"/>
      <c r="X257" s="1628"/>
      <c r="Y257" s="1628"/>
      <c r="Z257" s="1628"/>
      <c r="AA257" s="1628"/>
      <c r="AB257" s="1628"/>
      <c r="AC257" s="1628"/>
      <c r="AD257" s="1628"/>
      <c r="AE257" s="1628"/>
      <c r="AF257" s="1628"/>
      <c r="AG257" s="1628"/>
      <c r="AH257" s="1628"/>
      <c r="AI257" s="1628"/>
      <c r="AJ257" s="1628"/>
      <c r="AK257" s="1628"/>
      <c r="AL257" s="1440"/>
      <c r="AM257" s="1440"/>
      <c r="AN257" s="1440"/>
      <c r="AO257" s="1440"/>
      <c r="AP257" s="1440"/>
      <c r="AQ257" s="1440"/>
      <c r="AR257" s="1440"/>
      <c r="AS257" s="1440"/>
      <c r="AT257" s="1440"/>
      <c r="AU257" s="1440"/>
      <c r="AV257" s="1440"/>
      <c r="AW257" s="1440"/>
      <c r="AX257" s="1440"/>
      <c r="AY257" s="1440"/>
      <c r="AZ257" s="1440"/>
      <c r="BA257" s="1440"/>
      <c r="BB257" s="1440"/>
      <c r="BC257" s="1440"/>
      <c r="BD257" s="1440"/>
      <c r="BE257" s="1440"/>
      <c r="BF257" s="1440"/>
      <c r="BG257" s="1440"/>
      <c r="BH257" s="1440"/>
      <c r="BI257" s="1440"/>
    </row>
    <row r="258" spans="3:61" s="1438" customFormat="1" hidden="1">
      <c r="C258" s="1441"/>
      <c r="D258" s="1944"/>
      <c r="E258" s="1944"/>
      <c r="F258" s="1944"/>
      <c r="G258" s="1397"/>
      <c r="H258" s="110"/>
      <c r="I258" s="24"/>
      <c r="J258" s="1561"/>
      <c r="K258" s="1569"/>
      <c r="L258" s="1569"/>
      <c r="M258" s="1569"/>
      <c r="N258" s="1569"/>
      <c r="O258" s="1628"/>
      <c r="P258" s="1628"/>
      <c r="Q258" s="1628"/>
      <c r="R258" s="1628"/>
      <c r="S258" s="1628"/>
      <c r="T258" s="1628"/>
      <c r="U258" s="1628"/>
      <c r="V258" s="1628"/>
      <c r="W258" s="1628"/>
      <c r="X258" s="1628"/>
      <c r="Y258" s="1628"/>
      <c r="Z258" s="1628"/>
      <c r="AA258" s="1628"/>
      <c r="AB258" s="1628"/>
      <c r="AC258" s="1628"/>
      <c r="AD258" s="1628"/>
      <c r="AE258" s="1628"/>
      <c r="AF258" s="1628"/>
      <c r="AG258" s="1628"/>
      <c r="AH258" s="1628"/>
      <c r="AI258" s="1628"/>
      <c r="AJ258" s="1628"/>
      <c r="AK258" s="1628"/>
      <c r="AL258" s="1440"/>
      <c r="AM258" s="1440"/>
      <c r="AN258" s="1440"/>
      <c r="AO258" s="1440"/>
      <c r="AP258" s="1440"/>
      <c r="AQ258" s="1440"/>
      <c r="AR258" s="1440"/>
      <c r="AS258" s="1440"/>
      <c r="AT258" s="1440"/>
      <c r="AU258" s="1440"/>
      <c r="AV258" s="1440"/>
      <c r="AW258" s="1440"/>
      <c r="AX258" s="1440"/>
      <c r="AY258" s="1440"/>
      <c r="AZ258" s="1440"/>
      <c r="BA258" s="1440"/>
      <c r="BB258" s="1440"/>
      <c r="BC258" s="1440"/>
      <c r="BD258" s="1440"/>
      <c r="BE258" s="1440"/>
      <c r="BF258" s="1440"/>
      <c r="BG258" s="1440"/>
      <c r="BH258" s="1440"/>
      <c r="BI258" s="1440"/>
    </row>
    <row r="259" spans="3:61" s="1438" customFormat="1">
      <c r="C259" s="2202" t="s">
        <v>9</v>
      </c>
      <c r="D259" s="2142" t="s">
        <v>2351</v>
      </c>
      <c r="E259" s="2143"/>
      <c r="F259" s="2143"/>
      <c r="G259" s="2143"/>
      <c r="H259" s="2143"/>
      <c r="I259" s="2144"/>
      <c r="J259" s="1561"/>
      <c r="K259" s="1569"/>
      <c r="L259" s="1569"/>
      <c r="M259" s="1569"/>
      <c r="N259" s="1569"/>
      <c r="O259" s="1628"/>
      <c r="P259" s="1628"/>
      <c r="Q259" s="1628"/>
      <c r="R259" s="1628"/>
      <c r="S259" s="1628"/>
      <c r="T259" s="1628"/>
      <c r="U259" s="1628"/>
      <c r="V259" s="1628"/>
      <c r="W259" s="1628"/>
      <c r="X259" s="1628"/>
      <c r="Y259" s="1628"/>
      <c r="Z259" s="1628"/>
      <c r="AA259" s="1628"/>
      <c r="AB259" s="1628"/>
      <c r="AC259" s="1628"/>
      <c r="AD259" s="1628"/>
      <c r="AE259" s="1628"/>
      <c r="AF259" s="1628"/>
      <c r="AG259" s="1628"/>
      <c r="AH259" s="1628"/>
      <c r="AI259" s="1628"/>
      <c r="AJ259" s="1628"/>
      <c r="AK259" s="1628"/>
      <c r="AL259" s="1440"/>
      <c r="AM259" s="1440"/>
      <c r="AN259" s="1440"/>
      <c r="AO259" s="1440"/>
      <c r="AP259" s="1440"/>
      <c r="AQ259" s="1440"/>
      <c r="AR259" s="1440"/>
      <c r="AS259" s="1440"/>
      <c r="AT259" s="1440"/>
      <c r="AU259" s="1440"/>
      <c r="AV259" s="1440"/>
      <c r="AW259" s="1440"/>
      <c r="AX259" s="1440"/>
      <c r="AY259" s="1440"/>
      <c r="AZ259" s="1440"/>
      <c r="BA259" s="1440"/>
      <c r="BB259" s="1440"/>
      <c r="BC259" s="1440"/>
      <c r="BD259" s="1440"/>
      <c r="BE259" s="1440"/>
      <c r="BF259" s="1440"/>
      <c r="BG259" s="1440"/>
      <c r="BH259" s="1440"/>
      <c r="BI259" s="1440"/>
    </row>
    <row r="260" spans="3:61" s="1969" customFormat="1" ht="37.5">
      <c r="C260" s="2202"/>
      <c r="D260" s="2245" t="s">
        <v>2344</v>
      </c>
      <c r="E260" s="2246"/>
      <c r="F260" s="1957" t="s">
        <v>2345</v>
      </c>
      <c r="G260" s="2021" t="s">
        <v>2346</v>
      </c>
      <c r="H260" s="2021" t="s">
        <v>2359</v>
      </c>
      <c r="I260" s="2021" t="s">
        <v>1249</v>
      </c>
      <c r="J260" s="1559"/>
      <c r="K260" s="1559"/>
      <c r="L260" s="1559"/>
      <c r="M260" s="1559"/>
      <c r="N260" s="1559"/>
      <c r="O260" s="1967"/>
      <c r="P260" s="1967"/>
      <c r="Q260" s="1967"/>
      <c r="R260" s="1967"/>
      <c r="S260" s="1967"/>
      <c r="T260" s="1967"/>
      <c r="U260" s="1967"/>
      <c r="V260" s="1967"/>
      <c r="W260" s="1967"/>
      <c r="X260" s="1967"/>
      <c r="Y260" s="1967"/>
      <c r="Z260" s="1967"/>
      <c r="AA260" s="1967"/>
      <c r="AB260" s="1967"/>
      <c r="AC260" s="1967"/>
      <c r="AD260" s="1967"/>
      <c r="AE260" s="1967"/>
      <c r="AF260" s="1967"/>
      <c r="AG260" s="1967"/>
      <c r="AH260" s="1967"/>
      <c r="AI260" s="1967"/>
      <c r="AJ260" s="1967"/>
      <c r="AK260" s="1967"/>
      <c r="AL260" s="1968"/>
      <c r="AM260" s="1968"/>
      <c r="AN260" s="1968"/>
      <c r="AO260" s="1968"/>
      <c r="AP260" s="1968"/>
      <c r="AQ260" s="1968"/>
      <c r="AR260" s="1968"/>
      <c r="AS260" s="1968"/>
      <c r="AT260" s="1968"/>
      <c r="AU260" s="1968"/>
      <c r="AV260" s="1968"/>
      <c r="AW260" s="1968"/>
      <c r="AX260" s="1968"/>
      <c r="AY260" s="1968"/>
      <c r="AZ260" s="1968"/>
      <c r="BA260" s="1968"/>
      <c r="BB260" s="1968"/>
      <c r="BC260" s="1968"/>
      <c r="BD260" s="1968"/>
      <c r="BE260" s="1968"/>
      <c r="BF260" s="1968"/>
      <c r="BG260" s="1968"/>
      <c r="BH260" s="1968"/>
      <c r="BI260" s="1968"/>
    </row>
    <row r="261" spans="3:61" s="1438" customFormat="1" ht="37.5">
      <c r="C261" s="1445" t="s">
        <v>2347</v>
      </c>
      <c r="D261" s="2134">
        <f>+I249</f>
        <v>155760049.43000001</v>
      </c>
      <c r="E261" s="2135"/>
      <c r="F261" s="1446">
        <v>0</v>
      </c>
      <c r="G261" s="1446">
        <v>0</v>
      </c>
      <c r="H261" s="1446">
        <v>0</v>
      </c>
      <c r="I261" s="29">
        <f>+SUM(D261:H261)</f>
        <v>155760049.43000001</v>
      </c>
      <c r="J261" s="1561"/>
      <c r="K261" s="1569"/>
      <c r="L261" s="1569"/>
      <c r="M261" s="1569"/>
      <c r="N261" s="1569"/>
      <c r="O261" s="1628"/>
      <c r="P261" s="1628"/>
      <c r="Q261" s="1628"/>
      <c r="R261" s="1628"/>
      <c r="S261" s="1628"/>
      <c r="T261" s="1628"/>
      <c r="U261" s="1628"/>
      <c r="V261" s="1628"/>
      <c r="W261" s="1628"/>
      <c r="X261" s="1628"/>
      <c r="Y261" s="1628"/>
      <c r="Z261" s="1628"/>
      <c r="AA261" s="1628"/>
      <c r="AB261" s="1628"/>
      <c r="AC261" s="1628"/>
      <c r="AD261" s="1628"/>
      <c r="AE261" s="1628"/>
      <c r="AF261" s="1628"/>
      <c r="AG261" s="1628"/>
      <c r="AH261" s="1628"/>
      <c r="AI261" s="1628"/>
      <c r="AJ261" s="1628"/>
      <c r="AK261" s="1628"/>
      <c r="AL261" s="1440"/>
      <c r="AM261" s="1440"/>
      <c r="AN261" s="1440"/>
      <c r="AO261" s="1440"/>
      <c r="AP261" s="1440"/>
      <c r="AQ261" s="1440"/>
      <c r="AR261" s="1440"/>
      <c r="AS261" s="1440"/>
      <c r="AT261" s="1440"/>
      <c r="AU261" s="1440"/>
      <c r="AV261" s="1440"/>
      <c r="AW261" s="1440"/>
      <c r="AX261" s="1440"/>
      <c r="AY261" s="1440"/>
      <c r="AZ261" s="1440"/>
      <c r="BA261" s="1440"/>
      <c r="BB261" s="1440"/>
      <c r="BC261" s="1440"/>
      <c r="BD261" s="1440"/>
      <c r="BE261" s="1440"/>
      <c r="BF261" s="1440"/>
      <c r="BG261" s="1440"/>
      <c r="BH261" s="1440"/>
      <c r="BI261" s="1440"/>
    </row>
    <row r="262" spans="3:61" s="1438" customFormat="1" ht="56.25">
      <c r="C262" s="1445" t="s">
        <v>2348</v>
      </c>
      <c r="D262" s="2134">
        <v>0</v>
      </c>
      <c r="E262" s="2135"/>
      <c r="F262" s="1446">
        <v>0</v>
      </c>
      <c r="G262" s="1446">
        <v>0</v>
      </c>
      <c r="H262" s="1446">
        <v>0</v>
      </c>
      <c r="I262" s="1446">
        <f t="shared" ref="I262:I264" si="4">+SUM(D262:H262)</f>
        <v>0</v>
      </c>
      <c r="J262" s="1561"/>
      <c r="K262" s="1569"/>
      <c r="L262" s="1569"/>
      <c r="M262" s="1569"/>
      <c r="N262" s="1569"/>
      <c r="O262" s="1628"/>
      <c r="P262" s="1628"/>
      <c r="Q262" s="1628"/>
      <c r="R262" s="1628"/>
      <c r="S262" s="1628"/>
      <c r="T262" s="1628"/>
      <c r="U262" s="1628"/>
      <c r="V262" s="1628"/>
      <c r="W262" s="1628"/>
      <c r="X262" s="1628"/>
      <c r="Y262" s="1628"/>
      <c r="Z262" s="1628"/>
      <c r="AA262" s="1628"/>
      <c r="AB262" s="1628"/>
      <c r="AC262" s="1628"/>
      <c r="AD262" s="1628"/>
      <c r="AE262" s="1628"/>
      <c r="AF262" s="1628"/>
      <c r="AG262" s="1628"/>
      <c r="AH262" s="1628"/>
      <c r="AI262" s="1628"/>
      <c r="AJ262" s="1628"/>
      <c r="AK262" s="1628"/>
      <c r="AL262" s="1440"/>
      <c r="AM262" s="1440"/>
      <c r="AN262" s="1440"/>
      <c r="AO262" s="1440"/>
      <c r="AP262" s="1440"/>
      <c r="AQ262" s="1440"/>
      <c r="AR262" s="1440"/>
      <c r="AS262" s="1440"/>
      <c r="AT262" s="1440"/>
      <c r="AU262" s="1440"/>
      <c r="AV262" s="1440"/>
      <c r="AW262" s="1440"/>
      <c r="AX262" s="1440"/>
      <c r="AY262" s="1440"/>
      <c r="AZ262" s="1440"/>
      <c r="BA262" s="1440"/>
      <c r="BB262" s="1440"/>
      <c r="BC262" s="1440"/>
      <c r="BD262" s="1440"/>
      <c r="BE262" s="1440"/>
      <c r="BF262" s="1440"/>
      <c r="BG262" s="1440"/>
      <c r="BH262" s="1440"/>
      <c r="BI262" s="1440"/>
    </row>
    <row r="263" spans="3:61" s="1438" customFormat="1" ht="37.5">
      <c r="C263" s="1445" t="s">
        <v>2349</v>
      </c>
      <c r="D263" s="2134">
        <v>0</v>
      </c>
      <c r="E263" s="2135"/>
      <c r="F263" s="1446">
        <v>0</v>
      </c>
      <c r="G263" s="1446">
        <v>0</v>
      </c>
      <c r="H263" s="1446">
        <v>0</v>
      </c>
      <c r="I263" s="1446">
        <f t="shared" si="4"/>
        <v>0</v>
      </c>
      <c r="J263" s="1561"/>
      <c r="K263" s="1569"/>
      <c r="L263" s="1569"/>
      <c r="M263" s="1569"/>
      <c r="N263" s="1569"/>
      <c r="O263" s="1628"/>
      <c r="P263" s="1628"/>
      <c r="Q263" s="1628"/>
      <c r="R263" s="1628"/>
      <c r="S263" s="1628"/>
      <c r="T263" s="1628"/>
      <c r="U263" s="1628"/>
      <c r="V263" s="1628"/>
      <c r="W263" s="1628"/>
      <c r="X263" s="1628"/>
      <c r="Y263" s="1628"/>
      <c r="Z263" s="1628"/>
      <c r="AA263" s="1628"/>
      <c r="AB263" s="1628"/>
      <c r="AC263" s="1628"/>
      <c r="AD263" s="1628"/>
      <c r="AE263" s="1628"/>
      <c r="AF263" s="1628"/>
      <c r="AG263" s="1628"/>
      <c r="AH263" s="1628"/>
      <c r="AI263" s="1628"/>
      <c r="AJ263" s="1628"/>
      <c r="AK263" s="1628"/>
      <c r="AL263" s="1440"/>
      <c r="AM263" s="1440"/>
      <c r="AN263" s="1440"/>
      <c r="AO263" s="1440"/>
      <c r="AP263" s="1440"/>
      <c r="AQ263" s="1440"/>
      <c r="AR263" s="1440"/>
      <c r="AS263" s="1440"/>
      <c r="AT263" s="1440"/>
      <c r="AU263" s="1440"/>
      <c r="AV263" s="1440"/>
      <c r="AW263" s="1440"/>
      <c r="AX263" s="1440"/>
      <c r="AY263" s="1440"/>
      <c r="AZ263" s="1440"/>
      <c r="BA263" s="1440"/>
      <c r="BB263" s="1440"/>
      <c r="BC263" s="1440"/>
      <c r="BD263" s="1440"/>
      <c r="BE263" s="1440"/>
      <c r="BF263" s="1440"/>
      <c r="BG263" s="1440"/>
      <c r="BH263" s="1440"/>
      <c r="BI263" s="1440"/>
    </row>
    <row r="264" spans="3:61" s="1438" customFormat="1" ht="37.5">
      <c r="C264" s="1445" t="s">
        <v>2363</v>
      </c>
      <c r="D264" s="2134">
        <v>0</v>
      </c>
      <c r="E264" s="2135"/>
      <c r="F264" s="1446">
        <v>0</v>
      </c>
      <c r="G264" s="1446">
        <v>0</v>
      </c>
      <c r="H264" s="1446">
        <v>0</v>
      </c>
      <c r="I264" s="1446">
        <f t="shared" si="4"/>
        <v>0</v>
      </c>
      <c r="J264" s="1561"/>
      <c r="K264" s="1569"/>
      <c r="L264" s="1569"/>
      <c r="M264" s="1569"/>
      <c r="N264" s="1569"/>
      <c r="O264" s="1628"/>
      <c r="P264" s="1628"/>
      <c r="Q264" s="1628"/>
      <c r="R264" s="1628"/>
      <c r="S264" s="1628"/>
      <c r="T264" s="1628"/>
      <c r="U264" s="1628"/>
      <c r="V264" s="1628"/>
      <c r="W264" s="1628"/>
      <c r="X264" s="1628"/>
      <c r="Y264" s="1628"/>
      <c r="Z264" s="1628"/>
      <c r="AA264" s="1628"/>
      <c r="AB264" s="1628"/>
      <c r="AC264" s="1628"/>
      <c r="AD264" s="1628"/>
      <c r="AE264" s="1628"/>
      <c r="AF264" s="1628"/>
      <c r="AG264" s="1628"/>
      <c r="AH264" s="1628"/>
      <c r="AI264" s="1628"/>
      <c r="AJ264" s="1628"/>
      <c r="AK264" s="1628"/>
      <c r="AL264" s="1440"/>
      <c r="AM264" s="1440"/>
      <c r="AN264" s="1440"/>
      <c r="AO264" s="1440"/>
      <c r="AP264" s="1440"/>
      <c r="AQ264" s="1440"/>
      <c r="AR264" s="1440"/>
      <c r="AS264" s="1440"/>
      <c r="AT264" s="1440"/>
      <c r="AU264" s="1440"/>
      <c r="AV264" s="1440"/>
      <c r="AW264" s="1440"/>
      <c r="AX264" s="1440"/>
      <c r="AY264" s="1440"/>
      <c r="AZ264" s="1440"/>
      <c r="BA264" s="1440"/>
      <c r="BB264" s="1440"/>
      <c r="BC264" s="1440"/>
      <c r="BD264" s="1440"/>
      <c r="BE264" s="1440"/>
      <c r="BF264" s="1440"/>
      <c r="BG264" s="1440"/>
      <c r="BH264" s="1440"/>
      <c r="BI264" s="1440"/>
    </row>
    <row r="265" spans="3:61" s="1438" customFormat="1">
      <c r="C265" s="1441"/>
      <c r="D265" s="1944"/>
      <c r="E265" s="1944"/>
      <c r="F265" s="1944"/>
      <c r="G265" s="1397"/>
      <c r="H265" s="1946"/>
      <c r="I265" s="1947"/>
      <c r="J265" s="1561"/>
      <c r="K265" s="1569"/>
      <c r="L265" s="1569"/>
      <c r="M265" s="1569"/>
      <c r="N265" s="1569"/>
      <c r="O265" s="1628"/>
      <c r="P265" s="1628"/>
      <c r="Q265" s="1628"/>
      <c r="R265" s="1628"/>
      <c r="S265" s="1628"/>
      <c r="T265" s="1628"/>
      <c r="U265" s="1628"/>
      <c r="V265" s="1628"/>
      <c r="W265" s="1628"/>
      <c r="X265" s="1628"/>
      <c r="Y265" s="1628"/>
      <c r="Z265" s="1628"/>
      <c r="AA265" s="1628"/>
      <c r="AB265" s="1628"/>
      <c r="AC265" s="1628"/>
      <c r="AD265" s="1628"/>
      <c r="AE265" s="1628"/>
      <c r="AF265" s="1628"/>
      <c r="AG265" s="1628"/>
      <c r="AH265" s="1628"/>
      <c r="AI265" s="1628"/>
      <c r="AJ265" s="1628"/>
      <c r="AK265" s="1628"/>
      <c r="AL265" s="1440"/>
      <c r="AM265" s="1440"/>
      <c r="AN265" s="1440"/>
      <c r="AO265" s="1440"/>
      <c r="AP265" s="1440"/>
      <c r="AQ265" s="1440"/>
      <c r="AR265" s="1440"/>
      <c r="AS265" s="1440"/>
      <c r="AT265" s="1440"/>
      <c r="AU265" s="1440"/>
      <c r="AV265" s="1440"/>
      <c r="AW265" s="1440"/>
      <c r="AX265" s="1440"/>
      <c r="AY265" s="1440"/>
      <c r="AZ265" s="1440"/>
      <c r="BA265" s="1440"/>
      <c r="BB265" s="1440"/>
      <c r="BC265" s="1440"/>
      <c r="BD265" s="1440"/>
      <c r="BE265" s="1440"/>
      <c r="BF265" s="1440"/>
      <c r="BG265" s="1440"/>
      <c r="BH265" s="1440"/>
      <c r="BI265" s="1440"/>
    </row>
    <row r="266" spans="3:61" s="1438" customFormat="1" ht="18.75" customHeight="1">
      <c r="C266" s="2155" t="s">
        <v>1192</v>
      </c>
      <c r="D266" s="2196"/>
      <c r="E266" s="2196"/>
      <c r="F266" s="2196"/>
      <c r="G266" s="2196"/>
      <c r="H266" s="2196"/>
      <c r="I266" s="2197"/>
      <c r="J266" s="1566"/>
      <c r="K266" s="1578"/>
      <c r="L266" s="1578"/>
      <c r="M266" s="1578"/>
      <c r="N266" s="1579"/>
      <c r="O266" s="1628"/>
      <c r="P266" s="1628"/>
      <c r="Q266" s="1628"/>
      <c r="R266" s="1628"/>
      <c r="S266" s="1628"/>
      <c r="T266" s="1628"/>
      <c r="U266" s="1628"/>
      <c r="V266" s="1628"/>
      <c r="W266" s="1628"/>
      <c r="X266" s="1628"/>
      <c r="Y266" s="1628"/>
      <c r="Z266" s="1628"/>
      <c r="AA266" s="1628"/>
      <c r="AB266" s="1628"/>
      <c r="AC266" s="1628"/>
      <c r="AD266" s="1628"/>
      <c r="AE266" s="1628"/>
      <c r="AF266" s="1628"/>
      <c r="AG266" s="1628"/>
      <c r="AH266" s="1628"/>
      <c r="AI266" s="1628"/>
      <c r="AJ266" s="1628"/>
      <c r="AK266" s="1628"/>
      <c r="AL266" s="1440"/>
      <c r="AM266" s="1440"/>
      <c r="AN266" s="1440"/>
      <c r="AO266" s="1440"/>
      <c r="AP266" s="1440"/>
      <c r="AQ266" s="1440"/>
      <c r="AR266" s="1440"/>
      <c r="AS266" s="1440"/>
      <c r="AT266" s="1440"/>
      <c r="AU266" s="1440"/>
      <c r="AV266" s="1440"/>
      <c r="AW266" s="1440"/>
      <c r="AX266" s="1440"/>
      <c r="AY266" s="1440"/>
      <c r="AZ266" s="1440"/>
      <c r="BA266" s="1440"/>
      <c r="BB266" s="1440"/>
      <c r="BC266" s="1440"/>
      <c r="BD266" s="1440"/>
      <c r="BE266" s="1440"/>
      <c r="BF266" s="1440"/>
      <c r="BG266" s="1440"/>
      <c r="BH266" s="1440"/>
      <c r="BI266" s="1440"/>
    </row>
    <row r="267" spans="3:61" s="1438" customFormat="1" ht="52.5" customHeight="1">
      <c r="C267" s="2155" t="s">
        <v>3533</v>
      </c>
      <c r="D267" s="2196"/>
      <c r="E267" s="2196"/>
      <c r="F267" s="2196"/>
      <c r="G267" s="2196"/>
      <c r="H267" s="2196"/>
      <c r="I267" s="2197"/>
      <c r="J267" s="1566"/>
      <c r="K267" s="1578"/>
      <c r="L267" s="1578"/>
      <c r="M267" s="1578"/>
      <c r="N267" s="1579"/>
      <c r="O267" s="1628"/>
      <c r="P267" s="1628"/>
      <c r="Q267" s="1628"/>
      <c r="R267" s="1628"/>
      <c r="S267" s="1628"/>
      <c r="T267" s="1628"/>
      <c r="U267" s="1628"/>
      <c r="V267" s="1628"/>
      <c r="W267" s="1628"/>
      <c r="X267" s="1628"/>
      <c r="Y267" s="1628"/>
      <c r="Z267" s="1628"/>
      <c r="AA267" s="1628"/>
      <c r="AB267" s="1628"/>
      <c r="AC267" s="1628"/>
      <c r="AD267" s="1628"/>
      <c r="AE267" s="1628"/>
      <c r="AF267" s="1628"/>
      <c r="AG267" s="1628"/>
      <c r="AH267" s="1628"/>
      <c r="AI267" s="1628"/>
      <c r="AJ267" s="1628"/>
      <c r="AK267" s="1628"/>
      <c r="AL267" s="1440"/>
      <c r="AM267" s="1440"/>
      <c r="AN267" s="1440"/>
      <c r="AO267" s="1440"/>
      <c r="AP267" s="1440"/>
      <c r="AQ267" s="1440"/>
      <c r="AR267" s="1440"/>
      <c r="AS267" s="1440"/>
      <c r="AT267" s="1440"/>
      <c r="AU267" s="1440"/>
      <c r="AV267" s="1440"/>
      <c r="AW267" s="1440"/>
      <c r="AX267" s="1440"/>
      <c r="AY267" s="1440"/>
      <c r="AZ267" s="1440"/>
      <c r="BA267" s="1440"/>
      <c r="BB267" s="1440"/>
      <c r="BC267" s="1440"/>
      <c r="BD267" s="1440"/>
      <c r="BE267" s="1440"/>
      <c r="BF267" s="1440"/>
      <c r="BG267" s="1440"/>
      <c r="BH267" s="1440"/>
      <c r="BI267" s="1440"/>
    </row>
    <row r="268" spans="3:61" s="1438" customFormat="1">
      <c r="C268" s="2155"/>
      <c r="D268" s="2196"/>
      <c r="E268" s="2196"/>
      <c r="F268" s="2196"/>
      <c r="G268" s="2196"/>
      <c r="H268" s="2196"/>
      <c r="I268" s="2197"/>
      <c r="J268" s="1566"/>
      <c r="K268" s="1578"/>
      <c r="L268" s="1578"/>
      <c r="M268" s="1578"/>
      <c r="N268" s="1579"/>
      <c r="O268" s="1628"/>
      <c r="P268" s="1628"/>
      <c r="Q268" s="1628"/>
      <c r="R268" s="1628"/>
      <c r="S268" s="1628"/>
      <c r="T268" s="1628"/>
      <c r="U268" s="1628"/>
      <c r="V268" s="1628"/>
      <c r="W268" s="1628"/>
      <c r="X268" s="1628"/>
      <c r="Y268" s="1628"/>
      <c r="Z268" s="1628"/>
      <c r="AA268" s="1628"/>
      <c r="AB268" s="1628"/>
      <c r="AC268" s="1628"/>
      <c r="AD268" s="1628"/>
      <c r="AE268" s="1628"/>
      <c r="AF268" s="1628"/>
      <c r="AG268" s="1628"/>
      <c r="AH268" s="1628"/>
      <c r="AI268" s="1628"/>
      <c r="AJ268" s="1628"/>
      <c r="AK268" s="1628"/>
      <c r="AL268" s="1440"/>
      <c r="AM268" s="1440"/>
      <c r="AN268" s="1440"/>
      <c r="AO268" s="1440"/>
      <c r="AP268" s="1440"/>
      <c r="AQ268" s="1440"/>
      <c r="AR268" s="1440"/>
      <c r="AS268" s="1440"/>
      <c r="AT268" s="1440"/>
      <c r="AU268" s="1440"/>
      <c r="AV268" s="1440"/>
      <c r="AW268" s="1440"/>
      <c r="AX268" s="1440"/>
      <c r="AY268" s="1440"/>
      <c r="AZ268" s="1440"/>
      <c r="BA268" s="1440"/>
      <c r="BB268" s="1440"/>
      <c r="BC268" s="1440"/>
      <c r="BD268" s="1440"/>
      <c r="BE268" s="1440"/>
      <c r="BF268" s="1440"/>
      <c r="BG268" s="1440"/>
      <c r="BH268" s="1440"/>
      <c r="BI268" s="1440"/>
    </row>
    <row r="269" spans="3:61" s="1438" customFormat="1" ht="42" customHeight="1">
      <c r="C269" s="2209"/>
      <c r="D269" s="2210"/>
      <c r="E269" s="2210"/>
      <c r="F269" s="2210"/>
      <c r="G269" s="2210"/>
      <c r="H269" s="2210"/>
      <c r="I269" s="2211"/>
      <c r="J269" s="1566"/>
      <c r="K269" s="1578"/>
      <c r="L269" s="1578"/>
      <c r="M269" s="1578"/>
      <c r="N269" s="1579"/>
      <c r="O269" s="1628"/>
      <c r="P269" s="1628"/>
      <c r="Q269" s="1628"/>
      <c r="R269" s="1628"/>
      <c r="S269" s="1628"/>
      <c r="T269" s="1628"/>
      <c r="U269" s="1628"/>
      <c r="V269" s="1628"/>
      <c r="W269" s="1628"/>
      <c r="X269" s="1628"/>
      <c r="Y269" s="1628"/>
      <c r="Z269" s="1628"/>
      <c r="AA269" s="1628"/>
      <c r="AB269" s="1628"/>
      <c r="AC269" s="1628"/>
      <c r="AD269" s="1628"/>
      <c r="AE269" s="1628"/>
      <c r="AF269" s="1628"/>
      <c r="AG269" s="1628"/>
      <c r="AH269" s="1628"/>
      <c r="AI269" s="1628"/>
      <c r="AJ269" s="1628"/>
      <c r="AK269" s="1628"/>
      <c r="AL269" s="1440"/>
      <c r="AM269" s="1440"/>
      <c r="AN269" s="1440"/>
      <c r="AO269" s="1440"/>
      <c r="AP269" s="1440"/>
      <c r="AQ269" s="1440"/>
      <c r="AR269" s="1440"/>
      <c r="AS269" s="1440"/>
      <c r="AT269" s="1440"/>
      <c r="AU269" s="1440"/>
      <c r="AV269" s="1440"/>
      <c r="AW269" s="1440"/>
      <c r="AX269" s="1440"/>
      <c r="AY269" s="1440"/>
      <c r="AZ269" s="1440"/>
      <c r="BA269" s="1440"/>
      <c r="BB269" s="1440"/>
      <c r="BC269" s="1440"/>
      <c r="BD269" s="1440"/>
      <c r="BE269" s="1440"/>
      <c r="BF269" s="1440"/>
      <c r="BG269" s="1440"/>
      <c r="BH269" s="1440"/>
      <c r="BI269" s="1440"/>
    </row>
    <row r="270" spans="3:61">
      <c r="C270" s="1426" t="s">
        <v>402</v>
      </c>
      <c r="D270" s="1869"/>
      <c r="E270" s="1869"/>
      <c r="F270" s="1869"/>
      <c r="G270" s="1942"/>
      <c r="H270" s="15" t="s">
        <v>1067</v>
      </c>
      <c r="I270" s="15" t="s">
        <v>1068</v>
      </c>
      <c r="J270" s="1558"/>
      <c r="K270" s="1559"/>
      <c r="L270" s="1559"/>
      <c r="M270" s="1559"/>
      <c r="N270" s="1560"/>
    </row>
    <row r="271" spans="3:61" ht="19.5" customHeight="1">
      <c r="C271" s="52"/>
      <c r="D271" s="1844"/>
      <c r="E271" s="1844"/>
      <c r="F271" s="1844"/>
      <c r="G271" s="1428"/>
      <c r="H271" s="56" t="str">
        <f>+H221</f>
        <v>March 31, 2022 (₹)</v>
      </c>
      <c r="I271" s="56" t="str">
        <f>+I221</f>
        <v>March 31, 2021 (₹)</v>
      </c>
      <c r="J271" s="1561"/>
      <c r="K271" s="1562"/>
      <c r="L271" s="1562"/>
      <c r="M271" s="1562"/>
      <c r="N271" s="1562"/>
    </row>
    <row r="272" spans="3:61" s="1438" customFormat="1">
      <c r="C272" s="1847" t="s">
        <v>1193</v>
      </c>
      <c r="D272" s="1848"/>
      <c r="E272" s="1848"/>
      <c r="F272" s="1848"/>
      <c r="G272" s="1397"/>
      <c r="H272" s="102"/>
      <c r="I272" s="82"/>
      <c r="J272" s="1566"/>
      <c r="K272" s="1578"/>
      <c r="L272" s="1578"/>
      <c r="M272" s="1578"/>
      <c r="N272" s="1579"/>
      <c r="O272" s="1628"/>
      <c r="P272" s="1628"/>
      <c r="Q272" s="1628"/>
      <c r="R272" s="1628"/>
      <c r="S272" s="1628"/>
      <c r="T272" s="1628"/>
      <c r="U272" s="1628"/>
      <c r="V272" s="1628"/>
      <c r="W272" s="1628"/>
      <c r="X272" s="1628"/>
      <c r="Y272" s="1628"/>
      <c r="Z272" s="1628"/>
      <c r="AA272" s="1628"/>
      <c r="AB272" s="1628"/>
      <c r="AC272" s="1628"/>
      <c r="AD272" s="1628"/>
      <c r="AE272" s="1628"/>
      <c r="AF272" s="1628"/>
      <c r="AG272" s="1628"/>
      <c r="AH272" s="1628"/>
      <c r="AI272" s="1628"/>
      <c r="AJ272" s="1628"/>
      <c r="AK272" s="1628"/>
      <c r="AL272" s="1440"/>
      <c r="AM272" s="1440"/>
      <c r="AN272" s="1440"/>
      <c r="AO272" s="1440"/>
      <c r="AP272" s="1440"/>
      <c r="AQ272" s="1440"/>
      <c r="AR272" s="1440"/>
      <c r="AS272" s="1440"/>
      <c r="AT272" s="1440"/>
      <c r="AU272" s="1440"/>
      <c r="AV272" s="1440"/>
      <c r="AW272" s="1440"/>
      <c r="AX272" s="1440"/>
      <c r="AY272" s="1440"/>
      <c r="AZ272" s="1440"/>
      <c r="BA272" s="1440"/>
      <c r="BB272" s="1440"/>
      <c r="BC272" s="1440"/>
      <c r="BD272" s="1440"/>
      <c r="BE272" s="1440"/>
      <c r="BF272" s="1440"/>
      <c r="BG272" s="1440"/>
      <c r="BH272" s="1440"/>
      <c r="BI272" s="1440"/>
    </row>
    <row r="273" spans="3:61" s="1438" customFormat="1">
      <c r="C273" s="104" t="s">
        <v>1194</v>
      </c>
      <c r="D273" s="1849"/>
      <c r="E273" s="1849"/>
      <c r="F273" s="1849"/>
      <c r="G273" s="1397"/>
      <c r="H273" s="102"/>
      <c r="I273" s="82"/>
      <c r="J273" s="1566"/>
      <c r="K273" s="1578"/>
      <c r="L273" s="1578"/>
      <c r="M273" s="1578"/>
      <c r="N273" s="1579"/>
      <c r="O273" s="1628"/>
      <c r="P273" s="1628"/>
      <c r="Q273" s="1628"/>
      <c r="R273" s="1628"/>
      <c r="S273" s="1628"/>
      <c r="T273" s="1628"/>
      <c r="U273" s="1628"/>
      <c r="V273" s="1628"/>
      <c r="W273" s="1628"/>
      <c r="X273" s="1628"/>
      <c r="Y273" s="1628"/>
      <c r="Z273" s="1628"/>
      <c r="AA273" s="1628"/>
      <c r="AB273" s="1628"/>
      <c r="AC273" s="1628"/>
      <c r="AD273" s="1628"/>
      <c r="AE273" s="1628"/>
      <c r="AF273" s="1628"/>
      <c r="AG273" s="1628"/>
      <c r="AH273" s="1628"/>
      <c r="AI273" s="1628"/>
      <c r="AJ273" s="1628"/>
      <c r="AK273" s="1628"/>
      <c r="AL273" s="1440"/>
      <c r="AM273" s="1440"/>
      <c r="AN273" s="1440"/>
      <c r="AO273" s="1440"/>
      <c r="AP273" s="1440"/>
      <c r="AQ273" s="1440"/>
      <c r="AR273" s="1440"/>
      <c r="AS273" s="1440"/>
      <c r="AT273" s="1440"/>
      <c r="AU273" s="1440"/>
      <c r="AV273" s="1440"/>
      <c r="AW273" s="1440"/>
      <c r="AX273" s="1440"/>
      <c r="AY273" s="1440"/>
      <c r="AZ273" s="1440"/>
      <c r="BA273" s="1440"/>
      <c r="BB273" s="1440"/>
      <c r="BC273" s="1440"/>
      <c r="BD273" s="1440"/>
      <c r="BE273" s="1440"/>
      <c r="BF273" s="1440"/>
      <c r="BG273" s="1440"/>
      <c r="BH273" s="1440"/>
      <c r="BI273" s="1440"/>
    </row>
    <row r="274" spans="3:61" s="1438" customFormat="1">
      <c r="C274" s="1441" t="s">
        <v>1195</v>
      </c>
      <c r="D274" s="1944"/>
      <c r="E274" s="1944"/>
      <c r="F274" s="1944"/>
      <c r="G274" s="1397"/>
      <c r="H274" s="102">
        <f>+GETPIVOTDATA("Sum of Dr. Final 21-22",Pivot!$A$3,"Note",7,"BS Main Head","Cash and cash Equivalents","BS Sub Head","Cash On Hand")</f>
        <v>68389</v>
      </c>
      <c r="I274" s="82">
        <f>+GETPIVOTDATA("Sum of Dr. Final 2020-21",Pivot!$A$3,"Note",7,"BS Main Head","Cash and cash Equivalents","BS Sub Head","Cash On Hand")</f>
        <v>255504</v>
      </c>
      <c r="J274" s="1566"/>
      <c r="K274" s="1578"/>
      <c r="L274" s="1578"/>
      <c r="M274" s="1578"/>
      <c r="N274" s="1631"/>
      <c r="O274" s="1628"/>
      <c r="P274" s="1628"/>
      <c r="Q274" s="1628"/>
      <c r="R274" s="1628"/>
      <c r="S274" s="1628"/>
      <c r="T274" s="1628"/>
      <c r="U274" s="1628"/>
      <c r="V274" s="1628"/>
      <c r="W274" s="1628"/>
      <c r="X274" s="1628"/>
      <c r="Y274" s="1628"/>
      <c r="Z274" s="1628"/>
      <c r="AA274" s="1628"/>
      <c r="AB274" s="1628"/>
      <c r="AC274" s="1628"/>
      <c r="AD274" s="1628"/>
      <c r="AE274" s="1628"/>
      <c r="AF274" s="1628"/>
      <c r="AG274" s="1628"/>
      <c r="AH274" s="1628"/>
      <c r="AI274" s="1628"/>
      <c r="AJ274" s="1628"/>
      <c r="AK274" s="1628"/>
      <c r="AL274" s="1440"/>
      <c r="AM274" s="1440"/>
      <c r="AN274" s="1440"/>
      <c r="AO274" s="1440"/>
      <c r="AP274" s="1440"/>
      <c r="AQ274" s="1440"/>
      <c r="AR274" s="1440"/>
      <c r="AS274" s="1440"/>
      <c r="AT274" s="1440"/>
      <c r="AU274" s="1440"/>
      <c r="AV274" s="1440"/>
      <c r="AW274" s="1440"/>
      <c r="AX274" s="1440"/>
      <c r="AY274" s="1440"/>
      <c r="AZ274" s="1440"/>
      <c r="BA274" s="1440"/>
      <c r="BB274" s="1440"/>
      <c r="BC274" s="1440"/>
      <c r="BD274" s="1440"/>
      <c r="BE274" s="1440"/>
      <c r="BF274" s="1440"/>
      <c r="BG274" s="1440"/>
      <c r="BH274" s="1440"/>
      <c r="BI274" s="1440"/>
    </row>
    <row r="275" spans="3:61" s="1438" customFormat="1" ht="10.5" customHeight="1">
      <c r="C275" s="1441"/>
      <c r="D275" s="1944"/>
      <c r="E275" s="1944"/>
      <c r="F275" s="1944"/>
      <c r="G275" s="1397"/>
      <c r="H275" s="102"/>
      <c r="I275" s="82"/>
      <c r="J275" s="1566"/>
      <c r="K275" s="1578"/>
      <c r="L275" s="1578"/>
      <c r="M275" s="1578"/>
      <c r="N275" s="1631"/>
      <c r="O275" s="1628"/>
      <c r="P275" s="1628"/>
      <c r="Q275" s="1628"/>
      <c r="R275" s="1628"/>
      <c r="S275" s="1628"/>
      <c r="T275" s="1628"/>
      <c r="U275" s="1628"/>
      <c r="V275" s="1628"/>
      <c r="W275" s="1628"/>
      <c r="X275" s="1628"/>
      <c r="Y275" s="1628"/>
      <c r="Z275" s="1628"/>
      <c r="AA275" s="1628"/>
      <c r="AB275" s="1628"/>
      <c r="AC275" s="1628"/>
      <c r="AD275" s="1628"/>
      <c r="AE275" s="1628"/>
      <c r="AF275" s="1628"/>
      <c r="AG275" s="1628"/>
      <c r="AH275" s="1628"/>
      <c r="AI275" s="1628"/>
      <c r="AJ275" s="1628"/>
      <c r="AK275" s="1628"/>
      <c r="AL275" s="1440"/>
      <c r="AM275" s="1440"/>
      <c r="AN275" s="1440"/>
      <c r="AO275" s="1440"/>
      <c r="AP275" s="1440"/>
      <c r="AQ275" s="1440"/>
      <c r="AR275" s="1440"/>
      <c r="AS275" s="1440"/>
      <c r="AT275" s="1440"/>
      <c r="AU275" s="1440"/>
      <c r="AV275" s="1440"/>
      <c r="AW275" s="1440"/>
      <c r="AX275" s="1440"/>
      <c r="AY275" s="1440"/>
      <c r="AZ275" s="1440"/>
      <c r="BA275" s="1440"/>
      <c r="BB275" s="1440"/>
      <c r="BC275" s="1440"/>
      <c r="BD275" s="1440"/>
      <c r="BE275" s="1440"/>
      <c r="BF275" s="1440"/>
      <c r="BG275" s="1440"/>
      <c r="BH275" s="1440"/>
      <c r="BI275" s="1440"/>
    </row>
    <row r="276" spans="3:61" s="1438" customFormat="1">
      <c r="C276" s="1447" t="s">
        <v>1196</v>
      </c>
      <c r="D276" s="1944"/>
      <c r="E276" s="1944"/>
      <c r="F276" s="1944"/>
      <c r="G276" s="1397"/>
      <c r="H276" s="102"/>
      <c r="I276" s="82"/>
      <c r="J276" s="1566"/>
      <c r="K276" s="1578"/>
      <c r="L276" s="1578"/>
      <c r="M276" s="1578"/>
      <c r="N276" s="1579"/>
      <c r="O276" s="1628"/>
      <c r="P276" s="1628"/>
      <c r="Q276" s="1628"/>
      <c r="R276" s="1628"/>
      <c r="S276" s="1628"/>
      <c r="T276" s="1628"/>
      <c r="U276" s="1628"/>
      <c r="V276" s="1628"/>
      <c r="W276" s="1628"/>
      <c r="X276" s="1628"/>
      <c r="Y276" s="1628"/>
      <c r="Z276" s="1628"/>
      <c r="AA276" s="1628"/>
      <c r="AB276" s="1628"/>
      <c r="AC276" s="1628"/>
      <c r="AD276" s="1628"/>
      <c r="AE276" s="1628"/>
      <c r="AF276" s="1628"/>
      <c r="AG276" s="1628"/>
      <c r="AH276" s="1628"/>
      <c r="AI276" s="1628"/>
      <c r="AJ276" s="1628"/>
      <c r="AK276" s="1628"/>
      <c r="AL276" s="1440"/>
      <c r="AM276" s="1440"/>
      <c r="AN276" s="1440"/>
      <c r="AO276" s="1440"/>
      <c r="AP276" s="1440"/>
      <c r="AQ276" s="1440"/>
      <c r="AR276" s="1440"/>
      <c r="AS276" s="1440"/>
      <c r="AT276" s="1440"/>
      <c r="AU276" s="1440"/>
      <c r="AV276" s="1440"/>
      <c r="AW276" s="1440"/>
      <c r="AX276" s="1440"/>
      <c r="AY276" s="1440"/>
      <c r="AZ276" s="1440"/>
      <c r="BA276" s="1440"/>
      <c r="BB276" s="1440"/>
      <c r="BC276" s="1440"/>
      <c r="BD276" s="1440"/>
      <c r="BE276" s="1440"/>
      <c r="BF276" s="1440"/>
      <c r="BG276" s="1440"/>
      <c r="BH276" s="1440"/>
      <c r="BI276" s="1440"/>
    </row>
    <row r="277" spans="3:61" s="1438" customFormat="1">
      <c r="C277" s="1441" t="s">
        <v>1197</v>
      </c>
      <c r="D277" s="1944"/>
      <c r="E277" s="1944"/>
      <c r="F277" s="1944"/>
      <c r="G277" s="1397"/>
      <c r="H277" s="102">
        <f>+GETPIVOTDATA("Sum of Dr. Final 21-22",Pivot!$A$3,"Note",7,"BS Main Head","Cash and cash Equivalents","BS Sub Head","Balance With Bank - Current A/c")</f>
        <v>10757.64</v>
      </c>
      <c r="I277" s="111">
        <f>+GETPIVOTDATA("Sum of Dr. Final 2020-21",Pivot!$A$3,"Note",7,"BS Main Head","Cash and cash Equivalents","BS Sub Head","Balance With Bank - Current A/c")</f>
        <v>78364.399999999994</v>
      </c>
      <c r="J277" s="1566"/>
      <c r="K277" s="1578"/>
      <c r="L277" s="1578"/>
      <c r="M277" s="1578"/>
      <c r="N277" s="1631"/>
      <c r="O277" s="1628"/>
      <c r="P277" s="1628"/>
      <c r="Q277" s="1628"/>
      <c r="R277" s="1628"/>
      <c r="S277" s="1628"/>
      <c r="T277" s="1628"/>
      <c r="U277" s="1628"/>
      <c r="V277" s="1628"/>
      <c r="W277" s="1628"/>
      <c r="X277" s="1628"/>
      <c r="Y277" s="1628"/>
      <c r="Z277" s="1628"/>
      <c r="AA277" s="1628"/>
      <c r="AB277" s="1628"/>
      <c r="AC277" s="1628"/>
      <c r="AD277" s="1628"/>
      <c r="AE277" s="1628"/>
      <c r="AF277" s="1628"/>
      <c r="AG277" s="1628"/>
      <c r="AH277" s="1628"/>
      <c r="AI277" s="1628"/>
      <c r="AJ277" s="1628"/>
      <c r="AK277" s="1628"/>
      <c r="AL277" s="1440"/>
      <c r="AM277" s="1440"/>
      <c r="AN277" s="1440"/>
      <c r="AO277" s="1440"/>
      <c r="AP277" s="1440"/>
      <c r="AQ277" s="1440"/>
      <c r="AR277" s="1440"/>
      <c r="AS277" s="1440"/>
      <c r="AT277" s="1440"/>
      <c r="AU277" s="1440"/>
      <c r="AV277" s="1440"/>
      <c r="AW277" s="1440"/>
      <c r="AX277" s="1440"/>
      <c r="AY277" s="1440"/>
      <c r="AZ277" s="1440"/>
      <c r="BA277" s="1440"/>
      <c r="BB277" s="1440"/>
      <c r="BC277" s="1440"/>
      <c r="BD277" s="1440"/>
      <c r="BE277" s="1440"/>
      <c r="BF277" s="1440"/>
      <c r="BG277" s="1440"/>
      <c r="BH277" s="1440"/>
      <c r="BI277" s="1440"/>
    </row>
    <row r="278" spans="3:61" s="1438" customFormat="1" ht="19.5" thickBot="1">
      <c r="C278" s="104"/>
      <c r="D278" s="1849"/>
      <c r="E278" s="1849"/>
      <c r="F278" s="1849"/>
      <c r="G278" s="1397"/>
      <c r="H278" s="103">
        <f>+SUM(H274:H277)</f>
        <v>79146.64</v>
      </c>
      <c r="I278" s="103">
        <f>+SUM(I274:I277)</f>
        <v>333868.40000000002</v>
      </c>
      <c r="J278" s="1561"/>
      <c r="K278" s="1569"/>
      <c r="L278" s="1569"/>
      <c r="M278" s="1569"/>
      <c r="N278" s="1569"/>
      <c r="O278" s="1628"/>
      <c r="P278" s="1628"/>
      <c r="Q278" s="1628"/>
      <c r="R278" s="1628"/>
      <c r="S278" s="1628"/>
      <c r="T278" s="1628"/>
      <c r="U278" s="1628"/>
      <c r="V278" s="1628"/>
      <c r="W278" s="1628"/>
      <c r="X278" s="1628"/>
      <c r="Y278" s="1628"/>
      <c r="Z278" s="1628"/>
      <c r="AA278" s="1628"/>
      <c r="AB278" s="1628"/>
      <c r="AC278" s="1628"/>
      <c r="AD278" s="1628"/>
      <c r="AE278" s="1628"/>
      <c r="AF278" s="1628"/>
      <c r="AG278" s="1628"/>
      <c r="AH278" s="1628"/>
      <c r="AI278" s="1628"/>
      <c r="AJ278" s="1628"/>
      <c r="AK278" s="1628"/>
      <c r="AL278" s="1440"/>
      <c r="AM278" s="1440"/>
      <c r="AN278" s="1440"/>
      <c r="AO278" s="1440"/>
      <c r="AP278" s="1440"/>
      <c r="AQ278" s="1440"/>
      <c r="AR278" s="1440"/>
      <c r="AS278" s="1440"/>
      <c r="AT278" s="1440"/>
      <c r="AU278" s="1440"/>
      <c r="AV278" s="1440"/>
      <c r="AW278" s="1440"/>
      <c r="AX278" s="1440"/>
      <c r="AY278" s="1440"/>
      <c r="AZ278" s="1440"/>
      <c r="BA278" s="1440"/>
      <c r="BB278" s="1440"/>
      <c r="BC278" s="1440"/>
      <c r="BD278" s="1440"/>
      <c r="BE278" s="1440"/>
      <c r="BF278" s="1440"/>
      <c r="BG278" s="1440"/>
      <c r="BH278" s="1440"/>
      <c r="BI278" s="1440"/>
    </row>
    <row r="279" spans="3:61" ht="19.5" hidden="1" thickTop="1">
      <c r="C279" s="1401"/>
      <c r="D279" s="1856"/>
      <c r="E279" s="1856"/>
      <c r="F279" s="1856"/>
      <c r="G279" s="1856"/>
      <c r="H279" s="82"/>
      <c r="I279" s="40"/>
      <c r="J279" s="1566"/>
      <c r="K279" s="1578"/>
      <c r="L279" s="1578"/>
      <c r="M279" s="1578"/>
      <c r="N279" s="1632"/>
    </row>
    <row r="280" spans="3:61" s="1914" customFormat="1" ht="21" customHeight="1" thickTop="1">
      <c r="C280" s="1847" t="s">
        <v>1198</v>
      </c>
      <c r="D280" s="1848"/>
      <c r="E280" s="1848"/>
      <c r="F280" s="1848"/>
      <c r="G280" s="1397"/>
      <c r="H280" s="102"/>
      <c r="I280" s="82"/>
      <c r="J280" s="1909"/>
      <c r="K280" s="1910"/>
      <c r="L280" s="1910"/>
      <c r="M280" s="1910"/>
      <c r="N280" s="1911"/>
      <c r="O280" s="1912"/>
      <c r="P280" s="1912"/>
      <c r="Q280" s="1912"/>
      <c r="R280" s="1912"/>
      <c r="S280" s="1912"/>
      <c r="T280" s="1912"/>
      <c r="U280" s="1912"/>
      <c r="V280" s="1912"/>
      <c r="W280" s="1912"/>
      <c r="X280" s="1912"/>
      <c r="Y280" s="1912"/>
      <c r="Z280" s="1912"/>
      <c r="AA280" s="1912"/>
      <c r="AB280" s="1912"/>
      <c r="AC280" s="1912"/>
      <c r="AD280" s="1912"/>
      <c r="AE280" s="1912"/>
      <c r="AF280" s="1912"/>
      <c r="AG280" s="1912"/>
      <c r="AH280" s="1912"/>
      <c r="AI280" s="1912"/>
      <c r="AJ280" s="1912"/>
      <c r="AK280" s="1912"/>
      <c r="AL280" s="1913"/>
      <c r="AM280" s="1913"/>
      <c r="AN280" s="1913"/>
      <c r="AO280" s="1913"/>
      <c r="AP280" s="1913"/>
      <c r="AQ280" s="1913"/>
      <c r="AR280" s="1913"/>
      <c r="AS280" s="1913"/>
      <c r="AT280" s="1913"/>
      <c r="AU280" s="1913"/>
      <c r="AV280" s="1913"/>
      <c r="AW280" s="1913"/>
      <c r="AX280" s="1913"/>
      <c r="AY280" s="1913"/>
      <c r="AZ280" s="1913"/>
      <c r="BA280" s="1913"/>
      <c r="BB280" s="1913"/>
      <c r="BC280" s="1913"/>
      <c r="BD280" s="1913"/>
      <c r="BE280" s="1913"/>
      <c r="BF280" s="1913"/>
      <c r="BG280" s="1913"/>
      <c r="BH280" s="1913"/>
      <c r="BI280" s="1913"/>
    </row>
    <row r="281" spans="3:61" s="1917" customFormat="1" ht="21" customHeight="1">
      <c r="C281" s="1441" t="s">
        <v>1199</v>
      </c>
      <c r="D281" s="1944"/>
      <c r="E281" s="1944"/>
      <c r="F281" s="1944"/>
      <c r="G281" s="1397"/>
      <c r="H281" s="102">
        <f>+GETPIVOTDATA("Sum of Dr. Final 21-22",Pivot!$A$3,"Note",8,"BS Main Head","Cash and cash Equivalents")</f>
        <v>0</v>
      </c>
      <c r="I281" s="82">
        <f>+GETPIVOTDATA("Sum of Dr. Final 2020-21",Pivot!$A$3,"Note",8,"BS Main Head","Cash and cash Equivalents")</f>
        <v>0</v>
      </c>
      <c r="J281" s="1909"/>
      <c r="K281" s="1910"/>
      <c r="L281" s="1910"/>
      <c r="M281" s="1910"/>
      <c r="N281" s="1910"/>
      <c r="O281" s="1915"/>
      <c r="P281" s="1915"/>
      <c r="Q281" s="1915"/>
      <c r="R281" s="1915"/>
      <c r="S281" s="1915"/>
      <c r="T281" s="1915"/>
      <c r="U281" s="1915"/>
      <c r="V281" s="1915"/>
      <c r="W281" s="1915"/>
      <c r="X281" s="1915"/>
      <c r="Y281" s="1915"/>
      <c r="Z281" s="1915"/>
      <c r="AA281" s="1915"/>
      <c r="AB281" s="1915"/>
      <c r="AC281" s="1915"/>
      <c r="AD281" s="1915"/>
      <c r="AE281" s="1915"/>
      <c r="AF281" s="1915"/>
      <c r="AG281" s="1915"/>
      <c r="AH281" s="1915"/>
      <c r="AI281" s="1915"/>
      <c r="AJ281" s="1915"/>
      <c r="AK281" s="1915"/>
      <c r="AL281" s="1916"/>
      <c r="AM281" s="1916"/>
      <c r="AN281" s="1916"/>
      <c r="AO281" s="1916"/>
      <c r="AP281" s="1916"/>
      <c r="AQ281" s="1916"/>
      <c r="AR281" s="1916"/>
      <c r="AS281" s="1916"/>
      <c r="AT281" s="1916"/>
      <c r="AU281" s="1916"/>
      <c r="AV281" s="1916"/>
      <c r="AW281" s="1916"/>
      <c r="AX281" s="1916"/>
      <c r="AY281" s="1916"/>
      <c r="AZ281" s="1916"/>
      <c r="BA281" s="1916"/>
      <c r="BB281" s="1916"/>
      <c r="BC281" s="1916"/>
      <c r="BD281" s="1916"/>
      <c r="BE281" s="1916"/>
      <c r="BF281" s="1916"/>
      <c r="BG281" s="1916"/>
      <c r="BH281" s="1916"/>
      <c r="BI281" s="1916"/>
    </row>
    <row r="282" spans="3:61" ht="19.5" thickBot="1">
      <c r="C282" s="104"/>
      <c r="D282" s="1849"/>
      <c r="E282" s="1849"/>
      <c r="F282" s="1849"/>
      <c r="G282" s="1397"/>
      <c r="H282" s="103">
        <f>+SUM(H281:H281)</f>
        <v>0</v>
      </c>
      <c r="I282" s="103">
        <f>+SUM(I281:I281)</f>
        <v>0</v>
      </c>
      <c r="J282" s="1561"/>
      <c r="K282" s="1569"/>
      <c r="L282" s="1569"/>
      <c r="M282" s="1569"/>
      <c r="N282" s="1569"/>
    </row>
    <row r="283" spans="3:61" ht="19.5" thickTop="1">
      <c r="C283" s="2247" t="s">
        <v>1200</v>
      </c>
      <c r="D283" s="2248"/>
      <c r="E283" s="2074"/>
      <c r="F283" s="2019"/>
      <c r="G283" s="1397"/>
      <c r="H283" s="102"/>
      <c r="I283" s="112"/>
      <c r="J283" s="1566"/>
      <c r="K283" s="1554"/>
      <c r="L283" s="1554"/>
      <c r="M283" s="1554"/>
      <c r="N283" s="1554"/>
    </row>
    <row r="284" spans="3:61">
      <c r="C284" s="2232" t="s">
        <v>1201</v>
      </c>
      <c r="D284" s="2233"/>
      <c r="E284" s="2233"/>
      <c r="F284" s="2233"/>
      <c r="G284" s="2233"/>
      <c r="H284" s="113"/>
      <c r="I284" s="22"/>
      <c r="J284" s="1566"/>
      <c r="K284" s="1554"/>
      <c r="L284" s="1554"/>
      <c r="M284" s="1554"/>
      <c r="N284" s="1554"/>
    </row>
    <row r="285" spans="3:61">
      <c r="C285" s="75" t="s">
        <v>1202</v>
      </c>
      <c r="D285" s="1850"/>
      <c r="E285" s="1850"/>
      <c r="F285" s="1850"/>
      <c r="G285" s="1397"/>
      <c r="H285" s="102">
        <f>+GETPIVOTDATA("Sum of Dr. Final 21-22",Pivot!$A$3,"Note",9,"BS Main Head","Other Financial Assets","BS Sub Head","Loans and Advances to Employees")</f>
        <v>345500</v>
      </c>
      <c r="I285" s="22">
        <f>+GETPIVOTDATA("Sum of Dr. Final 2020-21",Pivot!$A$3,"Note",9,"BS Main Head","Other Financial Assets","BS Sub Head","Loans and Advances to Employees")</f>
        <v>207000</v>
      </c>
      <c r="J285" s="1566"/>
      <c r="K285" s="1554"/>
      <c r="L285" s="1554"/>
      <c r="M285" s="1554"/>
      <c r="N285" s="1554"/>
    </row>
    <row r="286" spans="3:61">
      <c r="C286" s="75" t="s">
        <v>1203</v>
      </c>
      <c r="D286" s="2075"/>
      <c r="E286" s="1838"/>
      <c r="F286" s="2075"/>
      <c r="G286" s="1397"/>
      <c r="H286" s="102">
        <v>8017000</v>
      </c>
      <c r="I286" s="82">
        <v>7074000</v>
      </c>
      <c r="J286" s="1566"/>
      <c r="K286" s="1578"/>
      <c r="L286" s="1578"/>
      <c r="M286" s="1578"/>
      <c r="N286" s="1578"/>
    </row>
    <row r="287" spans="3:61" ht="19.5" thickBot="1">
      <c r="C287" s="1447"/>
      <c r="D287" s="1945"/>
      <c r="E287" s="1945"/>
      <c r="F287" s="1945"/>
      <c r="G287" s="1423"/>
      <c r="H287" s="103">
        <f>+SUM(H285:H286)</f>
        <v>8362500</v>
      </c>
      <c r="I287" s="103">
        <f>+SUM(I285:I286)</f>
        <v>7281000</v>
      </c>
      <c r="J287" s="1561"/>
      <c r="K287" s="1569"/>
      <c r="L287" s="1569"/>
      <c r="M287" s="1569"/>
      <c r="N287" s="1569"/>
    </row>
    <row r="288" spans="3:61" ht="19.5" thickTop="1">
      <c r="C288" s="1847" t="s">
        <v>1204</v>
      </c>
      <c r="D288" s="1838"/>
      <c r="E288" s="1838"/>
      <c r="F288" s="1838"/>
      <c r="G288" s="1397"/>
      <c r="H288" s="102"/>
      <c r="I288" s="22"/>
      <c r="J288" s="1566"/>
      <c r="K288" s="1554"/>
      <c r="L288" s="1554"/>
      <c r="M288" s="1554"/>
      <c r="N288" s="1554"/>
    </row>
    <row r="289" spans="1:61">
      <c r="C289" s="75" t="s">
        <v>1205</v>
      </c>
      <c r="D289" s="1850"/>
      <c r="E289" s="1850"/>
      <c r="F289" s="1850"/>
      <c r="G289" s="1397"/>
      <c r="H289" s="102">
        <f>+GETPIVOTDATA("Sum of Dr. Final 21-22",Pivot!$A$3,"Note",10,"BS Main Head","Other Current Assets","BS Sub Head","Advance to Suppliers")</f>
        <v>4376845.0199999996</v>
      </c>
      <c r="I289" s="22">
        <f>+GETPIVOTDATA("Sum of Dr. Final 2020-21",Pivot!$A$3,"Note",10,"BS Main Head","Other Current Assets","BS Sub Head","Advance to Suppliers")</f>
        <v>1840673.02</v>
      </c>
      <c r="J289" s="1566"/>
      <c r="K289" s="1554"/>
      <c r="L289" s="1554"/>
      <c r="M289" s="1554"/>
      <c r="N289" s="1554"/>
    </row>
    <row r="290" spans="1:61">
      <c r="C290" s="75" t="s">
        <v>686</v>
      </c>
      <c r="D290" s="1848"/>
      <c r="E290" s="1848"/>
      <c r="F290" s="1848"/>
      <c r="G290" s="1397"/>
      <c r="H290" s="102">
        <f>+GETPIVOTDATA("Sum of Dr. Final 21-22",Pivot!$A$3,"Note",10,"BS Main Head","Other Current Assets","BS Sub Head","Prepaid Expenses")</f>
        <v>1098844</v>
      </c>
      <c r="I290" s="22">
        <f>+GETPIVOTDATA("Sum of Dr. Final 2020-21",Pivot!$A$3,"Note",10,"BS Main Head","Other Current Assets","BS Sub Head","Prepaid Expenses")</f>
        <v>636564</v>
      </c>
      <c r="J290" s="1566"/>
      <c r="K290" s="1554"/>
      <c r="L290" s="1554"/>
      <c r="M290" s="1554"/>
      <c r="N290" s="1566"/>
    </row>
    <row r="291" spans="1:61">
      <c r="C291" s="75" t="s">
        <v>1206</v>
      </c>
      <c r="D291" s="1848"/>
      <c r="E291" s="1848"/>
      <c r="F291" s="1848"/>
      <c r="G291" s="1397"/>
      <c r="H291" s="102">
        <f>+GETPIVOTDATA("Sum of Dr. Final 21-22",Pivot!$A$3,"Note",10,"BS Main Head","Other Current Assets","BS Sub Head","Insurance claim Receivable")</f>
        <v>366786</v>
      </c>
      <c r="I291" s="22">
        <f>+GETPIVOTDATA("Sum of Dr. Final 2020-21",Pivot!$A$3,"Note",10,"BS Main Head","Other Current Assets","BS Sub Head","Insurance claim Receivable")</f>
        <v>545158</v>
      </c>
      <c r="J291" s="1566"/>
      <c r="K291" s="1554"/>
      <c r="L291" s="1554"/>
      <c r="M291" s="1554"/>
      <c r="N291" s="1554"/>
    </row>
    <row r="292" spans="1:61">
      <c r="C292" s="75" t="s">
        <v>966</v>
      </c>
      <c r="D292" s="1848"/>
      <c r="E292" s="1848"/>
      <c r="F292" s="1848"/>
      <c r="G292" s="1397"/>
      <c r="H292" s="102">
        <f>+GETPIVOTDATA("Sum of Dr. Final 21-22",Pivot!$A$3,"Note",10,"BS Main Head","Other Current Assets","BS Sub Head","Import Claim Receivable")</f>
        <v>413262</v>
      </c>
      <c r="I292" s="22">
        <v>0</v>
      </c>
      <c r="J292" s="1566"/>
      <c r="K292" s="1554"/>
      <c r="L292" s="1554"/>
      <c r="M292" s="1554"/>
      <c r="N292" s="1554"/>
    </row>
    <row r="293" spans="1:61">
      <c r="C293" s="1401" t="s">
        <v>599</v>
      </c>
      <c r="D293" s="1848"/>
      <c r="E293" s="1848"/>
      <c r="F293" s="1848"/>
      <c r="G293" s="1397"/>
      <c r="H293" s="111">
        <f>+GETPIVOTDATA("Sum of Dr. Final 21-22",Pivot!$A$3,"Note",10,"BS Main Head","Other Current Assets","BS Sub Head","Deposits")</f>
        <v>0</v>
      </c>
      <c r="I293" s="82">
        <f>+GETPIVOTDATA("Sum of Dr. Final 2020-21",Pivot!$A$3,"Note",10,"BS Main Head","Other Current Assets","BS Sub Head","Deposits")</f>
        <v>1137100</v>
      </c>
      <c r="J293" s="1566"/>
      <c r="K293" s="1578"/>
      <c r="L293" s="1578"/>
      <c r="M293" s="1578"/>
    </row>
    <row r="294" spans="1:61" ht="19.5" thickBot="1">
      <c r="C294" s="1447"/>
      <c r="D294" s="1848"/>
      <c r="E294" s="1848"/>
      <c r="F294" s="1848"/>
      <c r="G294" s="1423"/>
      <c r="H294" s="103">
        <f>+SUM(H289:H293)</f>
        <v>6255737.0199999996</v>
      </c>
      <c r="I294" s="103">
        <f>+SUM(I289:I293)</f>
        <v>4159495.02</v>
      </c>
      <c r="J294" s="1561"/>
      <c r="K294" s="1569"/>
      <c r="L294" s="1569"/>
      <c r="M294" s="1569"/>
      <c r="N294" s="1569"/>
    </row>
    <row r="295" spans="1:61" ht="19.5" thickTop="1">
      <c r="C295" s="1847" t="s">
        <v>1207</v>
      </c>
      <c r="D295" s="1848"/>
      <c r="E295" s="1848"/>
      <c r="F295" s="1848"/>
      <c r="G295" s="1423"/>
      <c r="H295" s="114"/>
      <c r="I295" s="115"/>
      <c r="J295" s="1561"/>
      <c r="K295" s="1582"/>
      <c r="L295" s="1582"/>
      <c r="M295" s="1582"/>
      <c r="N295" s="1633"/>
    </row>
    <row r="296" spans="1:61">
      <c r="C296" s="75" t="s">
        <v>1208</v>
      </c>
      <c r="D296" s="1838"/>
      <c r="E296" s="1838"/>
      <c r="F296" s="1838"/>
      <c r="G296" s="1397"/>
      <c r="H296" s="102">
        <f>+GETPIVOTDATA("Sum of Dr. Final 21-22",Pivot!$A$3,"PARTICULARS","Income Tax Receivable (Refund)","Note",11,"BS Main Head","Current Tax Assets","BS Sub Head","Advance Income Tax")+GETPIVOTDATA("Sum of Dr. Final 21-22",Pivot!$A$3,"PARTICULARS","Income Tax Refunf A.Y. 2020-21","Note",11,"BS Main Head","Current Tax Assets","BS Sub Head","Advance Income Tax")+GETPIVOTDATA("Sum of Dr. Final 21-22",Pivot!$A$3,"PARTICULARS","Provision for I.T, A.Y.2017-18","Note",11,"BS Main Head","Current Tax Assets","BS Sub Head","Advance Income Tax")+GETPIVOTDATA("Sum of Dr. Final 21-22",Pivot!$A$3,"PARTICULARS","Provision For I.T. A.Y, 2005-06","Note",11,"BS Main Head","Current Tax Assets","BS Sub Head","Advance Income Tax")+GETPIVOTDATA("Sum of Dr. Final 21-22",Pivot!$A$3,"PARTICULARS","Provision for I.T. A.Y, 2013-14","Note",11,"BS Main Head","Current Tax Assets","BS Sub Head","Advance Income Tax")+GETPIVOTDATA("Sum of Dr. Final 21-22",Pivot!$A$3,"PARTICULARS","Provision for I.T. A.Y. 2008-09","Note",11,"BS Main Head","Current Tax Assets","BS Sub Head","Advance Income Tax")+GETPIVOTDATA("Sum of Dr. Final 21-22",Pivot!$A$3,"PARTICULARS","Advance Income Tax (A.Y.2022-23)","Note",11,"BS Main Head","Current Tax Assets","BS Sub Head","Advance Income Tax")+GETPIVOTDATA("Sum of Dr. Final 21-22",Pivot!$A$3,"PARTICULARS","TDS ( A.Y. 2022-23)","Note",11,"BS Main Head","Current Tax Assets","BS Sub Head","Advance Income Tax")+GETPIVOTDATA("Sum of Dr. Final 21-22",Pivot!$A$3,"PARTICULARS","Tds Receivable F.Y. 2021-22","Note",11,"BS Main Head","Current Tax Assets","BS Sub Head","Advance Income Tax")+GETPIVOTDATA("Sum of Dr. Final 21-22",Pivot!$A$3,"PARTICULARS","T C S F. Y. 2021-22","Note",11,"BS Main Head","Current Tax Assets","BS Sub Head","Advance Income Tax")-H95</f>
        <v>2322957.8136877958</v>
      </c>
      <c r="I296" s="111">
        <v>673307</v>
      </c>
      <c r="J296" s="1566">
        <f>+GETPIVOTDATA("Sum of Dr. Final 21-22",Pivot!$A$3,"Note",11,"BS Main Head","Current Tax Assets","BS Sub Head","Advance Income Tax")</f>
        <v>4907386.8</v>
      </c>
      <c r="K296" s="1578"/>
      <c r="L296" s="1578"/>
      <c r="M296" s="1578"/>
      <c r="N296" s="1578"/>
    </row>
    <row r="297" spans="1:61">
      <c r="C297" s="1448"/>
      <c r="D297" s="1864"/>
      <c r="E297" s="2076"/>
      <c r="F297" s="1864"/>
      <c r="G297" s="1428"/>
      <c r="H297" s="23">
        <f>+H296</f>
        <v>2322957.8136877958</v>
      </c>
      <c r="I297" s="23">
        <f>+I296</f>
        <v>673307</v>
      </c>
      <c r="J297" s="1561">
        <f>+J296-H296</f>
        <v>2584428.986312204</v>
      </c>
      <c r="K297" s="1569"/>
      <c r="L297" s="1569"/>
      <c r="M297" s="1569"/>
      <c r="N297" s="1569"/>
    </row>
    <row r="298" spans="1:61" s="1375" customFormat="1">
      <c r="A298" s="1371"/>
      <c r="B298" s="1371"/>
      <c r="C298" s="2166" t="s">
        <v>1065</v>
      </c>
      <c r="D298" s="2186"/>
      <c r="E298" s="2167"/>
      <c r="F298" s="2186"/>
      <c r="G298" s="2186"/>
      <c r="H298" s="2186"/>
      <c r="I298" s="2168"/>
      <c r="J298" s="1634"/>
      <c r="K298" s="1635"/>
      <c r="L298" s="1635"/>
      <c r="M298" s="1635"/>
      <c r="N298" s="1635"/>
      <c r="O298" s="1608"/>
      <c r="P298" s="1608"/>
      <c r="Q298" s="1608"/>
      <c r="R298" s="1608"/>
      <c r="S298" s="1608"/>
      <c r="T298" s="1608"/>
      <c r="U298" s="1608"/>
      <c r="V298" s="1608"/>
      <c r="W298" s="1608"/>
      <c r="X298" s="1608"/>
      <c r="Y298" s="1608"/>
      <c r="Z298" s="1608"/>
      <c r="AA298" s="1608"/>
      <c r="AB298" s="1608"/>
      <c r="AC298" s="1608"/>
      <c r="AD298" s="1608"/>
      <c r="AE298" s="1608"/>
      <c r="AF298" s="1608"/>
      <c r="AG298" s="1608"/>
      <c r="AH298" s="1608"/>
      <c r="AI298" s="1608"/>
      <c r="AJ298" s="1608"/>
      <c r="AK298" s="1608"/>
      <c r="AL298" s="1425"/>
      <c r="AM298" s="1425"/>
      <c r="AN298" s="1425"/>
      <c r="AO298" s="1425"/>
      <c r="AP298" s="1425"/>
      <c r="AQ298" s="1425"/>
      <c r="AR298" s="1425"/>
      <c r="AS298" s="1425"/>
      <c r="AT298" s="1425"/>
      <c r="AU298" s="1425"/>
      <c r="AV298" s="1425"/>
      <c r="AW298" s="1425"/>
      <c r="AX298" s="1425"/>
      <c r="AY298" s="1425"/>
      <c r="AZ298" s="1425"/>
      <c r="BA298" s="1425"/>
      <c r="BB298" s="1425"/>
      <c r="BC298" s="1425"/>
      <c r="BD298" s="1425"/>
      <c r="BE298" s="1425"/>
      <c r="BF298" s="1425"/>
      <c r="BG298" s="1425"/>
      <c r="BH298" s="1425"/>
      <c r="BI298" s="1425"/>
    </row>
    <row r="299" spans="1:61">
      <c r="C299" s="2169" t="s">
        <v>1546</v>
      </c>
      <c r="D299" s="2170"/>
      <c r="E299" s="2170"/>
      <c r="F299" s="2170"/>
      <c r="G299" s="2170"/>
      <c r="H299" s="2170"/>
      <c r="I299" s="2171"/>
      <c r="J299" s="1623"/>
      <c r="K299" s="1624"/>
      <c r="L299" s="1624"/>
      <c r="M299" s="1624"/>
      <c r="N299" s="1624"/>
    </row>
    <row r="300" spans="1:61">
      <c r="C300" s="1426" t="s">
        <v>402</v>
      </c>
      <c r="D300" s="78"/>
      <c r="E300" s="1869"/>
      <c r="F300" s="78"/>
      <c r="G300" s="1427"/>
      <c r="H300" s="15" t="s">
        <v>1067</v>
      </c>
      <c r="I300" s="15" t="s">
        <v>1068</v>
      </c>
      <c r="J300" s="1558"/>
      <c r="K300" s="1559"/>
      <c r="L300" s="1559"/>
      <c r="M300" s="1559"/>
      <c r="N300" s="1560"/>
    </row>
    <row r="301" spans="1:61" ht="22.5" customHeight="1">
      <c r="C301" s="52"/>
      <c r="D301" s="79"/>
      <c r="E301" s="1844"/>
      <c r="F301" s="79"/>
      <c r="G301" s="1428"/>
      <c r="H301" s="56" t="str">
        <f>+H5</f>
        <v>March 31, 2022 (₹)</v>
      </c>
      <c r="I301" s="56" t="s">
        <v>1069</v>
      </c>
      <c r="J301" s="1561"/>
      <c r="K301" s="1562"/>
      <c r="L301" s="1562"/>
      <c r="M301" s="1562"/>
      <c r="N301" s="1562"/>
    </row>
    <row r="302" spans="1:61" s="1373" customFormat="1">
      <c r="A302" s="1371"/>
      <c r="B302" s="1371"/>
      <c r="C302" s="75"/>
      <c r="D302" s="44"/>
      <c r="E302" s="1838"/>
      <c r="F302" s="44"/>
      <c r="G302" s="1439"/>
      <c r="H302" s="94"/>
      <c r="I302" s="25"/>
      <c r="J302" s="1561"/>
      <c r="K302" s="1562"/>
      <c r="L302" s="1562"/>
      <c r="M302" s="1562"/>
      <c r="N302" s="1562"/>
      <c r="O302" s="1555"/>
      <c r="P302" s="1555"/>
      <c r="Q302" s="1555"/>
      <c r="R302" s="1555"/>
      <c r="S302" s="1555"/>
      <c r="T302" s="1555"/>
      <c r="U302" s="1555"/>
      <c r="V302" s="1555"/>
      <c r="W302" s="1555"/>
      <c r="X302" s="1555"/>
      <c r="Y302" s="1555"/>
      <c r="Z302" s="1555"/>
      <c r="AA302" s="1555"/>
      <c r="AB302" s="1555"/>
      <c r="AC302" s="1555"/>
      <c r="AD302" s="1555"/>
      <c r="AE302" s="1555"/>
      <c r="AF302" s="1555"/>
      <c r="AG302" s="1555"/>
      <c r="AH302" s="1555"/>
      <c r="AI302" s="1555"/>
      <c r="AJ302" s="1555"/>
      <c r="AK302" s="1555"/>
    </row>
    <row r="303" spans="1:61" s="1373" customFormat="1">
      <c r="A303" s="1371"/>
      <c r="B303" s="1371"/>
      <c r="C303" s="95" t="s">
        <v>1209</v>
      </c>
      <c r="D303" s="96"/>
      <c r="E303" s="1848"/>
      <c r="F303" s="1941"/>
      <c r="G303" s="1439"/>
      <c r="H303" s="115"/>
      <c r="I303" s="49"/>
      <c r="J303" s="1561"/>
      <c r="K303" s="1582"/>
      <c r="L303" s="1582"/>
      <c r="M303" s="1582"/>
      <c r="N303" s="1633"/>
      <c r="O303" s="1555"/>
      <c r="P303" s="1555"/>
      <c r="Q303" s="1555"/>
      <c r="R303" s="1555"/>
      <c r="S303" s="1555"/>
      <c r="T303" s="1555"/>
      <c r="U303" s="1555"/>
      <c r="V303" s="1555"/>
      <c r="W303" s="1555"/>
      <c r="X303" s="1555"/>
      <c r="Y303" s="1555"/>
      <c r="Z303" s="1555"/>
      <c r="AA303" s="1555"/>
      <c r="AB303" s="1555"/>
      <c r="AC303" s="1555"/>
      <c r="AD303" s="1555"/>
      <c r="AE303" s="1555"/>
      <c r="AF303" s="1555"/>
      <c r="AG303" s="1555"/>
      <c r="AH303" s="1555"/>
      <c r="AI303" s="1555"/>
      <c r="AJ303" s="1555"/>
      <c r="AK303" s="1555"/>
    </row>
    <row r="304" spans="1:61" s="1373" customFormat="1">
      <c r="A304" s="1371"/>
      <c r="B304" s="1371"/>
      <c r="C304" s="104"/>
      <c r="D304" s="105"/>
      <c r="E304" s="1849"/>
      <c r="F304" s="105"/>
      <c r="G304" s="1372"/>
      <c r="H304" s="82"/>
      <c r="I304" s="40"/>
      <c r="J304" s="1566"/>
      <c r="K304" s="1578"/>
      <c r="L304" s="1578"/>
      <c r="M304" s="1578"/>
      <c r="N304" s="1579"/>
      <c r="O304" s="1555"/>
      <c r="P304" s="1555"/>
      <c r="Q304" s="1555"/>
      <c r="R304" s="1555"/>
      <c r="S304" s="1555"/>
      <c r="T304" s="1555"/>
      <c r="U304" s="1555"/>
      <c r="V304" s="1555"/>
      <c r="W304" s="1555"/>
      <c r="X304" s="1555"/>
      <c r="Y304" s="1555"/>
      <c r="Z304" s="1555"/>
      <c r="AA304" s="1555"/>
      <c r="AB304" s="1555"/>
      <c r="AC304" s="1555"/>
      <c r="AD304" s="1555"/>
      <c r="AE304" s="1555"/>
      <c r="AF304" s="1555"/>
      <c r="AG304" s="1555"/>
      <c r="AH304" s="1555"/>
      <c r="AI304" s="1555"/>
      <c r="AJ304" s="1555"/>
      <c r="AK304" s="1555"/>
    </row>
    <row r="305" spans="1:37" s="1373" customFormat="1">
      <c r="A305" s="1371"/>
      <c r="B305" s="1371"/>
      <c r="C305" s="116" t="s">
        <v>1210</v>
      </c>
      <c r="D305" s="117"/>
      <c r="E305" s="1851"/>
      <c r="F305" s="117"/>
      <c r="G305" s="1372"/>
      <c r="H305" s="82"/>
      <c r="I305" s="40"/>
      <c r="J305" s="1566"/>
      <c r="K305" s="1578"/>
      <c r="L305" s="1578"/>
      <c r="M305" s="1578"/>
      <c r="N305" s="1579"/>
      <c r="O305" s="1555"/>
      <c r="P305" s="1555"/>
      <c r="Q305" s="1555"/>
      <c r="R305" s="1555"/>
      <c r="S305" s="1555"/>
      <c r="T305" s="1555"/>
      <c r="U305" s="1555"/>
      <c r="V305" s="1555"/>
      <c r="W305" s="1555"/>
      <c r="X305" s="1555"/>
      <c r="Y305" s="1555"/>
      <c r="Z305" s="1555"/>
      <c r="AA305" s="1555"/>
      <c r="AB305" s="1555"/>
      <c r="AC305" s="1555"/>
      <c r="AD305" s="1555"/>
      <c r="AE305" s="1555"/>
      <c r="AF305" s="1555"/>
      <c r="AG305" s="1555"/>
      <c r="AH305" s="1555"/>
      <c r="AI305" s="1555"/>
      <c r="AJ305" s="1555"/>
      <c r="AK305" s="1555"/>
    </row>
    <row r="306" spans="1:37" s="1373" customFormat="1">
      <c r="A306" s="1371"/>
      <c r="B306" s="1371"/>
      <c r="C306" s="1449" t="s">
        <v>1211</v>
      </c>
      <c r="D306" s="1450"/>
      <c r="E306" s="1450"/>
      <c r="F306" s="1450"/>
      <c r="G306" s="1451"/>
      <c r="H306" s="118">
        <v>35000000</v>
      </c>
      <c r="I306" s="118">
        <v>35000000</v>
      </c>
      <c r="J306" s="1566"/>
      <c r="K306" s="1554"/>
      <c r="L306" s="1554"/>
      <c r="M306" s="1554"/>
      <c r="N306" s="1554"/>
      <c r="O306" s="1555"/>
      <c r="P306" s="1555"/>
      <c r="Q306" s="1555"/>
      <c r="R306" s="1555"/>
      <c r="S306" s="1555"/>
      <c r="T306" s="1555"/>
      <c r="U306" s="1555"/>
      <c r="V306" s="1555"/>
      <c r="W306" s="1555"/>
      <c r="X306" s="1555"/>
      <c r="Y306" s="1555"/>
      <c r="Z306" s="1555"/>
      <c r="AA306" s="1555"/>
      <c r="AB306" s="1555"/>
      <c r="AC306" s="1555"/>
      <c r="AD306" s="1555"/>
      <c r="AE306" s="1555"/>
      <c r="AF306" s="1555"/>
      <c r="AG306" s="1555"/>
      <c r="AH306" s="1555"/>
      <c r="AI306" s="1555"/>
      <c r="AJ306" s="1555"/>
      <c r="AK306" s="1555"/>
    </row>
    <row r="307" spans="1:37" s="1373" customFormat="1" ht="19.5" thickBot="1">
      <c r="A307" s="1371"/>
      <c r="B307" s="1371"/>
      <c r="C307" s="1449"/>
      <c r="D307" s="1450"/>
      <c r="E307" s="1450"/>
      <c r="F307" s="1450"/>
      <c r="G307" s="1372"/>
      <c r="H307" s="119">
        <v>35000000</v>
      </c>
      <c r="I307" s="119">
        <v>35000000</v>
      </c>
      <c r="J307" s="1561"/>
      <c r="K307" s="1582"/>
      <c r="L307" s="1582"/>
      <c r="M307" s="1582"/>
      <c r="N307" s="1582"/>
      <c r="O307" s="1555"/>
      <c r="P307" s="1555"/>
      <c r="Q307" s="1555"/>
      <c r="R307" s="1555"/>
      <c r="S307" s="1555"/>
      <c r="T307" s="1555"/>
      <c r="U307" s="1555"/>
      <c r="V307" s="1555"/>
      <c r="W307" s="1555"/>
      <c r="X307" s="1555"/>
      <c r="Y307" s="1555"/>
      <c r="Z307" s="1555"/>
      <c r="AA307" s="1555"/>
      <c r="AB307" s="1555"/>
      <c r="AC307" s="1555"/>
      <c r="AD307" s="1555"/>
      <c r="AE307" s="1555"/>
      <c r="AF307" s="1555"/>
      <c r="AG307" s="1555"/>
      <c r="AH307" s="1555"/>
      <c r="AI307" s="1555"/>
      <c r="AJ307" s="1555"/>
      <c r="AK307" s="1555"/>
    </row>
    <row r="308" spans="1:37" s="1373" customFormat="1" ht="19.5" thickTop="1">
      <c r="A308" s="1371"/>
      <c r="B308" s="1371"/>
      <c r="C308" s="1452" t="s">
        <v>1212</v>
      </c>
      <c r="D308" s="1453"/>
      <c r="E308" s="1453"/>
      <c r="F308" s="1453"/>
      <c r="G308" s="1372"/>
      <c r="H308" s="82"/>
      <c r="I308" s="82"/>
      <c r="J308" s="1566"/>
      <c r="K308" s="1578"/>
      <c r="L308" s="1578"/>
      <c r="M308" s="1578"/>
      <c r="N308" s="1579"/>
      <c r="O308" s="1555"/>
      <c r="P308" s="1555"/>
      <c r="Q308" s="1555"/>
      <c r="R308" s="1555"/>
      <c r="S308" s="1555"/>
      <c r="T308" s="1555"/>
      <c r="U308" s="1555"/>
      <c r="V308" s="1555"/>
      <c r="W308" s="1555"/>
      <c r="X308" s="1555"/>
      <c r="Y308" s="1555"/>
      <c r="Z308" s="1555"/>
      <c r="AA308" s="1555"/>
      <c r="AB308" s="1555"/>
      <c r="AC308" s="1555"/>
      <c r="AD308" s="1555"/>
      <c r="AE308" s="1555"/>
      <c r="AF308" s="1555"/>
      <c r="AG308" s="1555"/>
      <c r="AH308" s="1555"/>
      <c r="AI308" s="1555"/>
      <c r="AJ308" s="1555"/>
      <c r="AK308" s="1555"/>
    </row>
    <row r="309" spans="1:37" s="1373" customFormat="1">
      <c r="A309" s="1371"/>
      <c r="B309" s="1371"/>
      <c r="C309" s="2212" t="s">
        <v>1213</v>
      </c>
      <c r="D309" s="2213"/>
      <c r="E309" s="2213"/>
      <c r="F309" s="2213"/>
      <c r="G309" s="2213"/>
      <c r="H309" s="82">
        <v>26922650</v>
      </c>
      <c r="I309" s="40">
        <v>26922650</v>
      </c>
      <c r="J309" s="1566"/>
      <c r="K309" s="1578"/>
      <c r="L309" s="1578"/>
      <c r="M309" s="1578"/>
      <c r="N309" s="1578"/>
      <c r="O309" s="1555"/>
      <c r="P309" s="1555"/>
      <c r="Q309" s="1555"/>
      <c r="R309" s="1555"/>
      <c r="S309" s="1555"/>
      <c r="T309" s="1555"/>
      <c r="U309" s="1555"/>
      <c r="V309" s="1555"/>
      <c r="W309" s="1555"/>
      <c r="X309" s="1555"/>
      <c r="Y309" s="1555"/>
      <c r="Z309" s="1555"/>
      <c r="AA309" s="1555"/>
      <c r="AB309" s="1555"/>
      <c r="AC309" s="1555"/>
      <c r="AD309" s="1555"/>
      <c r="AE309" s="1555"/>
      <c r="AF309" s="1555"/>
      <c r="AG309" s="1555"/>
      <c r="AH309" s="1555"/>
      <c r="AI309" s="1555"/>
      <c r="AJ309" s="1555"/>
      <c r="AK309" s="1555"/>
    </row>
    <row r="310" spans="1:37" s="1373" customFormat="1">
      <c r="A310" s="1371"/>
      <c r="B310" s="1371"/>
      <c r="C310" s="2212"/>
      <c r="D310" s="2213"/>
      <c r="E310" s="2213"/>
      <c r="F310" s="2213"/>
      <c r="G310" s="2213"/>
      <c r="H310" s="120"/>
      <c r="I310" s="40"/>
      <c r="J310" s="1566"/>
      <c r="K310" s="1578"/>
      <c r="L310" s="1578"/>
      <c r="M310" s="1578"/>
      <c r="N310" s="1579"/>
      <c r="O310" s="1555"/>
      <c r="P310" s="1555"/>
      <c r="Q310" s="1555"/>
      <c r="R310" s="1555"/>
      <c r="S310" s="1555"/>
      <c r="T310" s="1555"/>
      <c r="U310" s="1555"/>
      <c r="V310" s="1555"/>
      <c r="W310" s="1555"/>
      <c r="X310" s="1555"/>
      <c r="Y310" s="1555"/>
      <c r="Z310" s="1555"/>
      <c r="AA310" s="1555"/>
      <c r="AB310" s="1555"/>
      <c r="AC310" s="1555"/>
      <c r="AD310" s="1555"/>
      <c r="AE310" s="1555"/>
      <c r="AF310" s="1555"/>
      <c r="AG310" s="1555"/>
      <c r="AH310" s="1555"/>
      <c r="AI310" s="1555"/>
      <c r="AJ310" s="1555"/>
      <c r="AK310" s="1555"/>
    </row>
    <row r="311" spans="1:37" s="1373" customFormat="1" ht="19.5" thickBot="1">
      <c r="A311" s="1371"/>
      <c r="B311" s="1371"/>
      <c r="C311" s="104"/>
      <c r="D311" s="105"/>
      <c r="E311" s="1849"/>
      <c r="F311" s="105"/>
      <c r="G311" s="1372"/>
      <c r="H311" s="103">
        <v>26922650</v>
      </c>
      <c r="I311" s="103">
        <v>26922650</v>
      </c>
      <c r="J311" s="1561"/>
      <c r="K311" s="1569"/>
      <c r="L311" s="1569"/>
      <c r="M311" s="1569"/>
      <c r="N311" s="1569"/>
      <c r="O311" s="1555"/>
      <c r="P311" s="1555"/>
      <c r="Q311" s="1555"/>
      <c r="R311" s="1555"/>
      <c r="S311" s="1555"/>
      <c r="T311" s="1555"/>
      <c r="U311" s="1555"/>
      <c r="V311" s="1555"/>
      <c r="W311" s="1555"/>
      <c r="X311" s="1555"/>
      <c r="Y311" s="1555"/>
      <c r="Z311" s="1555"/>
      <c r="AA311" s="1555"/>
      <c r="AB311" s="1555"/>
      <c r="AC311" s="1555"/>
      <c r="AD311" s="1555"/>
      <c r="AE311" s="1555"/>
      <c r="AF311" s="1555"/>
      <c r="AG311" s="1555"/>
      <c r="AH311" s="1555"/>
      <c r="AI311" s="1555"/>
      <c r="AJ311" s="1555"/>
      <c r="AK311" s="1555"/>
    </row>
    <row r="312" spans="1:37" s="1373" customFormat="1" ht="19.5" thickTop="1">
      <c r="A312" s="1371"/>
      <c r="B312" s="1371"/>
      <c r="C312" s="1454" t="s">
        <v>1214</v>
      </c>
      <c r="D312" s="1450"/>
      <c r="E312" s="1450"/>
      <c r="F312" s="1450"/>
      <c r="G312" s="1372"/>
      <c r="H312" s="82"/>
      <c r="I312" s="40"/>
      <c r="J312" s="1566"/>
      <c r="K312" s="1578"/>
      <c r="L312" s="1578"/>
      <c r="M312" s="1578"/>
      <c r="N312" s="1579"/>
      <c r="O312" s="1555"/>
      <c r="P312" s="1555"/>
      <c r="Q312" s="1555"/>
      <c r="R312" s="1555"/>
      <c r="S312" s="1555"/>
      <c r="T312" s="1555"/>
      <c r="U312" s="1555"/>
      <c r="V312" s="1555"/>
      <c r="W312" s="1555"/>
      <c r="X312" s="1555"/>
      <c r="Y312" s="1555"/>
      <c r="Z312" s="1555"/>
      <c r="AA312" s="1555"/>
      <c r="AB312" s="1555"/>
      <c r="AC312" s="1555"/>
      <c r="AD312" s="1555"/>
      <c r="AE312" s="1555"/>
      <c r="AF312" s="1555"/>
      <c r="AG312" s="1555"/>
      <c r="AH312" s="1555"/>
      <c r="AI312" s="1555"/>
      <c r="AJ312" s="1555"/>
      <c r="AK312" s="1555"/>
    </row>
    <row r="313" spans="1:37" s="1373" customFormat="1">
      <c r="A313" s="1371"/>
      <c r="B313" s="1371"/>
      <c r="C313" s="2224" t="s">
        <v>1216</v>
      </c>
      <c r="D313" s="2225"/>
      <c r="E313" s="1893"/>
      <c r="F313" s="1427" t="s">
        <v>2528</v>
      </c>
      <c r="G313" s="1427" t="s">
        <v>1215</v>
      </c>
      <c r="H313" s="143"/>
      <c r="I313" s="122"/>
      <c r="J313" s="1566"/>
      <c r="K313" s="1578"/>
      <c r="L313" s="1578"/>
      <c r="M313" s="1578"/>
      <c r="N313" s="1579"/>
      <c r="O313" s="1555"/>
      <c r="P313" s="1555"/>
      <c r="Q313" s="1555"/>
      <c r="R313" s="1555"/>
      <c r="S313" s="1555"/>
      <c r="T313" s="1555"/>
      <c r="U313" s="1555"/>
      <c r="V313" s="1555"/>
      <c r="W313" s="1555"/>
      <c r="X313" s="1555"/>
      <c r="Y313" s="1555"/>
      <c r="Z313" s="1555"/>
      <c r="AA313" s="1555"/>
      <c r="AB313" s="1555"/>
      <c r="AC313" s="1555"/>
      <c r="AD313" s="1555"/>
      <c r="AE313" s="1555"/>
      <c r="AF313" s="1555"/>
      <c r="AG313" s="1555"/>
      <c r="AH313" s="1555"/>
      <c r="AI313" s="1555"/>
      <c r="AJ313" s="1555"/>
      <c r="AK313" s="1555"/>
    </row>
    <row r="314" spans="1:37" s="1373" customFormat="1">
      <c r="A314" s="1371"/>
      <c r="B314" s="1371"/>
      <c r="C314" s="2226"/>
      <c r="D314" s="2227"/>
      <c r="E314" s="1813"/>
      <c r="F314" s="1539" t="s">
        <v>1217</v>
      </c>
      <c r="G314" s="1539" t="s">
        <v>1217</v>
      </c>
      <c r="H314" s="1540" t="s">
        <v>1218</v>
      </c>
      <c r="I314" s="1540" t="s">
        <v>1218</v>
      </c>
      <c r="J314" s="1572"/>
      <c r="K314" s="1636"/>
      <c r="L314" s="1636"/>
      <c r="M314" s="1636"/>
      <c r="N314" s="1636"/>
      <c r="O314" s="1555"/>
      <c r="P314" s="1555"/>
      <c r="Q314" s="1555"/>
      <c r="R314" s="1555"/>
      <c r="S314" s="1555"/>
      <c r="T314" s="1555"/>
      <c r="U314" s="1555"/>
      <c r="V314" s="1555"/>
      <c r="W314" s="1555"/>
      <c r="X314" s="1555"/>
      <c r="Y314" s="1555"/>
      <c r="Z314" s="1555"/>
      <c r="AA314" s="1555"/>
      <c r="AB314" s="1555"/>
      <c r="AC314" s="1555"/>
      <c r="AD314" s="1555"/>
      <c r="AE314" s="1555"/>
      <c r="AF314" s="1555"/>
      <c r="AG314" s="1555"/>
      <c r="AH314" s="1555"/>
      <c r="AI314" s="1555"/>
      <c r="AJ314" s="1555"/>
      <c r="AK314" s="1555"/>
    </row>
    <row r="315" spans="1:37" s="1373" customFormat="1">
      <c r="A315" s="1371"/>
      <c r="B315" s="1371"/>
      <c r="C315" s="2228" t="s">
        <v>1219</v>
      </c>
      <c r="D315" s="2229"/>
      <c r="E315" s="1861"/>
      <c r="F315" s="1541">
        <v>9.9306717577950163</v>
      </c>
      <c r="G315" s="1541">
        <v>9.9306717577950163</v>
      </c>
      <c r="H315" s="82">
        <v>267360</v>
      </c>
      <c r="I315" s="82">
        <v>267360</v>
      </c>
      <c r="J315" s="1566"/>
      <c r="K315" s="1578"/>
      <c r="L315" s="1578"/>
      <c r="M315" s="1578"/>
      <c r="N315" s="1578"/>
      <c r="O315" s="1555"/>
      <c r="P315" s="1555"/>
      <c r="Q315" s="1555"/>
      <c r="R315" s="1555"/>
      <c r="S315" s="1555"/>
      <c r="T315" s="1555"/>
      <c r="U315" s="1555"/>
      <c r="V315" s="1555"/>
      <c r="W315" s="1555"/>
      <c r="X315" s="1555"/>
      <c r="Y315" s="1555"/>
      <c r="Z315" s="1555"/>
      <c r="AA315" s="1555"/>
      <c r="AB315" s="1555"/>
      <c r="AC315" s="1555"/>
      <c r="AD315" s="1555"/>
      <c r="AE315" s="1555"/>
      <c r="AF315" s="1555"/>
      <c r="AG315" s="1555"/>
      <c r="AH315" s="1555"/>
      <c r="AI315" s="1555"/>
      <c r="AJ315" s="1555"/>
      <c r="AK315" s="1555"/>
    </row>
    <row r="316" spans="1:37" s="1373" customFormat="1">
      <c r="A316" s="1371"/>
      <c r="B316" s="1371"/>
      <c r="C316" s="2228" t="s">
        <v>1220</v>
      </c>
      <c r="D316" s="2229"/>
      <c r="E316" s="1861"/>
      <c r="F316" s="1541">
        <v>8.9884000000000004</v>
      </c>
      <c r="G316" s="1541">
        <v>8.9884000000000004</v>
      </c>
      <c r="H316" s="22">
        <v>241995</v>
      </c>
      <c r="I316" s="22">
        <v>241995</v>
      </c>
      <c r="J316" s="1566"/>
      <c r="K316" s="1554"/>
      <c r="L316" s="1554"/>
      <c r="M316" s="1554"/>
      <c r="N316" s="1554"/>
      <c r="O316" s="1555"/>
      <c r="P316" s="1555"/>
      <c r="Q316" s="1555"/>
      <c r="R316" s="1555"/>
      <c r="S316" s="1555"/>
      <c r="T316" s="1555"/>
      <c r="U316" s="1555"/>
      <c r="V316" s="1555"/>
      <c r="W316" s="1555"/>
      <c r="X316" s="1555"/>
      <c r="Y316" s="1555"/>
      <c r="Z316" s="1555"/>
      <c r="AA316" s="1555"/>
      <c r="AB316" s="1555"/>
      <c r="AC316" s="1555"/>
      <c r="AD316" s="1555"/>
      <c r="AE316" s="1555"/>
      <c r="AF316" s="1555"/>
      <c r="AG316" s="1555"/>
      <c r="AH316" s="1555"/>
      <c r="AI316" s="1555"/>
      <c r="AJ316" s="1555"/>
      <c r="AK316" s="1555"/>
    </row>
    <row r="317" spans="1:37" s="1373" customFormat="1">
      <c r="A317" s="1371"/>
      <c r="B317" s="1371"/>
      <c r="C317" s="2228" t="s">
        <v>1221</v>
      </c>
      <c r="D317" s="2229"/>
      <c r="E317" s="1861"/>
      <c r="F317" s="1541">
        <v>8.4837488137311894</v>
      </c>
      <c r="G317" s="1541">
        <v>8.4837488137311894</v>
      </c>
      <c r="H317" s="82">
        <v>228405</v>
      </c>
      <c r="I317" s="82">
        <v>228405</v>
      </c>
      <c r="J317" s="1566"/>
      <c r="K317" s="1578"/>
      <c r="L317" s="1578"/>
      <c r="M317" s="1578"/>
      <c r="N317" s="1578"/>
      <c r="O317" s="1555"/>
      <c r="P317" s="1555"/>
      <c r="Q317" s="1555"/>
      <c r="R317" s="1555"/>
      <c r="S317" s="1555"/>
      <c r="T317" s="1555"/>
      <c r="U317" s="1555"/>
      <c r="V317" s="1555"/>
      <c r="W317" s="1555"/>
      <c r="X317" s="1555"/>
      <c r="Y317" s="1555"/>
      <c r="Z317" s="1555"/>
      <c r="AA317" s="1555"/>
      <c r="AB317" s="1555"/>
      <c r="AC317" s="1555"/>
      <c r="AD317" s="1555"/>
      <c r="AE317" s="1555"/>
      <c r="AF317" s="1555"/>
      <c r="AG317" s="1555"/>
      <c r="AH317" s="1555"/>
      <c r="AI317" s="1555"/>
      <c r="AJ317" s="1555"/>
      <c r="AK317" s="1555"/>
    </row>
    <row r="318" spans="1:37" s="1373" customFormat="1">
      <c r="A318" s="1371"/>
      <c r="B318" s="1371"/>
      <c r="C318" s="2228" t="s">
        <v>1222</v>
      </c>
      <c r="D318" s="2229"/>
      <c r="E318" s="1861"/>
      <c r="F318" s="1541">
        <v>6.9196382971215691</v>
      </c>
      <c r="G318" s="1541">
        <v>6.9196382971215691</v>
      </c>
      <c r="H318" s="82">
        <v>186295</v>
      </c>
      <c r="I318" s="82">
        <v>186295</v>
      </c>
      <c r="J318" s="1566"/>
      <c r="K318" s="1578"/>
      <c r="L318" s="1578"/>
      <c r="M318" s="1578"/>
      <c r="N318" s="1578"/>
      <c r="O318" s="1555"/>
      <c r="P318" s="1555"/>
      <c r="Q318" s="1555"/>
      <c r="R318" s="1555"/>
      <c r="S318" s="1555"/>
      <c r="T318" s="1555"/>
      <c r="U318" s="1555"/>
      <c r="V318" s="1555"/>
      <c r="W318" s="1555"/>
      <c r="X318" s="1555"/>
      <c r="Y318" s="1555"/>
      <c r="Z318" s="1555"/>
      <c r="AA318" s="1555"/>
      <c r="AB318" s="1555"/>
      <c r="AC318" s="1555"/>
      <c r="AD318" s="1555"/>
      <c r="AE318" s="1555"/>
      <c r="AF318" s="1555"/>
      <c r="AG318" s="1555"/>
      <c r="AH318" s="1555"/>
      <c r="AI318" s="1555"/>
      <c r="AJ318" s="1555"/>
      <c r="AK318" s="1555"/>
    </row>
    <row r="319" spans="1:37" s="1373" customFormat="1">
      <c r="A319" s="1371"/>
      <c r="B319" s="1371"/>
      <c r="C319" s="2228" t="s">
        <v>1223</v>
      </c>
      <c r="D319" s="2229"/>
      <c r="E319" s="1861"/>
      <c r="F319" s="1541">
        <v>5.6066174763628389</v>
      </c>
      <c r="G319" s="1541">
        <v>5.6066174763628389</v>
      </c>
      <c r="H319" s="82">
        <v>150945</v>
      </c>
      <c r="I319" s="82">
        <v>150945</v>
      </c>
      <c r="J319" s="1566"/>
      <c r="K319" s="1578"/>
      <c r="L319" s="1578"/>
      <c r="M319" s="1578"/>
      <c r="N319" s="1578"/>
      <c r="O319" s="1555"/>
      <c r="P319" s="1555"/>
      <c r="Q319" s="1555"/>
      <c r="R319" s="1555"/>
      <c r="S319" s="1555"/>
      <c r="T319" s="1555"/>
      <c r="U319" s="1555"/>
      <c r="V319" s="1555"/>
      <c r="W319" s="1555"/>
      <c r="X319" s="1555"/>
      <c r="Y319" s="1555"/>
      <c r="Z319" s="1555"/>
      <c r="AA319" s="1555"/>
      <c r="AB319" s="1555"/>
      <c r="AC319" s="1555"/>
      <c r="AD319" s="1555"/>
      <c r="AE319" s="1555"/>
      <c r="AF319" s="1555"/>
      <c r="AG319" s="1555"/>
      <c r="AH319" s="1555"/>
      <c r="AI319" s="1555"/>
      <c r="AJ319" s="1555"/>
      <c r="AK319" s="1555"/>
    </row>
    <row r="320" spans="1:37" s="1373" customFormat="1">
      <c r="A320" s="1371"/>
      <c r="B320" s="1371"/>
      <c r="C320" s="2230" t="s">
        <v>1224</v>
      </c>
      <c r="D320" s="2231"/>
      <c r="E320" s="1814"/>
      <c r="F320" s="1542">
        <v>5.09</v>
      </c>
      <c r="G320" s="1542">
        <v>5.09</v>
      </c>
      <c r="H320" s="111">
        <v>137078</v>
      </c>
      <c r="I320" s="111">
        <v>137078</v>
      </c>
      <c r="J320" s="1566"/>
      <c r="K320" s="1578"/>
      <c r="L320" s="1578"/>
      <c r="M320" s="1578"/>
      <c r="N320" s="1578"/>
      <c r="O320" s="1555"/>
      <c r="P320" s="1555"/>
      <c r="Q320" s="1555"/>
      <c r="R320" s="1555"/>
      <c r="S320" s="1555"/>
      <c r="T320" s="1555"/>
      <c r="U320" s="1555"/>
      <c r="V320" s="1555"/>
      <c r="W320" s="1555"/>
      <c r="X320" s="1555"/>
      <c r="Y320" s="1555"/>
      <c r="Z320" s="1555"/>
      <c r="AA320" s="1555"/>
      <c r="AB320" s="1555"/>
      <c r="AC320" s="1555"/>
      <c r="AD320" s="1555"/>
      <c r="AE320" s="1555"/>
      <c r="AF320" s="1555"/>
      <c r="AG320" s="1555"/>
      <c r="AH320" s="1555"/>
      <c r="AI320" s="1555"/>
      <c r="AJ320" s="1555"/>
      <c r="AK320" s="1555"/>
    </row>
    <row r="321" spans="1:37" s="1373" customFormat="1">
      <c r="A321" s="1371"/>
      <c r="B321" s="1371"/>
      <c r="C321" s="104"/>
      <c r="D321" s="1372"/>
      <c r="E321" s="1372"/>
      <c r="F321" s="1372"/>
      <c r="G321" s="1372"/>
      <c r="H321" s="82"/>
      <c r="I321" s="82"/>
      <c r="J321" s="1566"/>
      <c r="K321" s="1578"/>
      <c r="L321" s="1578"/>
      <c r="M321" s="1578"/>
      <c r="N321" s="1579"/>
      <c r="O321" s="1555"/>
      <c r="P321" s="1555"/>
      <c r="Q321" s="1555"/>
      <c r="R321" s="1555"/>
      <c r="S321" s="1555"/>
      <c r="T321" s="1555"/>
      <c r="U321" s="1555"/>
      <c r="V321" s="1555"/>
      <c r="W321" s="1555"/>
      <c r="X321" s="1555"/>
      <c r="Y321" s="1555"/>
      <c r="Z321" s="1555"/>
      <c r="AA321" s="1555"/>
      <c r="AB321" s="1555"/>
      <c r="AC321" s="1555"/>
      <c r="AD321" s="1555"/>
      <c r="AE321" s="1555"/>
      <c r="AF321" s="1555"/>
      <c r="AG321" s="1555"/>
      <c r="AH321" s="1555"/>
      <c r="AI321" s="1555"/>
      <c r="AJ321" s="1555"/>
      <c r="AK321" s="1555"/>
    </row>
    <row r="322" spans="1:37" s="1373" customFormat="1">
      <c r="A322" s="1371"/>
      <c r="B322" s="1371"/>
      <c r="C322" s="104"/>
      <c r="D322" s="1372"/>
      <c r="E322" s="1372"/>
      <c r="F322" s="1372"/>
      <c r="G322" s="1372"/>
      <c r="H322" s="82"/>
      <c r="I322" s="82"/>
      <c r="J322" s="1566"/>
      <c r="K322" s="1578"/>
      <c r="L322" s="1578"/>
      <c r="M322" s="1578"/>
      <c r="N322" s="1579"/>
      <c r="O322" s="1555"/>
      <c r="P322" s="1555"/>
      <c r="Q322" s="1555"/>
      <c r="R322" s="1555"/>
      <c r="S322" s="1555"/>
      <c r="T322" s="1555"/>
      <c r="U322" s="1555"/>
      <c r="V322" s="1555"/>
      <c r="W322" s="1555"/>
      <c r="X322" s="1555"/>
      <c r="Y322" s="1555"/>
      <c r="Z322" s="1555"/>
      <c r="AA322" s="1555"/>
      <c r="AB322" s="1555"/>
      <c r="AC322" s="1555"/>
      <c r="AD322" s="1555"/>
      <c r="AE322" s="1555"/>
      <c r="AF322" s="1555"/>
      <c r="AG322" s="1555"/>
      <c r="AH322" s="1555"/>
      <c r="AI322" s="1555"/>
      <c r="AJ322" s="1555"/>
      <c r="AK322" s="1555"/>
    </row>
    <row r="323" spans="1:37" s="1373" customFormat="1">
      <c r="A323" s="1371"/>
      <c r="B323" s="1371"/>
      <c r="C323" s="2214" t="s">
        <v>1225</v>
      </c>
      <c r="D323" s="2215"/>
      <c r="E323" s="2215"/>
      <c r="F323" s="2215"/>
      <c r="G323" s="2215"/>
      <c r="H323" s="123"/>
      <c r="I323" s="109"/>
      <c r="J323" s="1625"/>
      <c r="K323" s="1625"/>
      <c r="L323" s="1625"/>
      <c r="M323" s="1625"/>
      <c r="N323" s="1637"/>
      <c r="O323" s="1555"/>
      <c r="P323" s="1555"/>
      <c r="Q323" s="1555"/>
      <c r="R323" s="1555"/>
      <c r="S323" s="1555"/>
      <c r="T323" s="1555"/>
      <c r="U323" s="1555"/>
      <c r="V323" s="1555"/>
      <c r="W323" s="1555"/>
      <c r="X323" s="1555"/>
      <c r="Y323" s="1555"/>
      <c r="Z323" s="1555"/>
      <c r="AA323" s="1555"/>
      <c r="AB323" s="1555"/>
      <c r="AC323" s="1555"/>
      <c r="AD323" s="1555"/>
      <c r="AE323" s="1555"/>
      <c r="AF323" s="1555"/>
      <c r="AG323" s="1555"/>
      <c r="AH323" s="1555"/>
      <c r="AI323" s="1555"/>
      <c r="AJ323" s="1555"/>
      <c r="AK323" s="1555"/>
    </row>
    <row r="324" spans="1:37" s="1373" customFormat="1">
      <c r="A324" s="1371"/>
      <c r="B324" s="1371"/>
      <c r="C324" s="74" t="s">
        <v>402</v>
      </c>
      <c r="D324" s="1372"/>
      <c r="E324" s="1372"/>
      <c r="F324" s="1372"/>
      <c r="G324" s="1372"/>
      <c r="H324" s="121" t="s">
        <v>1218</v>
      </c>
      <c r="I324" s="121" t="s">
        <v>1218</v>
      </c>
      <c r="J324" s="1572"/>
      <c r="K324" s="1636"/>
      <c r="L324" s="1636"/>
      <c r="M324" s="1636"/>
      <c r="N324" s="1636"/>
      <c r="O324" s="1555"/>
      <c r="P324" s="1555"/>
      <c r="Q324" s="1555"/>
      <c r="R324" s="1555"/>
      <c r="S324" s="1555"/>
      <c r="T324" s="1555"/>
      <c r="U324" s="1555"/>
      <c r="V324" s="1555"/>
      <c r="W324" s="1555"/>
      <c r="X324" s="1555"/>
      <c r="Y324" s="1555"/>
      <c r="Z324" s="1555"/>
      <c r="AA324" s="1555"/>
      <c r="AB324" s="1555"/>
      <c r="AC324" s="1555"/>
      <c r="AD324" s="1555"/>
      <c r="AE324" s="1555"/>
      <c r="AF324" s="1555"/>
      <c r="AG324" s="1555"/>
      <c r="AH324" s="1555"/>
      <c r="AI324" s="1555"/>
      <c r="AJ324" s="1555"/>
      <c r="AK324" s="1555"/>
    </row>
    <row r="325" spans="1:37" s="1373" customFormat="1">
      <c r="A325" s="1371"/>
      <c r="B325" s="1371"/>
      <c r="C325" s="75" t="s">
        <v>1226</v>
      </c>
      <c r="D325" s="1372"/>
      <c r="E325" s="1372"/>
      <c r="F325" s="1372"/>
      <c r="G325" s="1372"/>
      <c r="H325" s="82">
        <v>2692265</v>
      </c>
      <c r="I325" s="82">
        <v>2692265</v>
      </c>
      <c r="J325" s="1566"/>
      <c r="K325" s="1578"/>
      <c r="L325" s="1578"/>
      <c r="M325" s="1578"/>
      <c r="N325" s="1578"/>
      <c r="O325" s="1555"/>
      <c r="P325" s="1555"/>
      <c r="Q325" s="1555"/>
      <c r="R325" s="1555"/>
      <c r="S325" s="1555"/>
      <c r="T325" s="1555"/>
      <c r="U325" s="1555"/>
      <c r="V325" s="1555"/>
      <c r="W325" s="1555"/>
      <c r="X325" s="1555"/>
      <c r="Y325" s="1555"/>
      <c r="Z325" s="1555"/>
      <c r="AA325" s="1555"/>
      <c r="AB325" s="1555"/>
      <c r="AC325" s="1555"/>
      <c r="AD325" s="1555"/>
      <c r="AE325" s="1555"/>
      <c r="AF325" s="1555"/>
      <c r="AG325" s="1555"/>
      <c r="AH325" s="1555"/>
      <c r="AI325" s="1555"/>
      <c r="AJ325" s="1555"/>
      <c r="AK325" s="1555"/>
    </row>
    <row r="326" spans="1:37" s="1373" customFormat="1">
      <c r="A326" s="1371"/>
      <c r="B326" s="1371"/>
      <c r="C326" s="75" t="s">
        <v>1227</v>
      </c>
      <c r="D326" s="1372"/>
      <c r="E326" s="1372"/>
      <c r="F326" s="1372"/>
      <c r="G326" s="1372"/>
      <c r="H326" s="118">
        <v>0</v>
      </c>
      <c r="I326" s="118">
        <v>0</v>
      </c>
      <c r="J326" s="1566"/>
      <c r="K326" s="1554"/>
      <c r="L326" s="1554"/>
      <c r="M326" s="1554"/>
      <c r="N326" s="1554"/>
      <c r="O326" s="1555"/>
      <c r="P326" s="1555"/>
      <c r="Q326" s="1555"/>
      <c r="R326" s="1555"/>
      <c r="S326" s="1555"/>
      <c r="T326" s="1555"/>
      <c r="U326" s="1555"/>
      <c r="V326" s="1555"/>
      <c r="W326" s="1555"/>
      <c r="X326" s="1555"/>
      <c r="Y326" s="1555"/>
      <c r="Z326" s="1555"/>
      <c r="AA326" s="1555"/>
      <c r="AB326" s="1555"/>
      <c r="AC326" s="1555"/>
      <c r="AD326" s="1555"/>
      <c r="AE326" s="1555"/>
      <c r="AF326" s="1555"/>
      <c r="AG326" s="1555"/>
      <c r="AH326" s="1555"/>
      <c r="AI326" s="1555"/>
      <c r="AJ326" s="1555"/>
      <c r="AK326" s="1555"/>
    </row>
    <row r="327" spans="1:37" s="1373" customFormat="1">
      <c r="A327" s="1371"/>
      <c r="B327" s="1371"/>
      <c r="C327" s="52" t="s">
        <v>1228</v>
      </c>
      <c r="D327" s="1404"/>
      <c r="E327" s="1404"/>
      <c r="F327" s="1404"/>
      <c r="G327" s="1404"/>
      <c r="H327" s="23">
        <v>2692265</v>
      </c>
      <c r="I327" s="23">
        <v>2692265</v>
      </c>
      <c r="J327" s="1561"/>
      <c r="K327" s="1569"/>
      <c r="L327" s="1569"/>
      <c r="M327" s="1569"/>
      <c r="N327" s="1569"/>
      <c r="O327" s="1555"/>
      <c r="P327" s="1555"/>
      <c r="Q327" s="1555"/>
      <c r="R327" s="1555"/>
      <c r="S327" s="1555"/>
      <c r="T327" s="1555"/>
      <c r="U327" s="1555"/>
      <c r="V327" s="1555"/>
      <c r="W327" s="1555"/>
      <c r="X327" s="1555"/>
      <c r="Y327" s="1555"/>
      <c r="Z327" s="1555"/>
      <c r="AA327" s="1555"/>
      <c r="AB327" s="1555"/>
      <c r="AC327" s="1555"/>
      <c r="AD327" s="1555"/>
      <c r="AE327" s="1555"/>
      <c r="AF327" s="1555"/>
      <c r="AG327" s="1555"/>
      <c r="AH327" s="1555"/>
      <c r="AI327" s="1555"/>
      <c r="AJ327" s="1555"/>
      <c r="AK327" s="1555"/>
    </row>
    <row r="328" spans="1:37" s="1373" customFormat="1">
      <c r="A328" s="1371"/>
      <c r="B328" s="1371"/>
      <c r="C328" s="1533"/>
      <c r="D328" s="1474"/>
      <c r="E328" s="1894"/>
      <c r="F328" s="1474"/>
      <c r="G328" s="1474"/>
      <c r="H328" s="1534"/>
      <c r="I328" s="192"/>
      <c r="J328" s="1566"/>
      <c r="K328" s="1578"/>
      <c r="L328" s="1578"/>
      <c r="M328" s="1578"/>
      <c r="N328" s="1579"/>
      <c r="O328" s="1555"/>
      <c r="P328" s="1555"/>
      <c r="Q328" s="1555"/>
      <c r="R328" s="1555"/>
      <c r="S328" s="1555"/>
      <c r="T328" s="1555"/>
      <c r="U328" s="1555"/>
      <c r="V328" s="1555"/>
      <c r="W328" s="1555"/>
      <c r="X328" s="1555"/>
      <c r="Y328" s="1555"/>
      <c r="Z328" s="1555"/>
      <c r="AA328" s="1555"/>
      <c r="AB328" s="1555"/>
      <c r="AC328" s="1555"/>
      <c r="AD328" s="1555"/>
      <c r="AE328" s="1555"/>
      <c r="AF328" s="1555"/>
      <c r="AG328" s="1555"/>
      <c r="AH328" s="1555"/>
      <c r="AI328" s="1555"/>
      <c r="AJ328" s="1555"/>
      <c r="AK328" s="1555"/>
    </row>
    <row r="329" spans="1:37" s="1373" customFormat="1" ht="18.75" customHeight="1">
      <c r="A329" s="1371"/>
      <c r="B329" s="1371"/>
      <c r="C329" s="2218" t="s">
        <v>3394</v>
      </c>
      <c r="D329" s="2219"/>
      <c r="E329" s="2219"/>
      <c r="F329" s="2219"/>
      <c r="G329" s="2219"/>
      <c r="H329" s="2219"/>
      <c r="I329" s="2220"/>
      <c r="J329" s="1638"/>
      <c r="K329" s="1639"/>
      <c r="L329" s="1639"/>
      <c r="M329" s="1639"/>
      <c r="N329" s="1640"/>
      <c r="O329" s="1555"/>
      <c r="P329" s="1555"/>
      <c r="Q329" s="1555"/>
      <c r="R329" s="1555"/>
      <c r="S329" s="1555"/>
      <c r="T329" s="1555"/>
      <c r="U329" s="1555"/>
      <c r="V329" s="1555"/>
      <c r="W329" s="1555"/>
      <c r="X329" s="1555"/>
      <c r="Y329" s="1555"/>
      <c r="Z329" s="1555"/>
      <c r="AA329" s="1555"/>
      <c r="AB329" s="1555"/>
      <c r="AC329" s="1555"/>
      <c r="AD329" s="1555"/>
      <c r="AE329" s="1555"/>
      <c r="AF329" s="1555"/>
      <c r="AG329" s="1555"/>
      <c r="AH329" s="1555"/>
      <c r="AI329" s="1555"/>
      <c r="AJ329" s="1555"/>
      <c r="AK329" s="1555"/>
    </row>
    <row r="330" spans="1:37" s="1373" customFormat="1">
      <c r="A330" s="1371"/>
      <c r="B330" s="1371"/>
      <c r="C330" s="1529"/>
      <c r="D330" s="1530"/>
      <c r="E330" s="1530"/>
      <c r="F330" s="1530"/>
      <c r="G330" s="1530"/>
      <c r="H330" s="212"/>
      <c r="I330" s="1535"/>
      <c r="J330" s="1638"/>
      <c r="K330" s="1639"/>
      <c r="L330" s="1639"/>
      <c r="M330" s="1639"/>
      <c r="N330" s="1640"/>
      <c r="O330" s="1555"/>
      <c r="P330" s="1555"/>
      <c r="Q330" s="1555"/>
      <c r="R330" s="1555"/>
      <c r="S330" s="1555"/>
      <c r="T330" s="1555"/>
      <c r="U330" s="1555"/>
      <c r="V330" s="1555"/>
      <c r="W330" s="1555"/>
      <c r="X330" s="1555"/>
      <c r="Y330" s="1555"/>
      <c r="Z330" s="1555"/>
      <c r="AA330" s="1555"/>
      <c r="AB330" s="1555"/>
      <c r="AC330" s="1555"/>
      <c r="AD330" s="1555"/>
      <c r="AE330" s="1555"/>
      <c r="AF330" s="1555"/>
      <c r="AG330" s="1555"/>
      <c r="AH330" s="1555"/>
      <c r="AI330" s="1555"/>
      <c r="AJ330" s="1555"/>
      <c r="AK330" s="1555"/>
    </row>
    <row r="331" spans="1:37" s="1373" customFormat="1">
      <c r="A331" s="1371"/>
      <c r="B331" s="1371"/>
      <c r="C331" s="2216" t="s">
        <v>1229</v>
      </c>
      <c r="D331" s="2217"/>
      <c r="E331" s="2217"/>
      <c r="F331" s="2217"/>
      <c r="G331" s="2217"/>
      <c r="H331" s="213"/>
      <c r="I331" s="1536"/>
      <c r="J331" s="1638"/>
      <c r="K331" s="1638"/>
      <c r="L331" s="1638"/>
      <c r="M331" s="1638"/>
      <c r="N331" s="1641"/>
      <c r="O331" s="1555"/>
      <c r="P331" s="1555"/>
      <c r="Q331" s="1555"/>
      <c r="R331" s="1555"/>
      <c r="S331" s="1555"/>
      <c r="T331" s="1555"/>
      <c r="U331" s="1555"/>
      <c r="V331" s="1555"/>
      <c r="W331" s="1555"/>
      <c r="X331" s="1555"/>
      <c r="Y331" s="1555"/>
      <c r="Z331" s="1555"/>
      <c r="AA331" s="1555"/>
      <c r="AB331" s="1555"/>
      <c r="AC331" s="1555"/>
      <c r="AD331" s="1555"/>
      <c r="AE331" s="1555"/>
      <c r="AF331" s="1555"/>
      <c r="AG331" s="1555"/>
      <c r="AH331" s="1555"/>
      <c r="AI331" s="1555"/>
      <c r="AJ331" s="1555"/>
      <c r="AK331" s="1555"/>
    </row>
    <row r="332" spans="1:37" s="1373" customFormat="1">
      <c r="A332" s="1371"/>
      <c r="B332" s="1371"/>
      <c r="C332" s="124" t="s">
        <v>1230</v>
      </c>
      <c r="D332" s="1397"/>
      <c r="E332" s="1397"/>
      <c r="F332" s="1397"/>
      <c r="G332" s="1397"/>
      <c r="H332" s="39"/>
      <c r="I332" s="40"/>
      <c r="J332" s="1566"/>
      <c r="K332" s="1578"/>
      <c r="L332" s="1578"/>
      <c r="M332" s="1578"/>
      <c r="N332" s="1579"/>
      <c r="O332" s="1555"/>
      <c r="P332" s="1555"/>
      <c r="Q332" s="1555"/>
      <c r="R332" s="1555"/>
      <c r="S332" s="1555"/>
      <c r="T332" s="1555"/>
      <c r="U332" s="1555"/>
      <c r="V332" s="1555"/>
      <c r="W332" s="1555"/>
      <c r="X332" s="1555"/>
      <c r="Y332" s="1555"/>
      <c r="Z332" s="1555"/>
      <c r="AA332" s="1555"/>
      <c r="AB332" s="1555"/>
      <c r="AC332" s="1555"/>
      <c r="AD332" s="1555"/>
      <c r="AE332" s="1555"/>
      <c r="AF332" s="1555"/>
      <c r="AG332" s="1555"/>
      <c r="AH332" s="1555"/>
      <c r="AI332" s="1555"/>
      <c r="AJ332" s="1555"/>
      <c r="AK332" s="1555"/>
    </row>
    <row r="333" spans="1:37" s="1373" customFormat="1" ht="18.75" customHeight="1">
      <c r="A333" s="1371"/>
      <c r="B333" s="1371"/>
      <c r="C333" s="2221" t="s">
        <v>1231</v>
      </c>
      <c r="D333" s="2222"/>
      <c r="E333" s="2222"/>
      <c r="F333" s="2222"/>
      <c r="G333" s="2222"/>
      <c r="H333" s="2222"/>
      <c r="I333" s="2223"/>
      <c r="J333" s="1625"/>
      <c r="K333" s="1626"/>
      <c r="L333" s="1626"/>
      <c r="M333" s="1626"/>
      <c r="N333" s="1642"/>
      <c r="O333" s="1555"/>
      <c r="P333" s="1555"/>
      <c r="Q333" s="1555"/>
      <c r="R333" s="1555"/>
      <c r="S333" s="1555"/>
      <c r="T333" s="1555"/>
      <c r="U333" s="1555"/>
      <c r="V333" s="1555"/>
      <c r="W333" s="1555"/>
      <c r="X333" s="1555"/>
      <c r="Y333" s="1555"/>
      <c r="Z333" s="1555"/>
      <c r="AA333" s="1555"/>
      <c r="AB333" s="1555"/>
      <c r="AC333" s="1555"/>
      <c r="AD333" s="1555"/>
      <c r="AE333" s="1555"/>
      <c r="AF333" s="1555"/>
      <c r="AG333" s="1555"/>
      <c r="AH333" s="1555"/>
      <c r="AI333" s="1555"/>
      <c r="AJ333" s="1555"/>
      <c r="AK333" s="1555"/>
    </row>
    <row r="334" spans="1:37" s="1373" customFormat="1">
      <c r="A334" s="1371"/>
      <c r="B334" s="1371"/>
      <c r="C334" s="2221"/>
      <c r="D334" s="2222"/>
      <c r="E334" s="2222"/>
      <c r="F334" s="2222"/>
      <c r="G334" s="2222"/>
      <c r="H334" s="2222"/>
      <c r="I334" s="2223"/>
      <c r="J334" s="1625"/>
      <c r="K334" s="1626"/>
      <c r="L334" s="1626"/>
      <c r="M334" s="1626"/>
      <c r="N334" s="1642"/>
      <c r="O334" s="1555"/>
      <c r="P334" s="1555"/>
      <c r="Q334" s="1555"/>
      <c r="R334" s="1555"/>
      <c r="S334" s="1555"/>
      <c r="T334" s="1555"/>
      <c r="U334" s="1555"/>
      <c r="V334" s="1555"/>
      <c r="W334" s="1555"/>
      <c r="X334" s="1555"/>
      <c r="Y334" s="1555"/>
      <c r="Z334" s="1555"/>
      <c r="AA334" s="1555"/>
      <c r="AB334" s="1555"/>
      <c r="AC334" s="1555"/>
      <c r="AD334" s="1555"/>
      <c r="AE334" s="1555"/>
      <c r="AF334" s="1555"/>
      <c r="AG334" s="1555"/>
      <c r="AH334" s="1555"/>
      <c r="AI334" s="1555"/>
      <c r="AJ334" s="1555"/>
      <c r="AK334" s="1555"/>
    </row>
    <row r="335" spans="1:37" s="1373" customFormat="1">
      <c r="A335" s="1371"/>
      <c r="B335" s="1371"/>
      <c r="C335" s="2221"/>
      <c r="D335" s="2222"/>
      <c r="E335" s="2222"/>
      <c r="F335" s="2222"/>
      <c r="G335" s="2222"/>
      <c r="H335" s="2222"/>
      <c r="I335" s="2223"/>
      <c r="J335" s="1625"/>
      <c r="K335" s="1626"/>
      <c r="L335" s="1626"/>
      <c r="M335" s="1626"/>
      <c r="N335" s="1642"/>
      <c r="O335" s="1555"/>
      <c r="P335" s="1555"/>
      <c r="Q335" s="1555"/>
      <c r="R335" s="1555"/>
      <c r="S335" s="1555"/>
      <c r="T335" s="1555"/>
      <c r="U335" s="1555"/>
      <c r="V335" s="1555"/>
      <c r="W335" s="1555"/>
      <c r="X335" s="1555"/>
      <c r="Y335" s="1555"/>
      <c r="Z335" s="1555"/>
      <c r="AA335" s="1555"/>
      <c r="AB335" s="1555"/>
      <c r="AC335" s="1555"/>
      <c r="AD335" s="1555"/>
      <c r="AE335" s="1555"/>
      <c r="AF335" s="1555"/>
      <c r="AG335" s="1555"/>
      <c r="AH335" s="1555"/>
      <c r="AI335" s="1555"/>
      <c r="AJ335" s="1555"/>
      <c r="AK335" s="1555"/>
    </row>
    <row r="336" spans="1:37" s="1373" customFormat="1" ht="23.25" customHeight="1">
      <c r="A336" s="1371"/>
      <c r="B336" s="1371"/>
      <c r="C336" s="2221"/>
      <c r="D336" s="2222"/>
      <c r="E336" s="2222"/>
      <c r="F336" s="2222"/>
      <c r="G336" s="2222"/>
      <c r="H336" s="2222"/>
      <c r="I336" s="2223"/>
      <c r="J336" s="1625"/>
      <c r="K336" s="1626"/>
      <c r="L336" s="1626"/>
      <c r="M336" s="1626"/>
      <c r="N336" s="1642"/>
      <c r="O336" s="1555"/>
      <c r="P336" s="1555"/>
      <c r="Q336" s="1555"/>
      <c r="R336" s="1555"/>
      <c r="S336" s="1555"/>
      <c r="T336" s="1555"/>
      <c r="U336" s="1555"/>
      <c r="V336" s="1555"/>
      <c r="W336" s="1555"/>
      <c r="X336" s="1555"/>
      <c r="Y336" s="1555"/>
      <c r="Z336" s="1555"/>
      <c r="AA336" s="1555"/>
      <c r="AB336" s="1555"/>
      <c r="AC336" s="1555"/>
      <c r="AD336" s="1555"/>
      <c r="AE336" s="1555"/>
      <c r="AF336" s="1555"/>
      <c r="AG336" s="1555"/>
      <c r="AH336" s="1555"/>
      <c r="AI336" s="1555"/>
      <c r="AJ336" s="1555"/>
      <c r="AK336" s="1555"/>
    </row>
    <row r="337" spans="1:37" s="1373" customFormat="1">
      <c r="A337" s="1371"/>
      <c r="B337" s="1371"/>
      <c r="C337" s="1531"/>
      <c r="D337" s="1532"/>
      <c r="E337" s="1532"/>
      <c r="F337" s="1532"/>
      <c r="G337" s="1532"/>
      <c r="H337" s="92"/>
      <c r="I337" s="99"/>
      <c r="J337" s="1625"/>
      <c r="K337" s="1626"/>
      <c r="L337" s="1626"/>
      <c r="M337" s="1626"/>
      <c r="N337" s="1642"/>
      <c r="O337" s="1555"/>
      <c r="P337" s="1555"/>
      <c r="Q337" s="1555"/>
      <c r="R337" s="1555"/>
      <c r="S337" s="1555"/>
      <c r="T337" s="1555"/>
      <c r="U337" s="1555"/>
      <c r="V337" s="1555"/>
      <c r="W337" s="1555"/>
      <c r="X337" s="1555"/>
      <c r="Y337" s="1555"/>
      <c r="Z337" s="1555"/>
      <c r="AA337" s="1555"/>
      <c r="AB337" s="1555"/>
      <c r="AC337" s="1555"/>
      <c r="AD337" s="1555"/>
      <c r="AE337" s="1555"/>
      <c r="AF337" s="1555"/>
      <c r="AG337" s="1555"/>
      <c r="AH337" s="1555"/>
      <c r="AI337" s="1555"/>
      <c r="AJ337" s="1555"/>
      <c r="AK337" s="1555"/>
    </row>
    <row r="338" spans="1:37" s="1373" customFormat="1">
      <c r="A338" s="1371"/>
      <c r="B338" s="1371"/>
      <c r="C338" s="132" t="s">
        <v>3375</v>
      </c>
      <c r="D338" s="44"/>
      <c r="E338" s="1838"/>
      <c r="F338" s="44"/>
      <c r="G338" s="1423"/>
      <c r="H338" s="48"/>
      <c r="I338" s="49"/>
      <c r="J338" s="1561"/>
      <c r="K338" s="1582"/>
      <c r="L338" s="1582"/>
      <c r="M338" s="1582"/>
      <c r="N338" s="1633"/>
      <c r="O338" s="1555"/>
      <c r="P338" s="1555"/>
      <c r="Q338" s="1555"/>
      <c r="R338" s="1555"/>
      <c r="S338" s="1555"/>
      <c r="T338" s="1555"/>
      <c r="U338" s="1555"/>
      <c r="V338" s="1555"/>
      <c r="W338" s="1555"/>
      <c r="X338" s="1555"/>
      <c r="Y338" s="1555"/>
      <c r="Z338" s="1555"/>
      <c r="AA338" s="1555"/>
      <c r="AB338" s="1555"/>
      <c r="AC338" s="1555"/>
      <c r="AD338" s="1555"/>
      <c r="AE338" s="1555"/>
      <c r="AF338" s="1555"/>
      <c r="AG338" s="1555"/>
      <c r="AH338" s="1555"/>
      <c r="AI338" s="1555"/>
      <c r="AJ338" s="1555"/>
      <c r="AK338" s="1555"/>
    </row>
    <row r="339" spans="1:37" s="1373" customFormat="1">
      <c r="A339" s="1371"/>
      <c r="B339" s="1371"/>
      <c r="C339" s="152" t="s">
        <v>2352</v>
      </c>
      <c r="D339" s="79"/>
      <c r="E339" s="1844"/>
      <c r="F339" s="79"/>
      <c r="G339" s="1428"/>
      <c r="H339" s="189"/>
      <c r="I339" s="49"/>
      <c r="J339" s="1561"/>
      <c r="K339" s="1582"/>
      <c r="L339" s="1582"/>
      <c r="M339" s="1582"/>
      <c r="N339" s="1633"/>
      <c r="O339" s="1555"/>
      <c r="P339" s="1555"/>
      <c r="Q339" s="1555"/>
      <c r="R339" s="1555"/>
      <c r="S339" s="1555"/>
      <c r="T339" s="1555"/>
      <c r="U339" s="1555"/>
      <c r="V339" s="1555"/>
      <c r="W339" s="1555"/>
      <c r="X339" s="1555"/>
      <c r="Y339" s="1555"/>
      <c r="Z339" s="1555"/>
      <c r="AA339" s="1555"/>
      <c r="AB339" s="1555"/>
      <c r="AC339" s="1555"/>
      <c r="AD339" s="1555"/>
      <c r="AE339" s="1555"/>
      <c r="AF339" s="1555"/>
      <c r="AG339" s="1555"/>
      <c r="AH339" s="1555"/>
      <c r="AI339" s="1555"/>
      <c r="AJ339" s="1555"/>
      <c r="AK339" s="1555"/>
    </row>
    <row r="340" spans="1:37" s="1373" customFormat="1" ht="75">
      <c r="A340" s="1371"/>
      <c r="B340" s="1371"/>
      <c r="C340" s="1010" t="s">
        <v>2353</v>
      </c>
      <c r="D340" s="1010" t="s">
        <v>2354</v>
      </c>
      <c r="E340" s="1010" t="s">
        <v>2355</v>
      </c>
      <c r="F340" s="1455" t="s">
        <v>2356</v>
      </c>
      <c r="G340" s="58" t="s">
        <v>2357</v>
      </c>
      <c r="H340" s="58" t="s">
        <v>2358</v>
      </c>
      <c r="I340" s="1978"/>
      <c r="J340" s="1561"/>
      <c r="K340" s="1582"/>
      <c r="L340" s="1582"/>
      <c r="M340" s="1582"/>
      <c r="N340" s="1633"/>
      <c r="O340" s="1555"/>
      <c r="P340" s="1555"/>
      <c r="Q340" s="1555"/>
      <c r="R340" s="1555"/>
      <c r="S340" s="1555"/>
      <c r="T340" s="1555"/>
      <c r="U340" s="1555"/>
      <c r="V340" s="1555"/>
      <c r="W340" s="1555"/>
      <c r="X340" s="1555"/>
      <c r="Y340" s="1555"/>
      <c r="Z340" s="1555"/>
      <c r="AA340" s="1555"/>
      <c r="AB340" s="1555"/>
      <c r="AC340" s="1555"/>
      <c r="AD340" s="1555"/>
      <c r="AE340" s="1555"/>
      <c r="AF340" s="1555"/>
      <c r="AG340" s="1555"/>
      <c r="AH340" s="1555"/>
      <c r="AI340" s="1555"/>
      <c r="AJ340" s="1555"/>
      <c r="AK340" s="1555"/>
    </row>
    <row r="341" spans="1:37" s="1373" customFormat="1">
      <c r="A341" s="1371"/>
      <c r="B341" s="1371"/>
      <c r="C341" s="1009" t="s">
        <v>1657</v>
      </c>
      <c r="D341" s="1524">
        <v>267360</v>
      </c>
      <c r="E341" s="1524">
        <v>0</v>
      </c>
      <c r="F341" s="90">
        <v>267360</v>
      </c>
      <c r="G341" s="1525">
        <f>+F341/$H$327</f>
        <v>9.9306717577950163E-2</v>
      </c>
      <c r="H341" s="1525">
        <f t="shared" ref="H341:H347" si="5">+(F341-D341)/F341</f>
        <v>0</v>
      </c>
      <c r="I341" s="1979"/>
      <c r="K341" s="1582"/>
      <c r="L341" s="1582"/>
      <c r="M341" s="1582"/>
      <c r="N341" s="1633"/>
      <c r="O341" s="1555"/>
      <c r="P341" s="1555"/>
      <c r="Q341" s="1555"/>
      <c r="R341" s="1555"/>
      <c r="S341" s="1555"/>
      <c r="T341" s="1555"/>
      <c r="U341" s="1555"/>
      <c r="V341" s="1555"/>
      <c r="W341" s="1555"/>
      <c r="X341" s="1555"/>
      <c r="Y341" s="1555"/>
      <c r="Z341" s="1555"/>
      <c r="AA341" s="1555"/>
      <c r="AB341" s="1555"/>
      <c r="AC341" s="1555"/>
      <c r="AD341" s="1555"/>
      <c r="AE341" s="1555"/>
      <c r="AF341" s="1555"/>
      <c r="AG341" s="1555"/>
      <c r="AH341" s="1555"/>
      <c r="AI341" s="1555"/>
      <c r="AJ341" s="1555"/>
      <c r="AK341" s="1555"/>
    </row>
    <row r="342" spans="1:37" s="1373" customFormat="1">
      <c r="A342" s="1371"/>
      <c r="B342" s="1371"/>
      <c r="C342" s="1009" t="s">
        <v>3372</v>
      </c>
      <c r="D342" s="1524">
        <v>241995</v>
      </c>
      <c r="E342" s="1524">
        <v>0</v>
      </c>
      <c r="F342" s="90">
        <v>241995</v>
      </c>
      <c r="G342" s="1525">
        <f t="shared" ref="G342:G347" si="6">+F342/$H$327</f>
        <v>8.9885282466621974E-2</v>
      </c>
      <c r="H342" s="1525">
        <f t="shared" si="5"/>
        <v>0</v>
      </c>
      <c r="I342" s="1979"/>
      <c r="J342" s="1561"/>
      <c r="K342" s="1582"/>
      <c r="L342" s="1582"/>
      <c r="M342" s="1582"/>
      <c r="N342" s="1633"/>
      <c r="O342" s="1555"/>
      <c r="P342" s="1555"/>
      <c r="Q342" s="1555"/>
      <c r="R342" s="1555"/>
      <c r="S342" s="1555"/>
      <c r="T342" s="1555"/>
      <c r="U342" s="1555"/>
      <c r="V342" s="1555"/>
      <c r="W342" s="1555"/>
      <c r="X342" s="1555"/>
      <c r="Y342" s="1555"/>
      <c r="Z342" s="1555"/>
      <c r="AA342" s="1555"/>
      <c r="AB342" s="1555"/>
      <c r="AC342" s="1555"/>
      <c r="AD342" s="1555"/>
      <c r="AE342" s="1555"/>
      <c r="AF342" s="1555"/>
      <c r="AG342" s="1555"/>
      <c r="AH342" s="1555"/>
      <c r="AI342" s="1555"/>
      <c r="AJ342" s="1555"/>
      <c r="AK342" s="1555"/>
    </row>
    <row r="343" spans="1:37" s="1373" customFormat="1">
      <c r="A343" s="1371"/>
      <c r="B343" s="1371"/>
      <c r="C343" s="1009" t="s">
        <v>3373</v>
      </c>
      <c r="D343" s="1524">
        <v>186295</v>
      </c>
      <c r="E343" s="1524">
        <v>0</v>
      </c>
      <c r="F343" s="90">
        <v>186295</v>
      </c>
      <c r="G343" s="1525">
        <f t="shared" si="6"/>
        <v>6.9196382971215692E-2</v>
      </c>
      <c r="H343" s="1525">
        <f t="shared" si="5"/>
        <v>0</v>
      </c>
      <c r="I343" s="1979"/>
      <c r="J343" s="1561"/>
      <c r="K343" s="1582"/>
      <c r="L343" s="1582"/>
      <c r="M343" s="1582"/>
      <c r="N343" s="1633"/>
      <c r="O343" s="1555"/>
      <c r="P343" s="1555"/>
      <c r="Q343" s="1555"/>
      <c r="R343" s="1555"/>
      <c r="S343" s="1555"/>
      <c r="T343" s="1555"/>
      <c r="U343" s="1555"/>
      <c r="V343" s="1555"/>
      <c r="W343" s="1555"/>
      <c r="X343" s="1555"/>
      <c r="Y343" s="1555"/>
      <c r="Z343" s="1555"/>
      <c r="AA343" s="1555"/>
      <c r="AB343" s="1555"/>
      <c r="AC343" s="1555"/>
      <c r="AD343" s="1555"/>
      <c r="AE343" s="1555"/>
      <c r="AF343" s="1555"/>
      <c r="AG343" s="1555"/>
      <c r="AH343" s="1555"/>
      <c r="AI343" s="1555"/>
      <c r="AJ343" s="1555"/>
      <c r="AK343" s="1555"/>
    </row>
    <row r="344" spans="1:37" s="1373" customFormat="1">
      <c r="A344" s="1371"/>
      <c r="B344" s="1371"/>
      <c r="C344" s="1009" t="s">
        <v>3370</v>
      </c>
      <c r="D344" s="1524">
        <v>113805</v>
      </c>
      <c r="E344" s="1524">
        <v>0</v>
      </c>
      <c r="F344" s="90">
        <v>113805</v>
      </c>
      <c r="G344" s="1525">
        <f t="shared" si="6"/>
        <v>4.2271098870282083E-2</v>
      </c>
      <c r="H344" s="1525">
        <f t="shared" si="5"/>
        <v>0</v>
      </c>
      <c r="I344" s="1979"/>
      <c r="J344" s="1561"/>
      <c r="K344" s="1582"/>
      <c r="L344" s="1582"/>
      <c r="M344" s="1582"/>
      <c r="N344" s="1633"/>
      <c r="O344" s="1555"/>
      <c r="P344" s="1555"/>
      <c r="Q344" s="1555"/>
      <c r="R344" s="1555"/>
      <c r="S344" s="1555"/>
      <c r="T344" s="1555"/>
      <c r="U344" s="1555"/>
      <c r="V344" s="1555"/>
      <c r="W344" s="1555"/>
      <c r="X344" s="1555"/>
      <c r="Y344" s="1555"/>
      <c r="Z344" s="1555"/>
      <c r="AA344" s="1555"/>
      <c r="AB344" s="1555"/>
      <c r="AC344" s="1555"/>
      <c r="AD344" s="1555"/>
      <c r="AE344" s="1555"/>
      <c r="AF344" s="1555"/>
      <c r="AG344" s="1555"/>
      <c r="AH344" s="1555"/>
      <c r="AI344" s="1555"/>
      <c r="AJ344" s="1555"/>
      <c r="AK344" s="1555"/>
    </row>
    <row r="345" spans="1:37" s="1373" customFormat="1">
      <c r="A345" s="1371"/>
      <c r="B345" s="1371"/>
      <c r="C345" s="1009" t="s">
        <v>3369</v>
      </c>
      <c r="D345" s="1524">
        <v>39520</v>
      </c>
      <c r="E345" s="1524">
        <v>0</v>
      </c>
      <c r="F345" s="90">
        <v>39520</v>
      </c>
      <c r="G345" s="1525">
        <f t="shared" si="6"/>
        <v>1.4679089911282878E-2</v>
      </c>
      <c r="H345" s="1525">
        <f t="shared" si="5"/>
        <v>0</v>
      </c>
      <c r="I345" s="1979"/>
      <c r="J345" s="1561"/>
      <c r="K345" s="1582"/>
      <c r="L345" s="1582"/>
      <c r="M345" s="1582"/>
      <c r="N345" s="1633"/>
      <c r="O345" s="1555"/>
      <c r="P345" s="1555"/>
      <c r="Q345" s="1555"/>
      <c r="R345" s="1555"/>
      <c r="S345" s="1555"/>
      <c r="T345" s="1555"/>
      <c r="U345" s="1555"/>
      <c r="V345" s="1555"/>
      <c r="W345" s="1555"/>
      <c r="X345" s="1555"/>
      <c r="Y345" s="1555"/>
      <c r="Z345" s="1555"/>
      <c r="AA345" s="1555"/>
      <c r="AB345" s="1555"/>
      <c r="AC345" s="1555"/>
      <c r="AD345" s="1555"/>
      <c r="AE345" s="1555"/>
      <c r="AF345" s="1555"/>
      <c r="AG345" s="1555"/>
      <c r="AH345" s="1555"/>
      <c r="AI345" s="1555"/>
      <c r="AJ345" s="1555"/>
      <c r="AK345" s="1555"/>
    </row>
    <row r="346" spans="1:37" s="1373" customFormat="1">
      <c r="A346" s="1371"/>
      <c r="B346" s="1371"/>
      <c r="C346" s="1009" t="s">
        <v>3371</v>
      </c>
      <c r="D346" s="1524">
        <v>3600</v>
      </c>
      <c r="E346" s="1524">
        <v>0</v>
      </c>
      <c r="F346" s="90">
        <v>3600</v>
      </c>
      <c r="G346" s="1525">
        <f t="shared" si="6"/>
        <v>1.3371640607443918E-3</v>
      </c>
      <c r="H346" s="1525">
        <f t="shared" si="5"/>
        <v>0</v>
      </c>
      <c r="I346" s="1979"/>
      <c r="J346" s="1561"/>
      <c r="K346" s="1582"/>
      <c r="L346" s="1582"/>
      <c r="M346" s="1582"/>
      <c r="N346" s="1633"/>
      <c r="O346" s="1555"/>
      <c r="P346" s="1555"/>
      <c r="Q346" s="1555"/>
      <c r="R346" s="1555"/>
      <c r="S346" s="1555"/>
      <c r="T346" s="1555"/>
      <c r="U346" s="1555"/>
      <c r="V346" s="1555"/>
      <c r="W346" s="1555"/>
      <c r="X346" s="1555"/>
      <c r="Y346" s="1555"/>
      <c r="Z346" s="1555"/>
      <c r="AA346" s="1555"/>
      <c r="AB346" s="1555"/>
      <c r="AC346" s="1555"/>
      <c r="AD346" s="1555"/>
      <c r="AE346" s="1555"/>
      <c r="AF346" s="1555"/>
      <c r="AG346" s="1555"/>
      <c r="AH346" s="1555"/>
      <c r="AI346" s="1555"/>
      <c r="AJ346" s="1555"/>
      <c r="AK346" s="1555"/>
    </row>
    <row r="347" spans="1:37" s="1373" customFormat="1">
      <c r="A347" s="1371"/>
      <c r="B347" s="1371"/>
      <c r="C347" s="1009" t="s">
        <v>3374</v>
      </c>
      <c r="D347" s="1524">
        <v>100</v>
      </c>
      <c r="E347" s="1524">
        <v>0</v>
      </c>
      <c r="F347" s="90">
        <v>100</v>
      </c>
      <c r="G347" s="1525">
        <f t="shared" si="6"/>
        <v>3.7143446131788664E-5</v>
      </c>
      <c r="H347" s="1525">
        <f t="shared" si="5"/>
        <v>0</v>
      </c>
      <c r="I347" s="1979"/>
      <c r="J347" s="1561"/>
      <c r="K347" s="1582"/>
      <c r="L347" s="1582"/>
      <c r="M347" s="1582"/>
      <c r="N347" s="1633"/>
      <c r="O347" s="1555"/>
      <c r="P347" s="1555"/>
      <c r="Q347" s="1555"/>
      <c r="R347" s="1555"/>
      <c r="S347" s="1555"/>
      <c r="T347" s="1555"/>
      <c r="U347" s="1555"/>
      <c r="V347" s="1555"/>
      <c r="W347" s="1555"/>
      <c r="X347" s="1555"/>
      <c r="Y347" s="1555"/>
      <c r="Z347" s="1555"/>
      <c r="AA347" s="1555"/>
      <c r="AB347" s="1555"/>
      <c r="AC347" s="1555"/>
      <c r="AD347" s="1555"/>
      <c r="AE347" s="1555"/>
      <c r="AF347" s="1555"/>
      <c r="AG347" s="1555"/>
      <c r="AH347" s="1555"/>
      <c r="AI347" s="1555"/>
      <c r="AJ347" s="1555"/>
      <c r="AK347" s="1555"/>
    </row>
    <row r="348" spans="1:37" s="1373" customFormat="1">
      <c r="A348" s="1371"/>
      <c r="B348" s="1371"/>
      <c r="C348" s="75"/>
      <c r="D348" s="44"/>
      <c r="E348" s="1838"/>
      <c r="F348" s="44"/>
      <c r="G348" s="1439"/>
      <c r="H348" s="115"/>
      <c r="I348" s="49"/>
      <c r="J348" s="1561"/>
      <c r="K348" s="1582"/>
      <c r="L348" s="1582"/>
      <c r="M348" s="1582"/>
      <c r="N348" s="1633"/>
      <c r="O348" s="1555"/>
      <c r="P348" s="1555"/>
      <c r="Q348" s="1555"/>
      <c r="R348" s="1555"/>
      <c r="S348" s="1555"/>
      <c r="T348" s="1555"/>
      <c r="U348" s="1555"/>
      <c r="V348" s="1555"/>
      <c r="W348" s="1555"/>
      <c r="X348" s="1555"/>
      <c r="Y348" s="1555"/>
      <c r="Z348" s="1555"/>
      <c r="AA348" s="1555"/>
      <c r="AB348" s="1555"/>
      <c r="AC348" s="1555"/>
      <c r="AD348" s="1555"/>
      <c r="AE348" s="1555"/>
      <c r="AF348" s="1555"/>
      <c r="AG348" s="1555"/>
      <c r="AH348" s="1555"/>
      <c r="AI348" s="1555"/>
      <c r="AJ348" s="1555"/>
      <c r="AK348" s="1555"/>
    </row>
    <row r="349" spans="1:37" s="1373" customFormat="1">
      <c r="A349" s="1371"/>
      <c r="B349" s="1371"/>
      <c r="C349" s="74" t="s">
        <v>2461</v>
      </c>
      <c r="D349" s="44"/>
      <c r="E349" s="1838"/>
      <c r="F349" s="44"/>
      <c r="G349" s="1439"/>
      <c r="H349" s="115"/>
      <c r="I349" s="49"/>
      <c r="J349" s="1561"/>
      <c r="K349" s="1582"/>
      <c r="L349" s="1582"/>
      <c r="M349" s="1582"/>
      <c r="N349" s="1633"/>
      <c r="O349" s="1555"/>
      <c r="P349" s="1555"/>
      <c r="Q349" s="1555"/>
      <c r="R349" s="1555"/>
      <c r="S349" s="1555"/>
      <c r="T349" s="1555"/>
      <c r="U349" s="1555"/>
      <c r="V349" s="1555"/>
      <c r="W349" s="1555"/>
      <c r="X349" s="1555"/>
      <c r="Y349" s="1555"/>
      <c r="Z349" s="1555"/>
      <c r="AA349" s="1555"/>
      <c r="AB349" s="1555"/>
      <c r="AC349" s="1555"/>
      <c r="AD349" s="1555"/>
      <c r="AE349" s="1555"/>
      <c r="AF349" s="1555"/>
      <c r="AG349" s="1555"/>
      <c r="AH349" s="1555"/>
      <c r="AI349" s="1555"/>
      <c r="AJ349" s="1555"/>
      <c r="AK349" s="1555"/>
    </row>
    <row r="350" spans="1:37" s="1373" customFormat="1" ht="75">
      <c r="A350" s="1371"/>
      <c r="B350" s="1371"/>
      <c r="C350" s="1010" t="s">
        <v>2353</v>
      </c>
      <c r="D350" s="1010" t="s">
        <v>2354</v>
      </c>
      <c r="E350" s="1010" t="s">
        <v>2355</v>
      </c>
      <c r="F350" s="1455" t="s">
        <v>2356</v>
      </c>
      <c r="G350" s="58" t="s">
        <v>2357</v>
      </c>
      <c r="H350" s="58" t="s">
        <v>2358</v>
      </c>
      <c r="I350" s="1979"/>
      <c r="J350" s="1561"/>
      <c r="K350" s="1582"/>
      <c r="L350" s="1582"/>
      <c r="M350" s="1582"/>
      <c r="N350" s="1633"/>
      <c r="O350" s="1555"/>
      <c r="P350" s="1555"/>
      <c r="Q350" s="1555"/>
      <c r="R350" s="1555"/>
      <c r="S350" s="1555"/>
      <c r="T350" s="1555"/>
      <c r="U350" s="1555"/>
      <c r="V350" s="1555"/>
      <c r="W350" s="1555"/>
      <c r="X350" s="1555"/>
      <c r="Y350" s="1555"/>
      <c r="Z350" s="1555"/>
      <c r="AA350" s="1555"/>
      <c r="AB350" s="1555"/>
      <c r="AC350" s="1555"/>
      <c r="AD350" s="1555"/>
      <c r="AE350" s="1555"/>
      <c r="AF350" s="1555"/>
      <c r="AG350" s="1555"/>
      <c r="AH350" s="1555"/>
      <c r="AI350" s="1555"/>
      <c r="AJ350" s="1555"/>
      <c r="AK350" s="1555"/>
    </row>
    <row r="351" spans="1:37" s="1373" customFormat="1">
      <c r="A351" s="1371"/>
      <c r="B351" s="1371"/>
      <c r="C351" s="1009" t="s">
        <v>1657</v>
      </c>
      <c r="D351" s="1524">
        <v>267360</v>
      </c>
      <c r="E351" s="1524">
        <v>0</v>
      </c>
      <c r="F351" s="90">
        <v>267360</v>
      </c>
      <c r="G351" s="1525">
        <f>+F351/$H$327</f>
        <v>9.9306717577950163E-2</v>
      </c>
      <c r="H351" s="1525">
        <f t="shared" ref="H351:H357" si="7">+(F351-D351)/F351</f>
        <v>0</v>
      </c>
      <c r="I351" s="1979"/>
      <c r="J351" s="1561"/>
      <c r="K351" s="1582"/>
      <c r="L351" s="1582"/>
      <c r="M351" s="1582"/>
      <c r="N351" s="1633"/>
      <c r="O351" s="1555"/>
      <c r="P351" s="1555"/>
      <c r="Q351" s="1555"/>
      <c r="R351" s="1555"/>
      <c r="S351" s="1555"/>
      <c r="T351" s="1555"/>
      <c r="U351" s="1555"/>
      <c r="V351" s="1555"/>
      <c r="W351" s="1555"/>
      <c r="X351" s="1555"/>
      <c r="Y351" s="1555"/>
      <c r="Z351" s="1555"/>
      <c r="AA351" s="1555"/>
      <c r="AB351" s="1555"/>
      <c r="AC351" s="1555"/>
      <c r="AD351" s="1555"/>
      <c r="AE351" s="1555"/>
      <c r="AF351" s="1555"/>
      <c r="AG351" s="1555"/>
      <c r="AH351" s="1555"/>
      <c r="AI351" s="1555"/>
      <c r="AJ351" s="1555"/>
      <c r="AK351" s="1555"/>
    </row>
    <row r="352" spans="1:37" s="1373" customFormat="1">
      <c r="A352" s="1371"/>
      <c r="B352" s="1371"/>
      <c r="C352" s="1009" t="s">
        <v>3372</v>
      </c>
      <c r="D352" s="1524">
        <v>241995</v>
      </c>
      <c r="E352" s="1524">
        <v>0</v>
      </c>
      <c r="F352" s="90">
        <v>241995</v>
      </c>
      <c r="G352" s="1525">
        <f t="shared" ref="G352:G357" si="8">+F352/$H$327</f>
        <v>8.9885282466621974E-2</v>
      </c>
      <c r="H352" s="1525">
        <f t="shared" si="7"/>
        <v>0</v>
      </c>
      <c r="I352" s="1979"/>
      <c r="J352" s="1561"/>
      <c r="K352" s="1582"/>
      <c r="L352" s="1582"/>
      <c r="M352" s="1582"/>
      <c r="N352" s="1633"/>
      <c r="O352" s="1555"/>
      <c r="P352" s="1555"/>
      <c r="Q352" s="1555"/>
      <c r="R352" s="1555"/>
      <c r="S352" s="1555"/>
      <c r="T352" s="1555"/>
      <c r="U352" s="1555"/>
      <c r="V352" s="1555"/>
      <c r="W352" s="1555"/>
      <c r="X352" s="1555"/>
      <c r="Y352" s="1555"/>
      <c r="Z352" s="1555"/>
      <c r="AA352" s="1555"/>
      <c r="AB352" s="1555"/>
      <c r="AC352" s="1555"/>
      <c r="AD352" s="1555"/>
      <c r="AE352" s="1555"/>
      <c r="AF352" s="1555"/>
      <c r="AG352" s="1555"/>
      <c r="AH352" s="1555"/>
      <c r="AI352" s="1555"/>
      <c r="AJ352" s="1555"/>
      <c r="AK352" s="1555"/>
    </row>
    <row r="353" spans="1:61" s="1373" customFormat="1">
      <c r="A353" s="1371"/>
      <c r="B353" s="1371"/>
      <c r="C353" s="1009" t="s">
        <v>3373</v>
      </c>
      <c r="D353" s="1524">
        <v>186295</v>
      </c>
      <c r="E353" s="1524">
        <v>0</v>
      </c>
      <c r="F353" s="90">
        <v>186295</v>
      </c>
      <c r="G353" s="1525">
        <f t="shared" si="8"/>
        <v>6.9196382971215692E-2</v>
      </c>
      <c r="H353" s="1525">
        <f t="shared" si="7"/>
        <v>0</v>
      </c>
      <c r="I353" s="1979"/>
      <c r="J353" s="1561"/>
      <c r="K353" s="1582"/>
      <c r="L353" s="1582"/>
      <c r="M353" s="1582"/>
      <c r="N353" s="1633"/>
      <c r="O353" s="1555"/>
      <c r="P353" s="1555"/>
      <c r="Q353" s="1555"/>
      <c r="R353" s="1555"/>
      <c r="S353" s="1555"/>
      <c r="T353" s="1555"/>
      <c r="U353" s="1555"/>
      <c r="V353" s="1555"/>
      <c r="W353" s="1555"/>
      <c r="X353" s="1555"/>
      <c r="Y353" s="1555"/>
      <c r="Z353" s="1555"/>
      <c r="AA353" s="1555"/>
      <c r="AB353" s="1555"/>
      <c r="AC353" s="1555"/>
      <c r="AD353" s="1555"/>
      <c r="AE353" s="1555"/>
      <c r="AF353" s="1555"/>
      <c r="AG353" s="1555"/>
      <c r="AH353" s="1555"/>
      <c r="AI353" s="1555"/>
      <c r="AJ353" s="1555"/>
      <c r="AK353" s="1555"/>
    </row>
    <row r="354" spans="1:61" s="1373" customFormat="1">
      <c r="A354" s="1371"/>
      <c r="B354" s="1371"/>
      <c r="C354" s="1009" t="s">
        <v>3370</v>
      </c>
      <c r="D354" s="1524">
        <v>113805</v>
      </c>
      <c r="E354" s="1524">
        <v>0</v>
      </c>
      <c r="F354" s="90">
        <v>113805</v>
      </c>
      <c r="G354" s="1525">
        <f t="shared" si="8"/>
        <v>4.2271098870282083E-2</v>
      </c>
      <c r="H354" s="1525">
        <f t="shared" si="7"/>
        <v>0</v>
      </c>
      <c r="I354" s="1979"/>
      <c r="J354" s="1561"/>
      <c r="K354" s="1582"/>
      <c r="L354" s="1582"/>
      <c r="M354" s="1582"/>
      <c r="N354" s="1633"/>
      <c r="O354" s="1555"/>
      <c r="P354" s="1555"/>
      <c r="Q354" s="1555"/>
      <c r="R354" s="1555"/>
      <c r="S354" s="1555"/>
      <c r="T354" s="1555"/>
      <c r="U354" s="1555"/>
      <c r="V354" s="1555"/>
      <c r="W354" s="1555"/>
      <c r="X354" s="1555"/>
      <c r="Y354" s="1555"/>
      <c r="Z354" s="1555"/>
      <c r="AA354" s="1555"/>
      <c r="AB354" s="1555"/>
      <c r="AC354" s="1555"/>
      <c r="AD354" s="1555"/>
      <c r="AE354" s="1555"/>
      <c r="AF354" s="1555"/>
      <c r="AG354" s="1555"/>
      <c r="AH354" s="1555"/>
      <c r="AI354" s="1555"/>
      <c r="AJ354" s="1555"/>
      <c r="AK354" s="1555"/>
    </row>
    <row r="355" spans="1:61" s="1373" customFormat="1">
      <c r="A355" s="1371"/>
      <c r="B355" s="1371"/>
      <c r="C355" s="1009" t="s">
        <v>3369</v>
      </c>
      <c r="D355" s="1524">
        <v>39520</v>
      </c>
      <c r="E355" s="1524">
        <v>0</v>
      </c>
      <c r="F355" s="90">
        <v>39520</v>
      </c>
      <c r="G355" s="1525">
        <f t="shared" si="8"/>
        <v>1.4679089911282878E-2</v>
      </c>
      <c r="H355" s="1525">
        <f t="shared" si="7"/>
        <v>0</v>
      </c>
      <c r="I355" s="1979"/>
      <c r="J355" s="1561"/>
      <c r="K355" s="1582"/>
      <c r="L355" s="1582"/>
      <c r="M355" s="1582"/>
      <c r="N355" s="1633"/>
      <c r="O355" s="1555"/>
      <c r="P355" s="1555"/>
      <c r="Q355" s="1555"/>
      <c r="R355" s="1555"/>
      <c r="S355" s="1555"/>
      <c r="T355" s="1555"/>
      <c r="U355" s="1555"/>
      <c r="V355" s="1555"/>
      <c r="W355" s="1555"/>
      <c r="X355" s="1555"/>
      <c r="Y355" s="1555"/>
      <c r="Z355" s="1555"/>
      <c r="AA355" s="1555"/>
      <c r="AB355" s="1555"/>
      <c r="AC355" s="1555"/>
      <c r="AD355" s="1555"/>
      <c r="AE355" s="1555"/>
      <c r="AF355" s="1555"/>
      <c r="AG355" s="1555"/>
      <c r="AH355" s="1555"/>
      <c r="AI355" s="1555"/>
      <c r="AJ355" s="1555"/>
      <c r="AK355" s="1555"/>
    </row>
    <row r="356" spans="1:61" s="1373" customFormat="1">
      <c r="A356" s="1371"/>
      <c r="B356" s="1371"/>
      <c r="C356" s="1009" t="s">
        <v>3371</v>
      </c>
      <c r="D356" s="1524">
        <v>3600</v>
      </c>
      <c r="E356" s="1524">
        <v>0</v>
      </c>
      <c r="F356" s="90">
        <v>3600</v>
      </c>
      <c r="G356" s="1525">
        <f t="shared" si="8"/>
        <v>1.3371640607443918E-3</v>
      </c>
      <c r="H356" s="1525">
        <f t="shared" si="7"/>
        <v>0</v>
      </c>
      <c r="I356" s="1979"/>
      <c r="J356" s="1561"/>
      <c r="K356" s="1582"/>
      <c r="L356" s="1582"/>
      <c r="M356" s="1582"/>
      <c r="N356" s="1633"/>
      <c r="O356" s="1555"/>
      <c r="P356" s="1555"/>
      <c r="Q356" s="1555"/>
      <c r="R356" s="1555"/>
      <c r="S356" s="1555"/>
      <c r="T356" s="1555"/>
      <c r="U356" s="1555"/>
      <c r="V356" s="1555"/>
      <c r="W356" s="1555"/>
      <c r="X356" s="1555"/>
      <c r="Y356" s="1555"/>
      <c r="Z356" s="1555"/>
      <c r="AA356" s="1555"/>
      <c r="AB356" s="1555"/>
      <c r="AC356" s="1555"/>
      <c r="AD356" s="1555"/>
      <c r="AE356" s="1555"/>
      <c r="AF356" s="1555"/>
      <c r="AG356" s="1555"/>
      <c r="AH356" s="1555"/>
      <c r="AI356" s="1555"/>
      <c r="AJ356" s="1555"/>
      <c r="AK356" s="1555"/>
    </row>
    <row r="357" spans="1:61" s="1373" customFormat="1">
      <c r="A357" s="1371"/>
      <c r="B357" s="1371"/>
      <c r="C357" s="1009" t="s">
        <v>3374</v>
      </c>
      <c r="D357" s="1524">
        <v>100</v>
      </c>
      <c r="E357" s="1524">
        <v>0</v>
      </c>
      <c r="F357" s="90">
        <v>100</v>
      </c>
      <c r="G357" s="1525">
        <f t="shared" si="8"/>
        <v>3.7143446131788664E-5</v>
      </c>
      <c r="H357" s="1525">
        <f t="shared" si="7"/>
        <v>0</v>
      </c>
      <c r="I357" s="1979"/>
      <c r="J357" s="1561"/>
      <c r="K357" s="1582"/>
      <c r="L357" s="1582"/>
      <c r="M357" s="1582"/>
      <c r="N357" s="1633"/>
      <c r="O357" s="1555"/>
      <c r="P357" s="1555"/>
      <c r="Q357" s="1555"/>
      <c r="R357" s="1555"/>
      <c r="S357" s="1555"/>
      <c r="T357" s="1555"/>
      <c r="U357" s="1555"/>
      <c r="V357" s="1555"/>
      <c r="W357" s="1555"/>
      <c r="X357" s="1555"/>
      <c r="Y357" s="1555"/>
      <c r="Z357" s="1555"/>
      <c r="AA357" s="1555"/>
      <c r="AB357" s="1555"/>
      <c r="AC357" s="1555"/>
      <c r="AD357" s="1555"/>
      <c r="AE357" s="1555"/>
      <c r="AF357" s="1555"/>
      <c r="AG357" s="1555"/>
      <c r="AH357" s="1555"/>
      <c r="AI357" s="1555"/>
      <c r="AJ357" s="1555"/>
      <c r="AK357" s="1555"/>
    </row>
    <row r="358" spans="1:61" s="1373" customFormat="1">
      <c r="A358" s="1371"/>
      <c r="B358" s="1371"/>
      <c r="C358" s="1981"/>
      <c r="D358" s="154"/>
      <c r="E358" s="1884"/>
      <c r="F358" s="154"/>
      <c r="G358" s="1537"/>
      <c r="H358" s="1538"/>
      <c r="I358" s="1980"/>
      <c r="J358" s="1561"/>
      <c r="K358" s="1582"/>
      <c r="L358" s="1582"/>
      <c r="M358" s="1582"/>
      <c r="N358" s="1633"/>
      <c r="O358" s="1555"/>
      <c r="P358" s="1555"/>
      <c r="Q358" s="1555"/>
      <c r="R358" s="1555"/>
      <c r="S358" s="1555"/>
      <c r="T358" s="1555"/>
      <c r="U358" s="1555"/>
      <c r="V358" s="1555"/>
      <c r="W358" s="1555"/>
      <c r="X358" s="1555"/>
      <c r="Y358" s="1555"/>
      <c r="Z358" s="1555"/>
      <c r="AA358" s="1555"/>
      <c r="AB358" s="1555"/>
      <c r="AC358" s="1555"/>
      <c r="AD358" s="1555"/>
      <c r="AE358" s="1555"/>
      <c r="AF358" s="1555"/>
      <c r="AG358" s="1555"/>
      <c r="AH358" s="1555"/>
      <c r="AI358" s="1555"/>
      <c r="AJ358" s="1555"/>
      <c r="AK358" s="1555"/>
    </row>
    <row r="359" spans="1:61" s="1375" customFormat="1">
      <c r="A359" s="1371"/>
      <c r="B359" s="1371"/>
      <c r="C359" s="2166" t="s">
        <v>1065</v>
      </c>
      <c r="D359" s="2186"/>
      <c r="E359" s="2167"/>
      <c r="F359" s="2186"/>
      <c r="G359" s="2186"/>
      <c r="H359" s="2186"/>
      <c r="I359" s="2168"/>
      <c r="J359" s="1634"/>
      <c r="K359" s="1635"/>
      <c r="L359" s="1635"/>
      <c r="M359" s="1635"/>
      <c r="N359" s="1635"/>
      <c r="O359" s="1608"/>
      <c r="P359" s="1608"/>
      <c r="Q359" s="1608"/>
      <c r="R359" s="1608"/>
      <c r="S359" s="1608"/>
      <c r="T359" s="1608"/>
      <c r="U359" s="1608"/>
      <c r="V359" s="1608"/>
      <c r="W359" s="1608"/>
      <c r="X359" s="1608"/>
      <c r="Y359" s="1608"/>
      <c r="Z359" s="1608"/>
      <c r="AA359" s="1608"/>
      <c r="AB359" s="1608"/>
      <c r="AC359" s="1608"/>
      <c r="AD359" s="1608"/>
      <c r="AE359" s="1608"/>
      <c r="AF359" s="1608"/>
      <c r="AG359" s="1608"/>
      <c r="AH359" s="1608"/>
      <c r="AI359" s="1608"/>
      <c r="AJ359" s="1608"/>
      <c r="AK359" s="1608"/>
      <c r="AL359" s="1425"/>
      <c r="AM359" s="1425"/>
      <c r="AN359" s="1425"/>
      <c r="AO359" s="1425"/>
      <c r="AP359" s="1425"/>
      <c r="AQ359" s="1425"/>
      <c r="AR359" s="1425"/>
      <c r="AS359" s="1425"/>
      <c r="AT359" s="1425"/>
      <c r="AU359" s="1425"/>
      <c r="AV359" s="1425"/>
      <c r="AW359" s="1425"/>
      <c r="AX359" s="1425"/>
      <c r="AY359" s="1425"/>
      <c r="AZ359" s="1425"/>
      <c r="BA359" s="1425"/>
      <c r="BB359" s="1425"/>
      <c r="BC359" s="1425"/>
      <c r="BD359" s="1425"/>
      <c r="BE359" s="1425"/>
      <c r="BF359" s="1425"/>
      <c r="BG359" s="1425"/>
      <c r="BH359" s="1425"/>
      <c r="BI359" s="1425"/>
    </row>
    <row r="360" spans="1:61">
      <c r="C360" s="2169" t="s">
        <v>1546</v>
      </c>
      <c r="D360" s="2170"/>
      <c r="E360" s="2170"/>
      <c r="F360" s="2170"/>
      <c r="G360" s="2170"/>
      <c r="H360" s="2170"/>
      <c r="I360" s="2171"/>
      <c r="J360" s="1623"/>
      <c r="K360" s="1624"/>
      <c r="L360" s="1624"/>
      <c r="M360" s="1624"/>
      <c r="N360" s="1624"/>
    </row>
    <row r="361" spans="1:61">
      <c r="C361" s="1426" t="s">
        <v>402</v>
      </c>
      <c r="D361" s="78"/>
      <c r="E361" s="1869"/>
      <c r="F361" s="78"/>
      <c r="G361" s="1427"/>
      <c r="H361" s="15" t="s">
        <v>1067</v>
      </c>
      <c r="I361" s="15" t="s">
        <v>1068</v>
      </c>
      <c r="J361" s="1558"/>
      <c r="K361" s="1559"/>
      <c r="L361" s="1559"/>
      <c r="M361" s="1559"/>
      <c r="N361" s="1560"/>
    </row>
    <row r="362" spans="1:61" ht="18.75" customHeight="1">
      <c r="C362" s="52"/>
      <c r="D362" s="1844"/>
      <c r="E362" s="1844"/>
      <c r="F362" s="1844"/>
      <c r="G362" s="1428"/>
      <c r="H362" s="56" t="str">
        <f>+H301</f>
        <v>March 31, 2022 (₹)</v>
      </c>
      <c r="I362" s="56" t="s">
        <v>1069</v>
      </c>
      <c r="J362" s="1561"/>
      <c r="K362" s="1562"/>
      <c r="L362" s="1562"/>
      <c r="M362" s="1562"/>
      <c r="N362" s="1562"/>
    </row>
    <row r="363" spans="1:61" s="1373" customFormat="1">
      <c r="A363" s="1371"/>
      <c r="B363" s="1371"/>
      <c r="C363" s="1847" t="s">
        <v>1232</v>
      </c>
      <c r="D363" s="1848"/>
      <c r="E363" s="1848"/>
      <c r="F363" s="1848"/>
      <c r="G363" s="1372"/>
      <c r="H363" s="82"/>
      <c r="I363" s="40"/>
      <c r="J363" s="1566"/>
      <c r="K363" s="1578"/>
      <c r="L363" s="1578"/>
      <c r="M363" s="1578"/>
      <c r="N363" s="1579"/>
      <c r="O363" s="1555"/>
      <c r="P363" s="1555"/>
      <c r="Q363" s="1555"/>
      <c r="R363" s="1555"/>
      <c r="S363" s="1555"/>
      <c r="T363" s="1555"/>
      <c r="U363" s="1555"/>
      <c r="V363" s="1555"/>
      <c r="W363" s="1555"/>
      <c r="X363" s="1555"/>
      <c r="Y363" s="1555"/>
      <c r="Z363" s="1555"/>
      <c r="AA363" s="1555"/>
      <c r="AB363" s="1555"/>
      <c r="AC363" s="1555"/>
      <c r="AD363" s="1555"/>
      <c r="AE363" s="1555"/>
      <c r="AF363" s="1555"/>
      <c r="AG363" s="1555"/>
      <c r="AH363" s="1555"/>
      <c r="AI363" s="1555"/>
      <c r="AJ363" s="1555"/>
      <c r="AK363" s="1555"/>
    </row>
    <row r="364" spans="1:61" s="1373" customFormat="1">
      <c r="A364" s="1371"/>
      <c r="B364" s="1371"/>
      <c r="C364" s="1847"/>
      <c r="D364" s="1848"/>
      <c r="E364" s="1848"/>
      <c r="F364" s="1848"/>
      <c r="G364" s="1372"/>
      <c r="H364" s="82"/>
      <c r="I364" s="40"/>
      <c r="J364" s="1566"/>
      <c r="K364" s="1578"/>
      <c r="L364" s="1578"/>
      <c r="M364" s="1578"/>
      <c r="N364" s="1579"/>
      <c r="O364" s="1555"/>
      <c r="P364" s="1555"/>
      <c r="Q364" s="1555"/>
      <c r="R364" s="1555"/>
      <c r="S364" s="1555"/>
      <c r="T364" s="1555"/>
      <c r="U364" s="1555"/>
      <c r="V364" s="1555"/>
      <c r="W364" s="1555"/>
      <c r="X364" s="1555"/>
      <c r="Y364" s="1555"/>
      <c r="Z364" s="1555"/>
      <c r="AA364" s="1555"/>
      <c r="AB364" s="1555"/>
      <c r="AC364" s="1555"/>
      <c r="AD364" s="1555"/>
      <c r="AE364" s="1555"/>
      <c r="AF364" s="1555"/>
      <c r="AG364" s="1555"/>
      <c r="AH364" s="1555"/>
      <c r="AI364" s="1555"/>
      <c r="AJ364" s="1555"/>
      <c r="AK364" s="1555"/>
    </row>
    <row r="365" spans="1:61" s="1373" customFormat="1">
      <c r="A365" s="1371"/>
      <c r="B365" s="1371"/>
      <c r="C365" s="104" t="s">
        <v>1233</v>
      </c>
      <c r="D365" s="1849"/>
      <c r="E365" s="1849"/>
      <c r="F365" s="1849"/>
      <c r="G365" s="1372"/>
      <c r="H365" s="82"/>
      <c r="I365" s="40"/>
      <c r="J365" s="1566"/>
      <c r="K365" s="1578"/>
      <c r="L365" s="1578"/>
      <c r="M365" s="1578"/>
      <c r="N365" s="1579"/>
      <c r="O365" s="1555"/>
      <c r="P365" s="1555"/>
      <c r="Q365" s="1555"/>
      <c r="R365" s="1555"/>
      <c r="S365" s="1555"/>
      <c r="T365" s="1555"/>
      <c r="U365" s="1555"/>
      <c r="V365" s="1555"/>
      <c r="W365" s="1555"/>
      <c r="X365" s="1555"/>
      <c r="Y365" s="1555"/>
      <c r="Z365" s="1555"/>
      <c r="AA365" s="1555"/>
      <c r="AB365" s="1555"/>
      <c r="AC365" s="1555"/>
      <c r="AD365" s="1555"/>
      <c r="AE365" s="1555"/>
      <c r="AF365" s="1555"/>
      <c r="AG365" s="1555"/>
      <c r="AH365" s="1555"/>
      <c r="AI365" s="1555"/>
      <c r="AJ365" s="1555"/>
      <c r="AK365" s="1555"/>
    </row>
    <row r="366" spans="1:61" s="1373" customFormat="1">
      <c r="A366" s="1371"/>
      <c r="B366" s="1371"/>
      <c r="C366" s="1456" t="s">
        <v>1234</v>
      </c>
      <c r="D366" s="1442"/>
      <c r="E366" s="1442"/>
      <c r="F366" s="1442"/>
      <c r="G366" s="1372"/>
      <c r="H366" s="82"/>
      <c r="I366" s="40"/>
      <c r="J366" s="1566"/>
      <c r="K366" s="1578"/>
      <c r="L366" s="1578"/>
      <c r="M366" s="1578"/>
      <c r="N366" s="1579"/>
      <c r="O366" s="1555"/>
      <c r="P366" s="1555"/>
      <c r="Q366" s="1555"/>
      <c r="R366" s="1555"/>
      <c r="S366" s="1555"/>
      <c r="T366" s="1555"/>
      <c r="U366" s="1555"/>
      <c r="V366" s="1555"/>
      <c r="W366" s="1555"/>
      <c r="X366" s="1555"/>
      <c r="Y366" s="1555"/>
      <c r="Z366" s="1555"/>
      <c r="AA366" s="1555"/>
      <c r="AB366" s="1555"/>
      <c r="AC366" s="1555"/>
      <c r="AD366" s="1555"/>
      <c r="AE366" s="1555"/>
      <c r="AF366" s="1555"/>
      <c r="AG366" s="1555"/>
      <c r="AH366" s="1555"/>
      <c r="AI366" s="1555"/>
      <c r="AJ366" s="1555"/>
      <c r="AK366" s="1555"/>
    </row>
    <row r="367" spans="1:61" s="1373" customFormat="1">
      <c r="A367" s="1371"/>
      <c r="B367" s="1371"/>
      <c r="C367" s="1456"/>
      <c r="D367" s="1442"/>
      <c r="E367" s="1442"/>
      <c r="F367" s="1442"/>
      <c r="G367" s="1372"/>
      <c r="H367" s="82"/>
      <c r="I367" s="40"/>
      <c r="J367" s="1566"/>
      <c r="K367" s="1578"/>
      <c r="L367" s="1578"/>
      <c r="M367" s="1578"/>
      <c r="N367" s="1579"/>
      <c r="O367" s="1555"/>
      <c r="P367" s="1555"/>
      <c r="Q367" s="1555"/>
      <c r="R367" s="1555"/>
      <c r="S367" s="1555"/>
      <c r="T367" s="1555"/>
      <c r="U367" s="1555"/>
      <c r="V367" s="1555"/>
      <c r="W367" s="1555"/>
      <c r="X367" s="1555"/>
      <c r="Y367" s="1555"/>
      <c r="Z367" s="1555"/>
      <c r="AA367" s="1555"/>
      <c r="AB367" s="1555"/>
      <c r="AC367" s="1555"/>
      <c r="AD367" s="1555"/>
      <c r="AE367" s="1555"/>
      <c r="AF367" s="1555"/>
      <c r="AG367" s="1555"/>
      <c r="AH367" s="1555"/>
      <c r="AI367" s="1555"/>
      <c r="AJ367" s="1555"/>
      <c r="AK367" s="1555"/>
    </row>
    <row r="368" spans="1:61" s="1373" customFormat="1">
      <c r="A368" s="1371"/>
      <c r="B368" s="1371"/>
      <c r="C368" s="1432" t="s">
        <v>1235</v>
      </c>
      <c r="D368" s="1450"/>
      <c r="E368" s="1450"/>
      <c r="F368" s="1450"/>
      <c r="G368" s="1372"/>
      <c r="H368" s="82">
        <f>+GETPIVOTDATA("Sum of Cr. Final 21-22",Pivot!$A$3,"PARTICULARS","S. B I. TERM LOAN  ( 7.75 Cr) A/c 40667225452","Note",13,"BS Main Head","Long Term Borrowings","BS Sub Head","Secured - From Banks - Term Loan")-H448</f>
        <v>6243710</v>
      </c>
      <c r="I368" s="40">
        <v>1292191</v>
      </c>
      <c r="J368" s="1566"/>
      <c r="K368" s="1578"/>
      <c r="L368" s="1578"/>
      <c r="M368" s="1578"/>
      <c r="N368" s="1578"/>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c r="AI368" s="1555"/>
      <c r="AJ368" s="1555"/>
      <c r="AK368" s="1555"/>
    </row>
    <row r="369" spans="1:61" s="1373" customFormat="1" ht="66.75" customHeight="1">
      <c r="A369" s="1371"/>
      <c r="B369" s="1371"/>
      <c r="C369" s="2155" t="s">
        <v>3376</v>
      </c>
      <c r="D369" s="2156"/>
      <c r="E369" s="2156"/>
      <c r="F369" s="2156"/>
      <c r="G369" s="2197"/>
      <c r="H369" s="98"/>
      <c r="I369" s="99"/>
      <c r="J369" s="1625"/>
      <c r="K369" s="1626"/>
      <c r="L369" s="1626"/>
      <c r="M369" s="1626"/>
      <c r="N369" s="1627"/>
      <c r="O369" s="1555"/>
      <c r="P369" s="1555"/>
      <c r="Q369" s="1555"/>
      <c r="R369" s="1555"/>
      <c r="S369" s="1555"/>
      <c r="T369" s="1555"/>
      <c r="U369" s="1555"/>
      <c r="V369" s="1555"/>
      <c r="W369" s="1555"/>
      <c r="X369" s="1555"/>
      <c r="Y369" s="1555"/>
      <c r="Z369" s="1555"/>
      <c r="AA369" s="1555"/>
      <c r="AB369" s="1555"/>
      <c r="AC369" s="1555"/>
      <c r="AD369" s="1555"/>
      <c r="AE369" s="1555"/>
      <c r="AF369" s="1555"/>
      <c r="AG369" s="1555"/>
      <c r="AH369" s="1555"/>
      <c r="AI369" s="1555"/>
      <c r="AJ369" s="1555"/>
      <c r="AK369" s="1555"/>
    </row>
    <row r="370" spans="1:61" s="1373" customFormat="1" ht="60.75" customHeight="1">
      <c r="A370" s="1371"/>
      <c r="B370" s="1371"/>
      <c r="C370" s="2155" t="s">
        <v>3377</v>
      </c>
      <c r="D370" s="2196"/>
      <c r="E370" s="2196"/>
      <c r="F370" s="2196"/>
      <c r="G370" s="2197"/>
      <c r="H370" s="98"/>
      <c r="I370" s="99"/>
      <c r="J370" s="1625"/>
      <c r="K370" s="1626"/>
      <c r="L370" s="1626"/>
      <c r="M370" s="1626"/>
      <c r="N370" s="1627"/>
      <c r="O370" s="1555"/>
      <c r="P370" s="1555"/>
      <c r="Q370" s="1555"/>
      <c r="R370" s="1555"/>
      <c r="S370" s="1555"/>
      <c r="T370" s="1555"/>
      <c r="U370" s="1555"/>
      <c r="V370" s="1555"/>
      <c r="W370" s="1555"/>
      <c r="X370" s="1555"/>
      <c r="Y370" s="1555"/>
      <c r="Z370" s="1555"/>
      <c r="AA370" s="1555"/>
      <c r="AB370" s="1555"/>
      <c r="AC370" s="1555"/>
      <c r="AD370" s="1555"/>
      <c r="AE370" s="1555"/>
      <c r="AF370" s="1555"/>
      <c r="AG370" s="1555"/>
      <c r="AH370" s="1555"/>
      <c r="AI370" s="1555"/>
      <c r="AJ370" s="1555"/>
      <c r="AK370" s="1555"/>
    </row>
    <row r="371" spans="1:61" s="1373" customFormat="1" ht="176.25" customHeight="1">
      <c r="A371" s="1371"/>
      <c r="B371" s="1371"/>
      <c r="C371" s="2155" t="s">
        <v>3534</v>
      </c>
      <c r="D371" s="2156"/>
      <c r="E371" s="2156"/>
      <c r="F371" s="2156"/>
      <c r="G371" s="2197"/>
      <c r="H371" s="98"/>
      <c r="I371" s="99"/>
      <c r="J371" s="1625"/>
      <c r="K371" s="1626"/>
      <c r="L371" s="1626"/>
      <c r="M371" s="1626"/>
      <c r="N371" s="1627"/>
      <c r="O371" s="1555"/>
      <c r="P371" s="1555"/>
      <c r="Q371" s="1555"/>
      <c r="R371" s="1555"/>
      <c r="S371" s="1555"/>
      <c r="T371" s="1555"/>
      <c r="U371" s="1555"/>
      <c r="V371" s="1555"/>
      <c r="W371" s="1555"/>
      <c r="X371" s="1555"/>
      <c r="Y371" s="1555"/>
      <c r="Z371" s="1555"/>
      <c r="AA371" s="1555"/>
      <c r="AB371" s="1555"/>
      <c r="AC371" s="1555"/>
      <c r="AD371" s="1555"/>
      <c r="AE371" s="1555"/>
      <c r="AF371" s="1555"/>
      <c r="AG371" s="1555"/>
      <c r="AH371" s="1555"/>
      <c r="AI371" s="1555"/>
      <c r="AJ371" s="1555"/>
      <c r="AK371" s="1555"/>
    </row>
    <row r="372" spans="1:61" s="1373" customFormat="1">
      <c r="A372" s="1371"/>
      <c r="B372" s="1371"/>
      <c r="C372" s="1990"/>
      <c r="D372" s="1994"/>
      <c r="E372" s="1994"/>
      <c r="F372" s="1994"/>
      <c r="G372" s="1994"/>
      <c r="H372" s="98"/>
      <c r="I372" s="99"/>
      <c r="J372" s="1625"/>
      <c r="K372" s="1626"/>
      <c r="L372" s="1626"/>
      <c r="M372" s="1626"/>
      <c r="N372" s="1627"/>
      <c r="O372" s="1555"/>
      <c r="P372" s="1555"/>
      <c r="Q372" s="1555"/>
      <c r="R372" s="1555"/>
      <c r="S372" s="1555"/>
      <c r="T372" s="1555"/>
      <c r="U372" s="1555"/>
      <c r="V372" s="1555"/>
      <c r="W372" s="1555"/>
      <c r="X372" s="1555"/>
      <c r="Y372" s="1555"/>
      <c r="Z372" s="1555"/>
      <c r="AA372" s="1555"/>
      <c r="AB372" s="1555"/>
      <c r="AC372" s="1555"/>
      <c r="AD372" s="1555"/>
      <c r="AE372" s="1555"/>
      <c r="AF372" s="1555"/>
      <c r="AG372" s="1555"/>
      <c r="AH372" s="1555"/>
      <c r="AI372" s="1555"/>
      <c r="AJ372" s="1555"/>
      <c r="AK372" s="1555"/>
    </row>
    <row r="373" spans="1:61" ht="19.899999999999999" customHeight="1">
      <c r="C373" s="1948" t="s">
        <v>1236</v>
      </c>
      <c r="D373" s="1949"/>
      <c r="E373" s="1949"/>
      <c r="F373" s="1949"/>
      <c r="G373" s="1949"/>
      <c r="H373" s="98">
        <f>+GETPIVOTDATA("Sum of Cr. Final 21-22",Pivot!$A$3,"PARTICULARS","S.B.I. ( COVID) A/C. 40590939457 (GECL30%) 73 Lakh","Note",13,"BS Main Head","Long Term Borrowings","BS Sub Head","Secured - From Banks - Term Loan")+GETPIVOTDATA("Sum of Cr. Final 21-22",Pivot!$A$3,"PARTICULARS","S.B.I. ( GECL)  Term Loan A/c 39366011281(1.46 Cr)","Note",13,"BS Main Head","Long Term Borrowings","BS Sub Head","Secured - From Banks - Term Loan")-H449</f>
        <v>12801423</v>
      </c>
      <c r="I373" s="99">
        <v>10544440</v>
      </c>
      <c r="J373" s="1625"/>
      <c r="K373" s="1626"/>
      <c r="L373" s="1626"/>
      <c r="M373" s="1626"/>
      <c r="N373" s="1627"/>
    </row>
    <row r="374" spans="1:61" ht="78" customHeight="1">
      <c r="C374" s="2155" t="s">
        <v>3514</v>
      </c>
      <c r="D374" s="2156"/>
      <c r="E374" s="2156"/>
      <c r="F374" s="2156"/>
      <c r="G374" s="2197"/>
      <c r="H374" s="98"/>
      <c r="I374" s="99"/>
      <c r="J374" s="1625"/>
      <c r="K374" s="1626"/>
      <c r="L374" s="1626"/>
      <c r="M374" s="1626"/>
      <c r="N374" s="1627"/>
    </row>
    <row r="375" spans="1:61" ht="62.25" customHeight="1">
      <c r="C375" s="2155" t="s">
        <v>3378</v>
      </c>
      <c r="D375" s="2156"/>
      <c r="E375" s="2156"/>
      <c r="F375" s="2156"/>
      <c r="G375" s="2197"/>
      <c r="H375" s="98"/>
      <c r="I375" s="99"/>
      <c r="J375" s="1625"/>
      <c r="K375" s="1626"/>
      <c r="L375" s="1626"/>
      <c r="M375" s="1626"/>
      <c r="N375" s="1627"/>
    </row>
    <row r="376" spans="1:61">
      <c r="C376" s="1989"/>
      <c r="D376" s="1998"/>
      <c r="E376" s="1998"/>
      <c r="F376" s="1998"/>
      <c r="G376" s="1998"/>
      <c r="H376" s="98"/>
      <c r="I376" s="99"/>
      <c r="J376" s="1625"/>
      <c r="K376" s="1626"/>
      <c r="L376" s="1626"/>
      <c r="M376" s="1626"/>
      <c r="N376" s="1627"/>
    </row>
    <row r="377" spans="1:61">
      <c r="C377" s="1447" t="s">
        <v>1237</v>
      </c>
      <c r="D377" s="1442"/>
      <c r="E377" s="1442"/>
      <c r="F377" s="1442"/>
      <c r="H377" s="82"/>
      <c r="I377" s="40"/>
      <c r="J377" s="1566"/>
      <c r="K377" s="1578"/>
      <c r="L377" s="1578"/>
      <c r="M377" s="1578"/>
    </row>
    <row r="378" spans="1:61">
      <c r="C378" s="1456" t="s">
        <v>1238</v>
      </c>
      <c r="D378" s="1442"/>
      <c r="E378" s="1442"/>
      <c r="F378" s="1442"/>
      <c r="H378" s="82"/>
      <c r="I378" s="40"/>
      <c r="J378" s="1566"/>
      <c r="K378" s="1578"/>
      <c r="L378" s="1578"/>
      <c r="M378" s="1578"/>
    </row>
    <row r="379" spans="1:61">
      <c r="C379" s="1441" t="s">
        <v>1239</v>
      </c>
      <c r="D379" s="1442"/>
      <c r="E379" s="1442"/>
      <c r="F379" s="1442"/>
      <c r="H379" s="82">
        <f>+GETPIVOTDATA("Sum of Cr. Final 21-22",Pivot!$A$3,"Note",13,"BS Main Head","Long Term Borrowings","BS Sub Head","Unsecured-From Related Party")</f>
        <v>24020979</v>
      </c>
      <c r="I379" s="40">
        <f>+GETPIVOTDATA("Sum of Cr. Final 2020-21",Pivot!$A$3,"Note",13,"BS Main Head","Long Term Borrowings","BS Sub Head","Unsecured-From Related Party")</f>
        <v>20149849</v>
      </c>
      <c r="J379" s="1566"/>
      <c r="K379" s="1578"/>
      <c r="L379" s="1578"/>
      <c r="M379" s="1578"/>
      <c r="N379" s="1578"/>
    </row>
    <row r="380" spans="1:61">
      <c r="C380" s="1457"/>
      <c r="D380" s="1852"/>
      <c r="E380" s="1852"/>
      <c r="F380" s="1852"/>
      <c r="G380" s="1404"/>
      <c r="H380" s="23">
        <f>+SUM(H368:H379)</f>
        <v>43066112</v>
      </c>
      <c r="I380" s="23">
        <f>+SUM(I368:I379)</f>
        <v>31986480</v>
      </c>
      <c r="J380" s="1561"/>
      <c r="K380" s="1569"/>
      <c r="L380" s="1569"/>
      <c r="M380" s="1569"/>
      <c r="N380" s="1569"/>
    </row>
    <row r="381" spans="1:61" s="1375" customFormat="1" hidden="1">
      <c r="A381" s="1371"/>
      <c r="B381" s="1371"/>
      <c r="C381" s="2166" t="s">
        <v>1065</v>
      </c>
      <c r="D381" s="2186"/>
      <c r="E381" s="2167"/>
      <c r="F381" s="2186"/>
      <c r="G381" s="2186"/>
      <c r="H381" s="2186"/>
      <c r="I381" s="2168"/>
      <c r="J381" s="1634"/>
      <c r="K381" s="1635"/>
      <c r="L381" s="1635"/>
      <c r="M381" s="1635"/>
      <c r="N381" s="1635"/>
      <c r="O381" s="1608"/>
      <c r="P381" s="1608"/>
      <c r="Q381" s="1608"/>
      <c r="R381" s="1608"/>
      <c r="S381" s="1608"/>
      <c r="T381" s="1608"/>
      <c r="U381" s="1608"/>
      <c r="V381" s="1608"/>
      <c r="W381" s="1608"/>
      <c r="X381" s="1608"/>
      <c r="Y381" s="1608"/>
      <c r="Z381" s="1608"/>
      <c r="AA381" s="1608"/>
      <c r="AB381" s="1608"/>
      <c r="AC381" s="1608"/>
      <c r="AD381" s="1608"/>
      <c r="AE381" s="1608"/>
      <c r="AF381" s="1608"/>
      <c r="AG381" s="1608"/>
      <c r="AH381" s="1608"/>
      <c r="AI381" s="1608"/>
      <c r="AJ381" s="1608"/>
      <c r="AK381" s="1608"/>
      <c r="AL381" s="1425"/>
      <c r="AM381" s="1425"/>
      <c r="AN381" s="1425"/>
      <c r="AO381" s="1425"/>
      <c r="AP381" s="1425"/>
      <c r="AQ381" s="1425"/>
      <c r="AR381" s="1425"/>
      <c r="AS381" s="1425"/>
      <c r="AT381" s="1425"/>
      <c r="AU381" s="1425"/>
      <c r="AV381" s="1425"/>
      <c r="AW381" s="1425"/>
      <c r="AX381" s="1425"/>
      <c r="AY381" s="1425"/>
      <c r="AZ381" s="1425"/>
      <c r="BA381" s="1425"/>
      <c r="BB381" s="1425"/>
      <c r="BC381" s="1425"/>
      <c r="BD381" s="1425"/>
      <c r="BE381" s="1425"/>
      <c r="BF381" s="1425"/>
      <c r="BG381" s="1425"/>
      <c r="BH381" s="1425"/>
      <c r="BI381" s="1425"/>
    </row>
    <row r="382" spans="1:61" hidden="1">
      <c r="C382" s="2169" t="s">
        <v>1546</v>
      </c>
      <c r="D382" s="2170"/>
      <c r="E382" s="2170"/>
      <c r="F382" s="2170"/>
      <c r="G382" s="2170"/>
      <c r="H382" s="2170"/>
      <c r="I382" s="2171"/>
      <c r="J382" s="1623"/>
      <c r="K382" s="1624"/>
      <c r="L382" s="1624"/>
      <c r="M382" s="1624"/>
      <c r="N382" s="1624"/>
    </row>
    <row r="383" spans="1:61" hidden="1">
      <c r="C383" s="1426" t="s">
        <v>402</v>
      </c>
      <c r="D383" s="78"/>
      <c r="E383" s="1869"/>
      <c r="F383" s="78"/>
      <c r="G383" s="1427"/>
      <c r="H383" s="15" t="s">
        <v>1067</v>
      </c>
      <c r="I383" s="15" t="s">
        <v>1068</v>
      </c>
      <c r="J383" s="1558"/>
      <c r="K383" s="1559"/>
      <c r="L383" s="1559"/>
      <c r="M383" s="1559"/>
      <c r="N383" s="1560"/>
    </row>
    <row r="384" spans="1:61" ht="37.5" hidden="1">
      <c r="C384" s="52"/>
      <c r="D384" s="1844"/>
      <c r="E384" s="1844"/>
      <c r="F384" s="1844"/>
      <c r="G384" s="1428"/>
      <c r="H384" s="56" t="str">
        <f>+H5</f>
        <v>March 31, 2022 (₹)</v>
      </c>
      <c r="I384" s="56" t="s">
        <v>1069</v>
      </c>
      <c r="J384" s="1561"/>
      <c r="K384" s="1562"/>
      <c r="L384" s="1562"/>
      <c r="M384" s="1562"/>
      <c r="N384" s="1562"/>
    </row>
    <row r="385" spans="3:61">
      <c r="C385" s="75"/>
      <c r="D385" s="1838"/>
      <c r="E385" s="1838"/>
      <c r="F385" s="1838"/>
      <c r="G385" s="1439"/>
      <c r="H385" s="94"/>
      <c r="I385" s="21"/>
      <c r="J385" s="1561"/>
      <c r="K385" s="1562"/>
      <c r="L385" s="1562"/>
      <c r="M385" s="1562"/>
      <c r="N385" s="1562"/>
    </row>
    <row r="386" spans="3:61">
      <c r="C386" s="116" t="s">
        <v>1240</v>
      </c>
      <c r="D386" s="1838"/>
      <c r="E386" s="1838"/>
      <c r="F386" s="1838"/>
      <c r="G386" s="1439"/>
      <c r="H386" s="115"/>
      <c r="I386" s="21"/>
      <c r="J386" s="1561"/>
      <c r="K386" s="1562"/>
      <c r="L386" s="1562"/>
      <c r="M386" s="1562"/>
      <c r="N386" s="1602"/>
    </row>
    <row r="387" spans="3:61">
      <c r="C387" s="75" t="s">
        <v>1241</v>
      </c>
      <c r="D387" s="1838"/>
      <c r="E387" s="1838"/>
      <c r="F387" s="1838"/>
      <c r="G387" s="1439"/>
      <c r="H387" s="126">
        <f>+GETPIVOTDATA("Sum of Cr. Final 21-22",Pivot!$A$3,"Note",14,"BS Main Head","Non Current - Provisions","BS Sub Head","Provision for Employee Benefit")-GETPIVOTDATA("Sum of Dr. Final 21-22",Pivot!$A$3,"Note",14,"BS Main Head","Non Current - Provisions","BS Sub Head","Provision for Employee Benefit")-H461</f>
        <v>975075.70000000019</v>
      </c>
      <c r="I387" s="126">
        <v>1543625.7000000002</v>
      </c>
      <c r="J387" s="1566"/>
      <c r="K387" s="1567"/>
      <c r="L387" s="1567"/>
      <c r="M387" s="1567"/>
      <c r="N387" s="1566"/>
    </row>
    <row r="388" spans="3:61">
      <c r="C388" s="75"/>
      <c r="D388" s="1838"/>
      <c r="E388" s="1838"/>
      <c r="F388" s="1838"/>
      <c r="G388" s="1439"/>
      <c r="H388" s="16">
        <f>+SUM(H387)</f>
        <v>975075.70000000019</v>
      </c>
      <c r="I388" s="16">
        <f>+SUM(I387)</f>
        <v>1543625.7000000002</v>
      </c>
      <c r="J388" s="1561"/>
      <c r="K388" s="1562"/>
      <c r="L388" s="1562"/>
      <c r="M388" s="1562"/>
      <c r="N388" s="1562"/>
    </row>
    <row r="389" spans="3:61">
      <c r="C389" s="116" t="s">
        <v>1242</v>
      </c>
      <c r="D389" s="1849"/>
      <c r="E389" s="1849"/>
      <c r="F389" s="1849"/>
      <c r="H389" s="82"/>
      <c r="I389" s="122"/>
      <c r="J389" s="1566"/>
      <c r="K389" s="1578"/>
      <c r="L389" s="1578"/>
      <c r="M389" s="1578"/>
    </row>
    <row r="390" spans="3:61" s="1430" customFormat="1">
      <c r="C390" s="2192" t="s">
        <v>1243</v>
      </c>
      <c r="D390" s="2193"/>
      <c r="E390" s="2193"/>
      <c r="F390" s="2193"/>
      <c r="G390" s="1372"/>
      <c r="H390" s="82"/>
      <c r="I390" s="82"/>
      <c r="J390" s="1566"/>
      <c r="K390" s="1578"/>
      <c r="L390" s="1578"/>
      <c r="M390" s="1578"/>
      <c r="N390" s="1579"/>
      <c r="O390" s="1614"/>
      <c r="P390" s="1614"/>
      <c r="Q390" s="1614"/>
      <c r="R390" s="1614"/>
      <c r="S390" s="1614"/>
      <c r="T390" s="1614"/>
      <c r="U390" s="1614"/>
      <c r="V390" s="1614"/>
      <c r="W390" s="1614"/>
      <c r="X390" s="1614"/>
      <c r="Y390" s="1614"/>
      <c r="Z390" s="1614"/>
      <c r="AA390" s="1614"/>
      <c r="AB390" s="1614"/>
      <c r="AC390" s="1614"/>
      <c r="AD390" s="1614"/>
      <c r="AE390" s="1614"/>
      <c r="AF390" s="1614"/>
      <c r="AG390" s="1614"/>
      <c r="AH390" s="1614"/>
      <c r="AI390" s="1614"/>
      <c r="AJ390" s="1614"/>
      <c r="AK390" s="1614"/>
      <c r="AL390" s="1458"/>
      <c r="AM390" s="1458"/>
      <c r="AN390" s="1458"/>
      <c r="AO390" s="1458"/>
      <c r="AP390" s="1458"/>
      <c r="AQ390" s="1458"/>
      <c r="AR390" s="1458"/>
      <c r="AS390" s="1458"/>
      <c r="AT390" s="1458"/>
      <c r="AU390" s="1458"/>
      <c r="AV390" s="1458"/>
      <c r="AW390" s="1458"/>
      <c r="AX390" s="1458"/>
      <c r="AY390" s="1458"/>
      <c r="AZ390" s="1458"/>
      <c r="BA390" s="1458"/>
      <c r="BB390" s="1458"/>
      <c r="BC390" s="1458"/>
      <c r="BD390" s="1458"/>
      <c r="BE390" s="1458"/>
      <c r="BF390" s="1458"/>
      <c r="BG390" s="1458"/>
      <c r="BH390" s="1458"/>
      <c r="BI390" s="1458"/>
    </row>
    <row r="391" spans="3:61" s="1430" customFormat="1">
      <c r="C391" s="127" t="s">
        <v>3536</v>
      </c>
      <c r="D391" s="1863"/>
      <c r="E391" s="1863"/>
      <c r="F391" s="1863"/>
      <c r="G391" s="1863"/>
      <c r="H391" s="109"/>
      <c r="I391" s="82"/>
      <c r="J391" s="1566"/>
      <c r="K391" s="1578"/>
      <c r="L391" s="1578"/>
      <c r="M391" s="1578"/>
      <c r="N391" s="1578"/>
      <c r="O391" s="1614"/>
      <c r="P391" s="1614"/>
      <c r="Q391" s="1614"/>
      <c r="R391" s="1614"/>
      <c r="S391" s="1614"/>
      <c r="T391" s="1614"/>
      <c r="U391" s="1614"/>
      <c r="V391" s="1614"/>
      <c r="W391" s="1614"/>
      <c r="X391" s="1614"/>
      <c r="Y391" s="1614"/>
      <c r="Z391" s="1614"/>
      <c r="AA391" s="1614"/>
      <c r="AB391" s="1614"/>
      <c r="AC391" s="1614"/>
      <c r="AD391" s="1614"/>
      <c r="AE391" s="1614"/>
      <c r="AF391" s="1614"/>
      <c r="AG391" s="1614"/>
      <c r="AH391" s="1614"/>
      <c r="AI391" s="1614"/>
      <c r="AJ391" s="1614"/>
      <c r="AK391" s="1614"/>
      <c r="AL391" s="1458"/>
      <c r="AM391" s="1458"/>
      <c r="AN391" s="1458"/>
      <c r="AO391" s="1458"/>
      <c r="AP391" s="1458"/>
      <c r="AQ391" s="1458"/>
      <c r="AR391" s="1458"/>
      <c r="AS391" s="1458"/>
      <c r="AT391" s="1458"/>
      <c r="AU391" s="1458"/>
      <c r="AV391" s="1458"/>
      <c r="AW391" s="1458"/>
      <c r="AX391" s="1458"/>
      <c r="AY391" s="1458"/>
      <c r="AZ391" s="1458"/>
      <c r="BA391" s="1458"/>
      <c r="BB391" s="1458"/>
      <c r="BC391" s="1458"/>
      <c r="BD391" s="1458"/>
      <c r="BE391" s="1458"/>
      <c r="BF391" s="1458"/>
      <c r="BG391" s="1458"/>
      <c r="BH391" s="1458"/>
      <c r="BI391" s="1458"/>
    </row>
    <row r="392" spans="3:61" s="1430" customFormat="1">
      <c r="C392" s="128" t="s">
        <v>1244</v>
      </c>
      <c r="D392" s="1863"/>
      <c r="E392" s="1863"/>
      <c r="F392" s="1863"/>
      <c r="G392" s="1863"/>
      <c r="H392" s="109"/>
      <c r="I392" s="82"/>
      <c r="J392" s="1566"/>
      <c r="K392" s="1578"/>
      <c r="L392" s="1578"/>
      <c r="M392" s="1578"/>
      <c r="N392" s="1578"/>
      <c r="O392" s="1614"/>
      <c r="P392" s="1614"/>
      <c r="Q392" s="1614"/>
      <c r="R392" s="1614"/>
      <c r="S392" s="1614"/>
      <c r="T392" s="1614"/>
      <c r="U392" s="1614"/>
      <c r="V392" s="1614"/>
      <c r="W392" s="1614"/>
      <c r="X392" s="1614"/>
      <c r="Y392" s="1614"/>
      <c r="Z392" s="1614"/>
      <c r="AA392" s="1614"/>
      <c r="AB392" s="1614"/>
      <c r="AC392" s="1614"/>
      <c r="AD392" s="1614"/>
      <c r="AE392" s="1614"/>
      <c r="AF392" s="1614"/>
      <c r="AG392" s="1614"/>
      <c r="AH392" s="1614"/>
      <c r="AI392" s="1614"/>
      <c r="AJ392" s="1614"/>
      <c r="AK392" s="1614"/>
      <c r="AL392" s="1458"/>
      <c r="AM392" s="1458"/>
      <c r="AN392" s="1458"/>
      <c r="AO392" s="1458"/>
      <c r="AP392" s="1458"/>
      <c r="AQ392" s="1458"/>
      <c r="AR392" s="1458"/>
      <c r="AS392" s="1458"/>
      <c r="AT392" s="1458"/>
      <c r="AU392" s="1458"/>
      <c r="AV392" s="1458"/>
      <c r="AW392" s="1458"/>
      <c r="AX392" s="1458"/>
      <c r="AY392" s="1458"/>
      <c r="AZ392" s="1458"/>
      <c r="BA392" s="1458"/>
      <c r="BB392" s="1458"/>
      <c r="BC392" s="1458"/>
      <c r="BD392" s="1458"/>
      <c r="BE392" s="1458"/>
      <c r="BF392" s="1458"/>
      <c r="BG392" s="1458"/>
      <c r="BH392" s="1458"/>
      <c r="BI392" s="1458"/>
    </row>
    <row r="393" spans="3:61" s="1430" customFormat="1">
      <c r="C393" s="129" t="s">
        <v>1245</v>
      </c>
      <c r="D393" s="1863"/>
      <c r="E393" s="1863"/>
      <c r="F393" s="1863"/>
      <c r="G393" s="1863"/>
      <c r="H393" s="130">
        <f>+DT!J15</f>
        <v>16810592.966513626</v>
      </c>
      <c r="I393" s="111">
        <v>19796178.702971876</v>
      </c>
      <c r="J393" s="1566"/>
      <c r="K393" s="1578"/>
      <c r="L393" s="1578"/>
      <c r="M393" s="1578"/>
      <c r="N393" s="1578"/>
      <c r="O393" s="1614"/>
      <c r="P393" s="1614"/>
      <c r="Q393" s="1614"/>
      <c r="R393" s="1614"/>
      <c r="S393" s="1614"/>
      <c r="T393" s="1614"/>
      <c r="U393" s="1614"/>
      <c r="V393" s="1614"/>
      <c r="W393" s="1614"/>
      <c r="X393" s="1614"/>
      <c r="Y393" s="1614"/>
      <c r="Z393" s="1614"/>
      <c r="AA393" s="1614"/>
      <c r="AB393" s="1614"/>
      <c r="AC393" s="1614"/>
      <c r="AD393" s="1614"/>
      <c r="AE393" s="1614"/>
      <c r="AF393" s="1614"/>
      <c r="AG393" s="1614"/>
      <c r="AH393" s="1614"/>
      <c r="AI393" s="1614"/>
      <c r="AJ393" s="1614"/>
      <c r="AK393" s="1614"/>
      <c r="AL393" s="1458"/>
      <c r="AM393" s="1458"/>
      <c r="AN393" s="1458"/>
      <c r="AO393" s="1458"/>
      <c r="AP393" s="1458"/>
      <c r="AQ393" s="1458"/>
      <c r="AR393" s="1458"/>
      <c r="AS393" s="1458"/>
      <c r="AT393" s="1458"/>
      <c r="AU393" s="1458"/>
      <c r="AV393" s="1458"/>
      <c r="AW393" s="1458"/>
      <c r="AX393" s="1458"/>
      <c r="AY393" s="1458"/>
      <c r="AZ393" s="1458"/>
      <c r="BA393" s="1458"/>
      <c r="BB393" s="1458"/>
      <c r="BC393" s="1458"/>
      <c r="BD393" s="1458"/>
      <c r="BE393" s="1458"/>
      <c r="BF393" s="1458"/>
      <c r="BG393" s="1458"/>
      <c r="BH393" s="1458"/>
      <c r="BI393" s="1458"/>
    </row>
    <row r="394" spans="3:61" s="1430" customFormat="1">
      <c r="C394" s="127" t="s">
        <v>1246</v>
      </c>
      <c r="D394" s="1863"/>
      <c r="E394" s="1863"/>
      <c r="F394" s="1863"/>
      <c r="G394" s="1863"/>
      <c r="H394" s="115">
        <f>+H393</f>
        <v>16810592.966513626</v>
      </c>
      <c r="I394" s="115">
        <f>+I393</f>
        <v>19796178.702971876</v>
      </c>
      <c r="J394" s="1561"/>
      <c r="K394" s="1582"/>
      <c r="L394" s="1582"/>
      <c r="M394" s="1582"/>
      <c r="N394" s="1582"/>
      <c r="O394" s="1614"/>
      <c r="P394" s="1614"/>
      <c r="Q394" s="1614"/>
      <c r="R394" s="1614"/>
      <c r="S394" s="1614"/>
      <c r="T394" s="1614"/>
      <c r="U394" s="1614"/>
      <c r="V394" s="1614"/>
      <c r="W394" s="1614"/>
      <c r="X394" s="1614"/>
      <c r="Y394" s="1614"/>
      <c r="Z394" s="1614"/>
      <c r="AA394" s="1614"/>
      <c r="AB394" s="1614"/>
      <c r="AC394" s="1614"/>
      <c r="AD394" s="1614"/>
      <c r="AE394" s="1614"/>
      <c r="AF394" s="1614"/>
      <c r="AG394" s="1614"/>
      <c r="AH394" s="1614"/>
      <c r="AI394" s="1614"/>
      <c r="AJ394" s="1614"/>
      <c r="AK394" s="1614"/>
      <c r="AL394" s="1458"/>
      <c r="AM394" s="1458"/>
      <c r="AN394" s="1458"/>
      <c r="AO394" s="1458"/>
      <c r="AP394" s="1458"/>
      <c r="AQ394" s="1458"/>
      <c r="AR394" s="1458"/>
      <c r="AS394" s="1458"/>
      <c r="AT394" s="1458"/>
      <c r="AU394" s="1458"/>
      <c r="AV394" s="1458"/>
      <c r="AW394" s="1458"/>
      <c r="AX394" s="1458"/>
      <c r="AY394" s="1458"/>
      <c r="AZ394" s="1458"/>
      <c r="BA394" s="1458"/>
      <c r="BB394" s="1458"/>
      <c r="BC394" s="1458"/>
      <c r="BD394" s="1458"/>
      <c r="BE394" s="1458"/>
      <c r="BF394" s="1458"/>
      <c r="BG394" s="1458"/>
      <c r="BH394" s="1458"/>
      <c r="BI394" s="1458"/>
    </row>
    <row r="395" spans="3:61" s="1430" customFormat="1">
      <c r="C395" s="127"/>
      <c r="D395" s="1863"/>
      <c r="E395" s="1863"/>
      <c r="F395" s="1863"/>
      <c r="G395" s="1863"/>
      <c r="H395" s="115"/>
      <c r="I395" s="115"/>
      <c r="J395" s="1561"/>
      <c r="K395" s="1582"/>
      <c r="L395" s="1582"/>
      <c r="M395" s="1582"/>
      <c r="N395" s="1582"/>
      <c r="O395" s="1614"/>
      <c r="P395" s="1614"/>
      <c r="Q395" s="1614"/>
      <c r="R395" s="1614"/>
      <c r="S395" s="1614"/>
      <c r="T395" s="1614"/>
      <c r="U395" s="1614"/>
      <c r="V395" s="1614"/>
      <c r="W395" s="1614"/>
      <c r="X395" s="1614"/>
      <c r="Y395" s="1614"/>
      <c r="Z395" s="1614"/>
      <c r="AA395" s="1614"/>
      <c r="AB395" s="1614"/>
      <c r="AC395" s="1614"/>
      <c r="AD395" s="1614"/>
      <c r="AE395" s="1614"/>
      <c r="AF395" s="1614"/>
      <c r="AG395" s="1614"/>
      <c r="AH395" s="1614"/>
      <c r="AI395" s="1614"/>
      <c r="AJ395" s="1614"/>
      <c r="AK395" s="1614"/>
      <c r="AL395" s="1458"/>
      <c r="AM395" s="1458"/>
      <c r="AN395" s="1458"/>
      <c r="AO395" s="1458"/>
      <c r="AP395" s="1458"/>
      <c r="AQ395" s="1458"/>
      <c r="AR395" s="1458"/>
      <c r="AS395" s="1458"/>
      <c r="AT395" s="1458"/>
      <c r="AU395" s="1458"/>
      <c r="AV395" s="1458"/>
      <c r="AW395" s="1458"/>
      <c r="AX395" s="1458"/>
      <c r="AY395" s="1458"/>
      <c r="AZ395" s="1458"/>
      <c r="BA395" s="1458"/>
      <c r="BB395" s="1458"/>
      <c r="BC395" s="1458"/>
      <c r="BD395" s="1458"/>
      <c r="BE395" s="1458"/>
      <c r="BF395" s="1458"/>
      <c r="BG395" s="1458"/>
      <c r="BH395" s="1458"/>
      <c r="BI395" s="1458"/>
    </row>
    <row r="396" spans="3:61" s="1430" customFormat="1">
      <c r="C396" s="127" t="s">
        <v>3535</v>
      </c>
      <c r="D396" s="1863"/>
      <c r="E396" s="1863"/>
      <c r="F396" s="1863"/>
      <c r="G396" s="1863"/>
      <c r="H396" s="109"/>
      <c r="I396" s="82"/>
      <c r="J396" s="1566"/>
      <c r="K396" s="1578"/>
      <c r="L396" s="1578"/>
      <c r="M396" s="1578"/>
      <c r="N396" s="1578"/>
      <c r="O396" s="1614"/>
      <c r="P396" s="1614"/>
      <c r="Q396" s="1614"/>
      <c r="R396" s="1614"/>
      <c r="S396" s="1614"/>
      <c r="T396" s="1614"/>
      <c r="U396" s="1614"/>
      <c r="V396" s="1614"/>
      <c r="W396" s="1614"/>
      <c r="X396" s="1614"/>
      <c r="Y396" s="1614"/>
      <c r="Z396" s="1614"/>
      <c r="AA396" s="1614"/>
      <c r="AB396" s="1614"/>
      <c r="AC396" s="1614"/>
      <c r="AD396" s="1614"/>
      <c r="AE396" s="1614"/>
      <c r="AF396" s="1614"/>
      <c r="AG396" s="1614"/>
      <c r="AH396" s="1614"/>
      <c r="AI396" s="1614"/>
      <c r="AJ396" s="1614"/>
      <c r="AK396" s="1614"/>
      <c r="AL396" s="1458"/>
      <c r="AM396" s="1458"/>
      <c r="AN396" s="1458"/>
      <c r="AO396" s="1458"/>
      <c r="AP396" s="1458"/>
      <c r="AQ396" s="1458"/>
      <c r="AR396" s="1458"/>
      <c r="AS396" s="1458"/>
      <c r="AT396" s="1458"/>
      <c r="AU396" s="1458"/>
      <c r="AV396" s="1458"/>
      <c r="AW396" s="1458"/>
      <c r="AX396" s="1458"/>
      <c r="AY396" s="1458"/>
      <c r="AZ396" s="1458"/>
      <c r="BA396" s="1458"/>
      <c r="BB396" s="1458"/>
      <c r="BC396" s="1458"/>
      <c r="BD396" s="1458"/>
      <c r="BE396" s="1458"/>
      <c r="BF396" s="1458"/>
      <c r="BG396" s="1458"/>
      <c r="BH396" s="1458"/>
      <c r="BI396" s="1458"/>
    </row>
    <row r="397" spans="3:61" s="1430" customFormat="1">
      <c r="C397" s="128" t="s">
        <v>1244</v>
      </c>
      <c r="D397" s="1863"/>
      <c r="E397" s="1863"/>
      <c r="F397" s="1863"/>
      <c r="G397" s="1863"/>
      <c r="H397" s="109"/>
      <c r="I397" s="82"/>
      <c r="J397" s="1566"/>
      <c r="K397" s="1578"/>
      <c r="L397" s="1578"/>
      <c r="M397" s="1578"/>
      <c r="N397" s="1578"/>
      <c r="O397" s="1614"/>
      <c r="P397" s="1614"/>
      <c r="Q397" s="1614"/>
      <c r="R397" s="1614"/>
      <c r="S397" s="1614"/>
      <c r="T397" s="1614"/>
      <c r="U397" s="1614"/>
      <c r="V397" s="1614"/>
      <c r="W397" s="1614"/>
      <c r="X397" s="1614"/>
      <c r="Y397" s="1614"/>
      <c r="Z397" s="1614"/>
      <c r="AA397" s="1614"/>
      <c r="AB397" s="1614"/>
      <c r="AC397" s="1614"/>
      <c r="AD397" s="1614"/>
      <c r="AE397" s="1614"/>
      <c r="AF397" s="1614"/>
      <c r="AG397" s="1614"/>
      <c r="AH397" s="1614"/>
      <c r="AI397" s="1614"/>
      <c r="AJ397" s="1614"/>
      <c r="AK397" s="1614"/>
      <c r="AL397" s="1458"/>
      <c r="AM397" s="1458"/>
      <c r="AN397" s="1458"/>
      <c r="AO397" s="1458"/>
      <c r="AP397" s="1458"/>
      <c r="AQ397" s="1458"/>
      <c r="AR397" s="1458"/>
      <c r="AS397" s="1458"/>
      <c r="AT397" s="1458"/>
      <c r="AU397" s="1458"/>
      <c r="AV397" s="1458"/>
      <c r="AW397" s="1458"/>
      <c r="AX397" s="1458"/>
      <c r="AY397" s="1458"/>
      <c r="AZ397" s="1458"/>
      <c r="BA397" s="1458"/>
      <c r="BB397" s="1458"/>
      <c r="BC397" s="1458"/>
      <c r="BD397" s="1458"/>
      <c r="BE397" s="1458"/>
      <c r="BF397" s="1458"/>
      <c r="BG397" s="1458"/>
      <c r="BH397" s="1458"/>
      <c r="BI397" s="1458"/>
    </row>
    <row r="398" spans="3:61" s="1430" customFormat="1">
      <c r="C398" s="129" t="s">
        <v>1247</v>
      </c>
      <c r="D398" s="1863"/>
      <c r="E398" s="1863"/>
      <c r="F398" s="1863"/>
      <c r="G398" s="1863"/>
      <c r="H398" s="109">
        <f>DT!J25</f>
        <v>659464.01664000005</v>
      </c>
      <c r="I398" s="111">
        <v>321058.53702500003</v>
      </c>
      <c r="J398" s="1566"/>
      <c r="K398" s="1578"/>
      <c r="L398" s="1578"/>
      <c r="M398" s="1578"/>
      <c r="N398" s="1578"/>
      <c r="O398" s="1614"/>
      <c r="P398" s="1614"/>
      <c r="Q398" s="1614"/>
      <c r="R398" s="1614"/>
      <c r="S398" s="1614"/>
      <c r="T398" s="1614"/>
      <c r="U398" s="1614"/>
      <c r="V398" s="1614"/>
      <c r="W398" s="1614"/>
      <c r="X398" s="1614"/>
      <c r="Y398" s="1614"/>
      <c r="Z398" s="1614"/>
      <c r="AA398" s="1614"/>
      <c r="AB398" s="1614"/>
      <c r="AC398" s="1614"/>
      <c r="AD398" s="1614"/>
      <c r="AE398" s="1614"/>
      <c r="AF398" s="1614"/>
      <c r="AG398" s="1614"/>
      <c r="AH398" s="1614"/>
      <c r="AI398" s="1614"/>
      <c r="AJ398" s="1614"/>
      <c r="AK398" s="1614"/>
      <c r="AL398" s="1458"/>
      <c r="AM398" s="1458"/>
      <c r="AN398" s="1458"/>
      <c r="AO398" s="1458"/>
      <c r="AP398" s="1458"/>
      <c r="AQ398" s="1458"/>
      <c r="AR398" s="1458"/>
      <c r="AS398" s="1458"/>
      <c r="AT398" s="1458"/>
      <c r="AU398" s="1458"/>
      <c r="AV398" s="1458"/>
      <c r="AW398" s="1458"/>
      <c r="AX398" s="1458"/>
      <c r="AY398" s="1458"/>
      <c r="AZ398" s="1458"/>
      <c r="BA398" s="1458"/>
      <c r="BB398" s="1458"/>
      <c r="BC398" s="1458"/>
      <c r="BD398" s="1458"/>
      <c r="BE398" s="1458"/>
      <c r="BF398" s="1458"/>
      <c r="BG398" s="1458"/>
      <c r="BH398" s="1458"/>
      <c r="BI398" s="1458"/>
    </row>
    <row r="399" spans="3:61" s="1430" customFormat="1">
      <c r="C399" s="127" t="s">
        <v>1246</v>
      </c>
      <c r="D399" s="1863"/>
      <c r="E399" s="1863"/>
      <c r="F399" s="1863"/>
      <c r="G399" s="1863"/>
      <c r="H399" s="131">
        <f>+H398</f>
        <v>659464.01664000005</v>
      </c>
      <c r="I399" s="115">
        <f>+I398</f>
        <v>321058.53702500003</v>
      </c>
      <c r="J399" s="1561"/>
      <c r="K399" s="1582"/>
      <c r="L399" s="1582"/>
      <c r="M399" s="1582"/>
      <c r="N399" s="1582"/>
      <c r="O399" s="1614"/>
      <c r="P399" s="1614"/>
      <c r="Q399" s="1614"/>
      <c r="R399" s="1614"/>
      <c r="S399" s="1614"/>
      <c r="T399" s="1614"/>
      <c r="U399" s="1614"/>
      <c r="V399" s="1614"/>
      <c r="W399" s="1614"/>
      <c r="X399" s="1614"/>
      <c r="Y399" s="1614"/>
      <c r="Z399" s="1614"/>
      <c r="AA399" s="1614"/>
      <c r="AB399" s="1614"/>
      <c r="AC399" s="1614"/>
      <c r="AD399" s="1614"/>
      <c r="AE399" s="1614"/>
      <c r="AF399" s="1614"/>
      <c r="AG399" s="1614"/>
      <c r="AH399" s="1614"/>
      <c r="AI399" s="1614"/>
      <c r="AJ399" s="1614"/>
      <c r="AK399" s="1614"/>
      <c r="AL399" s="1458"/>
      <c r="AM399" s="1458"/>
      <c r="AN399" s="1458"/>
      <c r="AO399" s="1458"/>
      <c r="AP399" s="1458"/>
      <c r="AQ399" s="1458"/>
      <c r="AR399" s="1458"/>
      <c r="AS399" s="1458"/>
      <c r="AT399" s="1458"/>
      <c r="AU399" s="1458"/>
      <c r="AV399" s="1458"/>
      <c r="AW399" s="1458"/>
      <c r="AX399" s="1458"/>
      <c r="AY399" s="1458"/>
      <c r="AZ399" s="1458"/>
      <c r="BA399" s="1458"/>
      <c r="BB399" s="1458"/>
      <c r="BC399" s="1458"/>
      <c r="BD399" s="1458"/>
      <c r="BE399" s="1458"/>
      <c r="BF399" s="1458"/>
      <c r="BG399" s="1458"/>
      <c r="BH399" s="1458"/>
      <c r="BI399" s="1458"/>
    </row>
    <row r="400" spans="3:61" s="1430" customFormat="1">
      <c r="C400" s="127" t="s">
        <v>1248</v>
      </c>
      <c r="D400" s="1840"/>
      <c r="E400" s="1840"/>
      <c r="F400" s="1439"/>
      <c r="G400" s="1439"/>
      <c r="H400" s="87">
        <f>+H394-H399</f>
        <v>16151128.949873626</v>
      </c>
      <c r="I400" s="87">
        <f>+I394-I399</f>
        <v>19475120.165946875</v>
      </c>
      <c r="J400" s="1561"/>
      <c r="K400" s="1613"/>
      <c r="L400" s="1613"/>
      <c r="M400" s="1613"/>
      <c r="N400" s="1613"/>
      <c r="O400" s="1614"/>
      <c r="P400" s="1614"/>
      <c r="Q400" s="1614"/>
      <c r="R400" s="1614"/>
      <c r="S400" s="1614"/>
      <c r="T400" s="1614"/>
      <c r="U400" s="1614"/>
      <c r="V400" s="1614"/>
      <c r="W400" s="1614"/>
      <c r="X400" s="1614"/>
      <c r="Y400" s="1614"/>
      <c r="Z400" s="1614"/>
      <c r="AA400" s="1614"/>
      <c r="AB400" s="1614"/>
      <c r="AC400" s="1614"/>
      <c r="AD400" s="1614"/>
      <c r="AE400" s="1614"/>
      <c r="AF400" s="1614"/>
      <c r="AG400" s="1614"/>
      <c r="AH400" s="1614"/>
      <c r="AI400" s="1614"/>
      <c r="AJ400" s="1614"/>
      <c r="AK400" s="1614"/>
      <c r="AL400" s="1458"/>
      <c r="AM400" s="1458"/>
      <c r="AN400" s="1458"/>
      <c r="AO400" s="1458"/>
      <c r="AP400" s="1458"/>
      <c r="AQ400" s="1458"/>
      <c r="AR400" s="1458"/>
      <c r="AS400" s="1458"/>
      <c r="AT400" s="1458"/>
      <c r="AU400" s="1458"/>
      <c r="AV400" s="1458"/>
      <c r="AW400" s="1458"/>
      <c r="AX400" s="1458"/>
      <c r="AY400" s="1458"/>
      <c r="AZ400" s="1458"/>
      <c r="BA400" s="1458"/>
      <c r="BB400" s="1458"/>
      <c r="BC400" s="1458"/>
      <c r="BD400" s="1458"/>
      <c r="BE400" s="1458"/>
      <c r="BF400" s="1458"/>
      <c r="BG400" s="1458"/>
      <c r="BH400" s="1458"/>
      <c r="BI400" s="1458"/>
    </row>
    <row r="401" spans="1:61" s="1430" customFormat="1">
      <c r="C401" s="74" t="s">
        <v>1249</v>
      </c>
      <c r="D401" s="1838"/>
      <c r="E401" s="1838"/>
      <c r="F401" s="1439"/>
      <c r="G401" s="1372"/>
      <c r="H401" s="87">
        <f>+H400</f>
        <v>16151128.949873626</v>
      </c>
      <c r="I401" s="87">
        <f>+I400</f>
        <v>19475120.165946875</v>
      </c>
      <c r="J401" s="1561"/>
      <c r="K401" s="1613"/>
      <c r="L401" s="1613"/>
      <c r="M401" s="1613"/>
      <c r="N401" s="1643"/>
      <c r="O401" s="1644"/>
      <c r="P401" s="1644"/>
      <c r="Q401" s="1644"/>
      <c r="R401" s="1614"/>
      <c r="S401" s="1614"/>
      <c r="T401" s="1614"/>
      <c r="U401" s="1614"/>
      <c r="V401" s="1614"/>
      <c r="W401" s="1614"/>
      <c r="X401" s="1614"/>
      <c r="Y401" s="1614"/>
      <c r="Z401" s="1614"/>
      <c r="AA401" s="1614"/>
      <c r="AB401" s="1614"/>
      <c r="AC401" s="1614"/>
      <c r="AD401" s="1614"/>
      <c r="AE401" s="1614"/>
      <c r="AF401" s="1614"/>
      <c r="AG401" s="1614"/>
      <c r="AH401" s="1614"/>
      <c r="AI401" s="1614"/>
      <c r="AJ401" s="1614"/>
      <c r="AK401" s="1614"/>
      <c r="AL401" s="1458"/>
      <c r="AM401" s="1458"/>
      <c r="AN401" s="1458"/>
      <c r="AO401" s="1458"/>
      <c r="AP401" s="1458"/>
      <c r="AQ401" s="1458"/>
      <c r="AR401" s="1458"/>
      <c r="AS401" s="1458"/>
      <c r="AT401" s="1458"/>
      <c r="AU401" s="1458"/>
      <c r="AV401" s="1458"/>
      <c r="AW401" s="1458"/>
      <c r="AX401" s="1458"/>
      <c r="AY401" s="1458"/>
      <c r="AZ401" s="1458"/>
      <c r="BA401" s="1458"/>
      <c r="BB401" s="1458"/>
      <c r="BC401" s="1458"/>
      <c r="BD401" s="1458"/>
      <c r="BE401" s="1458"/>
      <c r="BF401" s="1458"/>
      <c r="BG401" s="1458"/>
      <c r="BH401" s="1458"/>
      <c r="BI401" s="1458"/>
    </row>
    <row r="402" spans="1:61" s="1430" customFormat="1">
      <c r="C402" s="74"/>
      <c r="D402" s="1838"/>
      <c r="E402" s="1838"/>
      <c r="F402" s="1439"/>
      <c r="G402" s="1372"/>
      <c r="H402" s="82"/>
      <c r="I402" s="82"/>
      <c r="J402" s="1566"/>
      <c r="K402" s="1578"/>
      <c r="L402" s="1578"/>
      <c r="M402" s="1578"/>
      <c r="N402" s="1579"/>
      <c r="O402" s="1614"/>
      <c r="P402" s="1614"/>
      <c r="Q402" s="1614"/>
      <c r="R402" s="1614"/>
      <c r="S402" s="1614"/>
      <c r="T402" s="1614"/>
      <c r="U402" s="1614"/>
      <c r="V402" s="1614"/>
      <c r="W402" s="1614"/>
      <c r="X402" s="1614"/>
      <c r="Y402" s="1614"/>
      <c r="Z402" s="1614"/>
      <c r="AA402" s="1614"/>
      <c r="AB402" s="1614"/>
      <c r="AC402" s="1614"/>
      <c r="AD402" s="1614"/>
      <c r="AE402" s="1614"/>
      <c r="AF402" s="1614"/>
      <c r="AG402" s="1614"/>
      <c r="AH402" s="1614"/>
      <c r="AI402" s="1614"/>
      <c r="AJ402" s="1614"/>
      <c r="AK402" s="1614"/>
      <c r="AL402" s="1458"/>
      <c r="AM402" s="1458"/>
      <c r="AN402" s="1458"/>
      <c r="AO402" s="1458"/>
      <c r="AP402" s="1458"/>
      <c r="AQ402" s="1458"/>
      <c r="AR402" s="1458"/>
      <c r="AS402" s="1458"/>
      <c r="AT402" s="1458"/>
      <c r="AU402" s="1458"/>
      <c r="AV402" s="1458"/>
      <c r="AW402" s="1458"/>
      <c r="AX402" s="1458"/>
      <c r="AY402" s="1458"/>
      <c r="AZ402" s="1458"/>
      <c r="BA402" s="1458"/>
      <c r="BB402" s="1458"/>
      <c r="BC402" s="1458"/>
      <c r="BD402" s="1458"/>
      <c r="BE402" s="1458"/>
      <c r="BF402" s="1458"/>
      <c r="BG402" s="1458"/>
      <c r="BH402" s="1458"/>
      <c r="BI402" s="1458"/>
    </row>
    <row r="403" spans="1:61">
      <c r="C403" s="1847" t="s">
        <v>1250</v>
      </c>
      <c r="D403" s="1848"/>
      <c r="E403" s="1848"/>
      <c r="F403" s="1848"/>
      <c r="H403" s="82"/>
      <c r="I403" s="82"/>
      <c r="J403" s="1566"/>
      <c r="K403" s="1578"/>
      <c r="L403" s="1578"/>
      <c r="M403" s="1578"/>
    </row>
    <row r="404" spans="1:61">
      <c r="C404" s="1847"/>
      <c r="D404" s="1848"/>
      <c r="E404" s="1848"/>
      <c r="F404" s="1848"/>
      <c r="H404" s="82"/>
      <c r="I404" s="82"/>
      <c r="J404" s="1566"/>
      <c r="K404" s="1578"/>
      <c r="L404" s="1578"/>
      <c r="M404" s="1578"/>
    </row>
    <row r="405" spans="1:61">
      <c r="C405" s="1432" t="s">
        <v>1233</v>
      </c>
      <c r="D405" s="1443"/>
      <c r="E405" s="1443"/>
      <c r="F405" s="1443"/>
      <c r="H405" s="82"/>
      <c r="I405" s="82"/>
      <c r="J405" s="1566"/>
      <c r="K405" s="1578"/>
      <c r="L405" s="1578"/>
      <c r="M405" s="1578"/>
    </row>
    <row r="406" spans="1:61">
      <c r="C406" s="1459" t="s">
        <v>1251</v>
      </c>
      <c r="D406" s="1450"/>
      <c r="E406" s="1450"/>
      <c r="F406" s="1450"/>
      <c r="H406" s="82"/>
      <c r="I406" s="22"/>
      <c r="J406" s="1566"/>
      <c r="K406" s="1554"/>
      <c r="L406" s="1554"/>
      <c r="M406" s="1554"/>
      <c r="N406" s="1554"/>
    </row>
    <row r="407" spans="1:61">
      <c r="C407" s="1460" t="s">
        <v>1252</v>
      </c>
      <c r="D407" s="1450"/>
      <c r="E407" s="1450"/>
      <c r="F407" s="1450"/>
      <c r="H407" s="82">
        <f>+GETPIVOTDATA("Sum of Cr. Final 21-22",Pivot!$A$3,"Note",16,"BS Main Head","Short Term Borrowings","BS Sub Head","Secured - From Banks - Working Capital Loan")</f>
        <v>56842407.57</v>
      </c>
      <c r="I407" s="22">
        <f>+GETPIVOTDATA("Sum of Cr. Final 2020-21",Pivot!$A$3,"Note",16,"BS Main Head","Short Term Borrowings","BS Sub Head","Secured - From Banks - Working Capital Loan")</f>
        <v>43576042.979999997</v>
      </c>
      <c r="J407" s="1566"/>
      <c r="K407" s="1554"/>
      <c r="L407" s="1554"/>
      <c r="M407" s="1554"/>
      <c r="N407" s="1554"/>
    </row>
    <row r="408" spans="1:61" ht="37.15" customHeight="1">
      <c r="C408" s="2194" t="s">
        <v>1253</v>
      </c>
      <c r="D408" s="2195"/>
      <c r="E408" s="2195"/>
      <c r="F408" s="2195"/>
      <c r="G408" s="2195"/>
      <c r="H408" s="98"/>
      <c r="I408" s="98"/>
      <c r="J408" s="1625"/>
      <c r="K408" s="1626"/>
      <c r="L408" s="1626"/>
      <c r="M408" s="1626"/>
      <c r="N408" s="1627"/>
    </row>
    <row r="409" spans="1:61" ht="46.5" customHeight="1">
      <c r="C409" s="2194"/>
      <c r="D409" s="2195"/>
      <c r="E409" s="2195"/>
      <c r="F409" s="2195"/>
      <c r="G409" s="2195"/>
      <c r="H409" s="98"/>
      <c r="I409" s="98"/>
      <c r="J409" s="1625"/>
      <c r="K409" s="1626"/>
      <c r="L409" s="1626"/>
      <c r="M409" s="1626"/>
      <c r="N409" s="1627"/>
    </row>
    <row r="410" spans="1:61">
      <c r="C410" s="1436"/>
      <c r="D410" s="1846"/>
      <c r="E410" s="1846"/>
      <c r="F410" s="1846"/>
      <c r="G410" s="1404"/>
      <c r="H410" s="23">
        <f>+SUM(H407:H409)</f>
        <v>56842407.57</v>
      </c>
      <c r="I410" s="23">
        <f>+SUM(I407:I409)</f>
        <v>43576042.979999997</v>
      </c>
      <c r="J410" s="1561"/>
      <c r="K410" s="1569"/>
      <c r="L410" s="1569"/>
      <c r="M410" s="1569"/>
      <c r="N410" s="1569"/>
    </row>
    <row r="411" spans="1:61" s="1375" customFormat="1">
      <c r="A411" s="1371"/>
      <c r="B411" s="1371"/>
      <c r="C411" s="2203" t="s">
        <v>1065</v>
      </c>
      <c r="D411" s="2204"/>
      <c r="E411" s="2204"/>
      <c r="F411" s="2204"/>
      <c r="G411" s="2204"/>
      <c r="H411" s="2204"/>
      <c r="I411" s="2205"/>
      <c r="J411" s="1634"/>
      <c r="K411" s="1635"/>
      <c r="L411" s="1635"/>
      <c r="M411" s="1635"/>
      <c r="N411" s="1635"/>
      <c r="O411" s="1608"/>
      <c r="P411" s="1608"/>
      <c r="Q411" s="1608"/>
      <c r="R411" s="1608"/>
      <c r="S411" s="1608"/>
      <c r="T411" s="1608"/>
      <c r="U411" s="1608"/>
      <c r="V411" s="1608"/>
      <c r="W411" s="1608"/>
      <c r="X411" s="1608"/>
      <c r="Y411" s="1608"/>
      <c r="Z411" s="1608"/>
      <c r="AA411" s="1608"/>
      <c r="AB411" s="1608"/>
      <c r="AC411" s="1608"/>
      <c r="AD411" s="1608"/>
      <c r="AE411" s="1608"/>
      <c r="AF411" s="1608"/>
      <c r="AG411" s="1608"/>
      <c r="AH411" s="1608"/>
      <c r="AI411" s="1608"/>
      <c r="AJ411" s="1608"/>
      <c r="AK411" s="1608"/>
      <c r="AL411" s="1425"/>
      <c r="AM411" s="1425"/>
      <c r="AN411" s="1425"/>
      <c r="AO411" s="1425"/>
      <c r="AP411" s="1425"/>
      <c r="AQ411" s="1425"/>
      <c r="AR411" s="1425"/>
      <c r="AS411" s="1425"/>
      <c r="AT411" s="1425"/>
      <c r="AU411" s="1425"/>
      <c r="AV411" s="1425"/>
      <c r="AW411" s="1425"/>
      <c r="AX411" s="1425"/>
      <c r="AY411" s="1425"/>
      <c r="AZ411" s="1425"/>
      <c r="BA411" s="1425"/>
      <c r="BB411" s="1425"/>
      <c r="BC411" s="1425"/>
      <c r="BD411" s="1425"/>
      <c r="BE411" s="1425"/>
      <c r="BF411" s="1425"/>
      <c r="BG411" s="1425"/>
      <c r="BH411" s="1425"/>
      <c r="BI411" s="1425"/>
    </row>
    <row r="412" spans="1:61">
      <c r="C412" s="2169" t="s">
        <v>1546</v>
      </c>
      <c r="D412" s="2170"/>
      <c r="E412" s="2170"/>
      <c r="F412" s="2170"/>
      <c r="G412" s="2170"/>
      <c r="H412" s="2170"/>
      <c r="I412" s="2171"/>
      <c r="J412" s="1623"/>
      <c r="K412" s="1624"/>
      <c r="L412" s="1624"/>
      <c r="M412" s="1624"/>
      <c r="N412" s="1624"/>
    </row>
    <row r="413" spans="1:61">
      <c r="C413" s="1426" t="s">
        <v>402</v>
      </c>
      <c r="D413" s="78"/>
      <c r="E413" s="1869"/>
      <c r="F413" s="78"/>
      <c r="G413" s="1427"/>
      <c r="H413" s="15" t="s">
        <v>1067</v>
      </c>
      <c r="I413" s="15" t="s">
        <v>1068</v>
      </c>
      <c r="J413" s="1558"/>
      <c r="K413" s="1559"/>
      <c r="L413" s="1559"/>
      <c r="M413" s="1559"/>
      <c r="N413" s="1560"/>
    </row>
    <row r="414" spans="1:61" ht="37.5">
      <c r="C414" s="52"/>
      <c r="D414" s="1844"/>
      <c r="E414" s="1844"/>
      <c r="F414" s="1844"/>
      <c r="G414" s="1428"/>
      <c r="H414" s="56" t="str">
        <f>+H362</f>
        <v>March 31, 2022 (₹)</v>
      </c>
      <c r="I414" s="56" t="s">
        <v>1069</v>
      </c>
      <c r="J414" s="1561"/>
      <c r="K414" s="1562"/>
      <c r="L414" s="1562"/>
      <c r="M414" s="1562"/>
      <c r="N414" s="1562"/>
    </row>
    <row r="415" spans="1:61">
      <c r="C415" s="1847" t="s">
        <v>1254</v>
      </c>
      <c r="D415" s="1461"/>
      <c r="E415" s="1461"/>
      <c r="F415" s="1461"/>
      <c r="H415" s="82"/>
      <c r="I415" s="40"/>
      <c r="J415" s="1566"/>
      <c r="K415" s="1578"/>
      <c r="L415" s="1578"/>
      <c r="M415" s="1578"/>
    </row>
    <row r="416" spans="1:61">
      <c r="C416" s="1447" t="s">
        <v>1255</v>
      </c>
      <c r="D416" s="1461"/>
      <c r="E416" s="1461"/>
      <c r="F416" s="1461"/>
      <c r="H416" s="82"/>
      <c r="I416" s="22"/>
      <c r="J416" s="1566"/>
      <c r="K416" s="1554"/>
      <c r="L416" s="1554"/>
      <c r="M416" s="1554"/>
      <c r="N416" s="1554"/>
    </row>
    <row r="417" spans="3:61" s="1908" customFormat="1">
      <c r="C417" s="1441" t="s">
        <v>3537</v>
      </c>
      <c r="D417" s="1461"/>
      <c r="E417" s="1461"/>
      <c r="F417" s="1461"/>
      <c r="G417" s="1372"/>
      <c r="H417" s="82">
        <f>+D425</f>
        <v>25362945.699999999</v>
      </c>
      <c r="I417" s="22">
        <f>+D432</f>
        <v>23064647</v>
      </c>
      <c r="J417" s="1904"/>
      <c r="K417" s="1918"/>
      <c r="L417" s="1918"/>
      <c r="M417" s="1918"/>
      <c r="N417" s="1904"/>
      <c r="O417" s="1906"/>
      <c r="P417" s="1906"/>
      <c r="Q417" s="1906"/>
      <c r="R417" s="1906"/>
      <c r="S417" s="1906"/>
      <c r="T417" s="1906"/>
      <c r="U417" s="1906"/>
      <c r="V417" s="1906"/>
      <c r="W417" s="1906"/>
      <c r="X417" s="1906"/>
      <c r="Y417" s="1906"/>
      <c r="Z417" s="1906"/>
      <c r="AA417" s="1906"/>
      <c r="AB417" s="1906"/>
      <c r="AC417" s="1906"/>
      <c r="AD417" s="1906"/>
      <c r="AE417" s="1906"/>
      <c r="AF417" s="1906"/>
      <c r="AG417" s="1906"/>
      <c r="AH417" s="1906"/>
      <c r="AI417" s="1906"/>
      <c r="AJ417" s="1906"/>
      <c r="AK417" s="1906"/>
      <c r="AL417" s="1907"/>
      <c r="AM417" s="1907"/>
      <c r="AN417" s="1907"/>
      <c r="AO417" s="1907"/>
      <c r="AP417" s="1907"/>
      <c r="AQ417" s="1907"/>
      <c r="AR417" s="1907"/>
      <c r="AS417" s="1907"/>
      <c r="AT417" s="1907"/>
      <c r="AU417" s="1907"/>
      <c r="AV417" s="1907"/>
      <c r="AW417" s="1907"/>
      <c r="AX417" s="1907"/>
      <c r="AY417" s="1907"/>
      <c r="AZ417" s="1907"/>
      <c r="BA417" s="1907"/>
      <c r="BB417" s="1907"/>
      <c r="BC417" s="1907"/>
      <c r="BD417" s="1907"/>
      <c r="BE417" s="1907"/>
      <c r="BF417" s="1907"/>
      <c r="BG417" s="1907"/>
      <c r="BH417" s="1907"/>
      <c r="BI417" s="1907"/>
    </row>
    <row r="418" spans="3:61" s="1908" customFormat="1">
      <c r="C418" s="1441" t="s">
        <v>1256</v>
      </c>
      <c r="D418" s="1461"/>
      <c r="E418" s="1461"/>
      <c r="F418" s="1461"/>
      <c r="G418" s="1372"/>
      <c r="H418" s="82">
        <f>+GETPIVOTDATA("Sum of Cr. Final 21-22",Pivot!$A$3,"Note",17,"BS Main Head","Trade Payables")-GETPIVOTDATA("Sum of Dr. Final 21-22",Pivot!$A$3,"Note",17,"BS Main Head","Trade Payables")-H417</f>
        <v>61993533.139999986</v>
      </c>
      <c r="I418" s="40">
        <f>+GETPIVOTDATA("Sum of Cr. Final 2020-21",Pivot!$A$3,"Note",17,"BS Main Head","Trade Payables")-GETPIVOTDATA("Sum of Dr. Final 2020-21",Pivot!$A$3,"Note",17,"BS Main Head","Trade Payables")-I417</f>
        <v>56563052.75999999</v>
      </c>
      <c r="J418" s="1904"/>
      <c r="K418" s="1905"/>
      <c r="L418" s="1905"/>
      <c r="M418" s="1905"/>
      <c r="N418" s="1905"/>
      <c r="O418" s="1906"/>
      <c r="P418" s="1906"/>
      <c r="Q418" s="1906"/>
      <c r="R418" s="1906"/>
      <c r="S418" s="1906"/>
      <c r="T418" s="1906"/>
      <c r="U418" s="1906"/>
      <c r="V418" s="1906"/>
      <c r="W418" s="1906"/>
      <c r="X418" s="1906"/>
      <c r="Y418" s="1906"/>
      <c r="Z418" s="1906"/>
      <c r="AA418" s="1906"/>
      <c r="AB418" s="1906"/>
      <c r="AC418" s="1906"/>
      <c r="AD418" s="1906"/>
      <c r="AE418" s="1906"/>
      <c r="AF418" s="1906"/>
      <c r="AG418" s="1906"/>
      <c r="AH418" s="1906"/>
      <c r="AI418" s="1906"/>
      <c r="AJ418" s="1906"/>
      <c r="AK418" s="1906"/>
      <c r="AL418" s="1907"/>
      <c r="AM418" s="1907"/>
      <c r="AN418" s="1907"/>
      <c r="AO418" s="1907"/>
      <c r="AP418" s="1907"/>
      <c r="AQ418" s="1907"/>
      <c r="AR418" s="1907"/>
      <c r="AS418" s="1907"/>
      <c r="AT418" s="1907"/>
      <c r="AU418" s="1907"/>
      <c r="AV418" s="1907"/>
      <c r="AW418" s="1907"/>
      <c r="AX418" s="1907"/>
      <c r="AY418" s="1907"/>
      <c r="AZ418" s="1907"/>
      <c r="BA418" s="1907"/>
      <c r="BB418" s="1907"/>
      <c r="BC418" s="1907"/>
      <c r="BD418" s="1907"/>
      <c r="BE418" s="1907"/>
      <c r="BF418" s="1907"/>
      <c r="BG418" s="1907"/>
      <c r="BH418" s="1907"/>
      <c r="BI418" s="1907"/>
    </row>
    <row r="419" spans="3:61" s="1908" customFormat="1">
      <c r="C419" s="1982"/>
      <c r="D419" s="1983"/>
      <c r="E419" s="1983"/>
      <c r="F419" s="1983"/>
      <c r="G419" s="1404"/>
      <c r="H419" s="23">
        <f>+SUM(H417:H418)</f>
        <v>87356478.839999989</v>
      </c>
      <c r="I419" s="23">
        <f>+SUM(I417:I418)</f>
        <v>79627699.75999999</v>
      </c>
      <c r="J419" s="1919"/>
      <c r="K419" s="1920"/>
      <c r="L419" s="1920"/>
      <c r="M419" s="1920"/>
      <c r="N419" s="1920"/>
      <c r="O419" s="1906"/>
      <c r="P419" s="1906"/>
      <c r="Q419" s="1906"/>
      <c r="R419" s="1906"/>
      <c r="S419" s="1906"/>
      <c r="T419" s="1906"/>
      <c r="U419" s="1906"/>
      <c r="V419" s="1906"/>
      <c r="W419" s="1906"/>
      <c r="X419" s="1906"/>
      <c r="Y419" s="1906"/>
      <c r="Z419" s="1906"/>
      <c r="AA419" s="1906"/>
      <c r="AB419" s="1906"/>
      <c r="AC419" s="1906"/>
      <c r="AD419" s="1906"/>
      <c r="AE419" s="1906"/>
      <c r="AF419" s="1906"/>
      <c r="AG419" s="1906"/>
      <c r="AH419" s="1906"/>
      <c r="AI419" s="1906"/>
      <c r="AJ419" s="1906"/>
      <c r="AK419" s="1906"/>
      <c r="AL419" s="1907"/>
      <c r="AM419" s="1907"/>
      <c r="AN419" s="1907"/>
      <c r="AO419" s="1907"/>
      <c r="AP419" s="1907"/>
      <c r="AQ419" s="1907"/>
      <c r="AR419" s="1907"/>
      <c r="AS419" s="1907"/>
      <c r="AT419" s="1907"/>
      <c r="AU419" s="1907"/>
      <c r="AV419" s="1907"/>
      <c r="AW419" s="1907"/>
      <c r="AX419" s="1907"/>
      <c r="AY419" s="1907"/>
      <c r="AZ419" s="1907"/>
      <c r="BA419" s="1907"/>
      <c r="BB419" s="1907"/>
      <c r="BC419" s="1907"/>
      <c r="BD419" s="1907"/>
      <c r="BE419" s="1907"/>
      <c r="BF419" s="1907"/>
      <c r="BG419" s="1907"/>
      <c r="BH419" s="1907"/>
      <c r="BI419" s="1907"/>
    </row>
    <row r="420" spans="3:61">
      <c r="C420" s="2155" t="s">
        <v>3538</v>
      </c>
      <c r="D420" s="2196"/>
      <c r="E420" s="2196"/>
      <c r="F420" s="2196"/>
      <c r="G420" s="2196"/>
      <c r="H420" s="2196"/>
      <c r="I420" s="2197"/>
      <c r="J420" s="1637"/>
      <c r="K420" s="1637"/>
      <c r="L420" s="1637"/>
      <c r="M420" s="1637"/>
      <c r="N420" s="1637"/>
    </row>
    <row r="421" spans="3:61">
      <c r="C421" s="2155"/>
      <c r="D421" s="2196"/>
      <c r="E421" s="2196"/>
      <c r="F421" s="2196"/>
      <c r="G421" s="2196"/>
      <c r="H421" s="2196"/>
      <c r="I421" s="2197"/>
      <c r="J421" s="1637"/>
      <c r="K421" s="1637"/>
      <c r="L421" s="1637"/>
      <c r="M421" s="1637"/>
      <c r="N421" s="1637"/>
    </row>
    <row r="422" spans="3:61">
      <c r="C422" s="2155"/>
      <c r="D422" s="2196"/>
      <c r="E422" s="2196"/>
      <c r="F422" s="2196"/>
      <c r="G422" s="2196"/>
      <c r="H422" s="2196"/>
      <c r="I422" s="2197"/>
      <c r="J422" s="1637"/>
      <c r="K422" s="1637"/>
      <c r="L422" s="1637"/>
      <c r="M422" s="1637"/>
      <c r="N422" s="1637"/>
    </row>
    <row r="423" spans="3:61" ht="33.75" customHeight="1">
      <c r="C423" s="2202" t="s">
        <v>9</v>
      </c>
      <c r="D423" s="2206" t="s">
        <v>2350</v>
      </c>
      <c r="E423" s="2207"/>
      <c r="F423" s="2207"/>
      <c r="G423" s="2207"/>
      <c r="H423" s="2208"/>
      <c r="I423" s="1921"/>
      <c r="J423" s="1637"/>
      <c r="K423" s="1637"/>
      <c r="L423" s="1637"/>
      <c r="M423" s="1637"/>
      <c r="N423" s="1637"/>
    </row>
    <row r="424" spans="3:61" s="1961" customFormat="1" ht="37.5">
      <c r="C424" s="2202"/>
      <c r="D424" s="1956" t="s">
        <v>2344</v>
      </c>
      <c r="E424" s="1957" t="s">
        <v>2345</v>
      </c>
      <c r="F424" s="2002" t="s">
        <v>2346</v>
      </c>
      <c r="G424" s="2002" t="s">
        <v>2359</v>
      </c>
      <c r="H424" s="2002" t="s">
        <v>1249</v>
      </c>
      <c r="I424" s="1984"/>
      <c r="J424" s="1958"/>
      <c r="K424" s="1958"/>
      <c r="L424" s="1958"/>
      <c r="M424" s="1958"/>
      <c r="N424" s="1958"/>
      <c r="O424" s="1959"/>
      <c r="P424" s="1959"/>
      <c r="Q424" s="1959"/>
      <c r="R424" s="1959"/>
      <c r="S424" s="1959"/>
      <c r="T424" s="1959"/>
      <c r="U424" s="1959"/>
      <c r="V424" s="1959"/>
      <c r="W424" s="1959"/>
      <c r="X424" s="1959"/>
      <c r="Y424" s="1959"/>
      <c r="Z424" s="1959"/>
      <c r="AA424" s="1959"/>
      <c r="AB424" s="1959"/>
      <c r="AC424" s="1959"/>
      <c r="AD424" s="1959"/>
      <c r="AE424" s="1959"/>
      <c r="AF424" s="1959"/>
      <c r="AG424" s="1959"/>
      <c r="AH424" s="1959"/>
      <c r="AI424" s="1959"/>
      <c r="AJ424" s="1959"/>
      <c r="AK424" s="1959"/>
      <c r="AL424" s="1960"/>
      <c r="AM424" s="1960"/>
      <c r="AN424" s="1960"/>
      <c r="AO424" s="1960"/>
      <c r="AP424" s="1960"/>
      <c r="AQ424" s="1960"/>
      <c r="AR424" s="1960"/>
      <c r="AS424" s="1960"/>
      <c r="AT424" s="1960"/>
      <c r="AU424" s="1960"/>
      <c r="AV424" s="1960"/>
      <c r="AW424" s="1960"/>
      <c r="AX424" s="1960"/>
      <c r="AY424" s="1960"/>
      <c r="AZ424" s="1960"/>
      <c r="BA424" s="1960"/>
      <c r="BB424" s="1960"/>
      <c r="BC424" s="1960"/>
      <c r="BD424" s="1960"/>
      <c r="BE424" s="1960"/>
      <c r="BF424" s="1960"/>
      <c r="BG424" s="1960"/>
      <c r="BH424" s="1960"/>
      <c r="BI424" s="1960"/>
    </row>
    <row r="425" spans="3:61">
      <c r="C425" s="1445" t="s">
        <v>2448</v>
      </c>
      <c r="D425" s="1446">
        <v>25362945.699999999</v>
      </c>
      <c r="E425" s="1446">
        <v>0</v>
      </c>
      <c r="F425" s="1446">
        <v>0</v>
      </c>
      <c r="G425" s="1446">
        <v>0</v>
      </c>
      <c r="H425" s="1011">
        <f>+SUM(D425:G425)</f>
        <v>25362945.699999999</v>
      </c>
      <c r="I425" s="40"/>
      <c r="J425" s="1637"/>
      <c r="K425" s="1637"/>
      <c r="L425" s="1637"/>
      <c r="M425" s="1637"/>
      <c r="N425" s="1637"/>
    </row>
    <row r="426" spans="3:61">
      <c r="C426" s="1445" t="s">
        <v>2449</v>
      </c>
      <c r="D426" s="1446">
        <f>+H419-D425</f>
        <v>61993533.139999986</v>
      </c>
      <c r="E426" s="1446">
        <v>0</v>
      </c>
      <c r="F426" s="1446">
        <v>0</v>
      </c>
      <c r="G426" s="1446">
        <v>0</v>
      </c>
      <c r="H426" s="1011">
        <f>+SUM(D426:G426)</f>
        <v>61993533.139999986</v>
      </c>
      <c r="I426" s="40"/>
      <c r="J426" s="1637"/>
      <c r="K426" s="1637"/>
      <c r="L426" s="1637"/>
      <c r="M426" s="1637"/>
      <c r="N426" s="1637"/>
    </row>
    <row r="427" spans="3:61">
      <c r="C427" s="1445" t="s">
        <v>2450</v>
      </c>
      <c r="D427" s="1446">
        <v>0</v>
      </c>
      <c r="E427" s="1446">
        <v>0</v>
      </c>
      <c r="F427" s="1446">
        <v>0</v>
      </c>
      <c r="G427" s="1446">
        <v>0</v>
      </c>
      <c r="H427" s="1011">
        <f>+SUM(D427:G427)</f>
        <v>0</v>
      </c>
      <c r="I427" s="40"/>
      <c r="J427" s="1637"/>
      <c r="K427" s="1637"/>
      <c r="L427" s="1637"/>
      <c r="M427" s="1637"/>
      <c r="N427" s="1637"/>
    </row>
    <row r="428" spans="3:61">
      <c r="C428" s="1445" t="s">
        <v>2451</v>
      </c>
      <c r="D428" s="1446">
        <v>0</v>
      </c>
      <c r="E428" s="1446">
        <v>0</v>
      </c>
      <c r="F428" s="1446">
        <v>0</v>
      </c>
      <c r="G428" s="1446">
        <v>0</v>
      </c>
      <c r="H428" s="1011">
        <f>+SUM(D428:G428)</f>
        <v>0</v>
      </c>
      <c r="I428" s="40"/>
      <c r="J428" s="1637"/>
      <c r="K428" s="1637"/>
      <c r="L428" s="1637"/>
      <c r="M428" s="1637"/>
      <c r="N428" s="1637"/>
    </row>
    <row r="429" spans="3:61">
      <c r="C429" s="1441"/>
      <c r="D429" s="1944"/>
      <c r="E429" s="1944"/>
      <c r="F429" s="1944"/>
      <c r="G429" s="1397"/>
      <c r="H429" s="110"/>
      <c r="I429" s="24"/>
      <c r="J429" s="1637"/>
      <c r="K429" s="1637"/>
      <c r="L429" s="1637"/>
      <c r="M429" s="1637"/>
      <c r="N429" s="1637"/>
    </row>
    <row r="430" spans="3:61" ht="21.75" customHeight="1">
      <c r="C430" s="2202" t="s">
        <v>9</v>
      </c>
      <c r="D430" s="2142" t="s">
        <v>2351</v>
      </c>
      <c r="E430" s="2143"/>
      <c r="F430" s="2143"/>
      <c r="G430" s="2143"/>
      <c r="H430" s="2144"/>
      <c r="I430" s="40"/>
      <c r="J430" s="1637"/>
      <c r="K430" s="1637"/>
      <c r="L430" s="1637"/>
      <c r="M430" s="1637"/>
      <c r="N430" s="1637"/>
    </row>
    <row r="431" spans="3:61" s="1961" customFormat="1" ht="37.5">
      <c r="C431" s="2202"/>
      <c r="D431" s="1956" t="s">
        <v>2344</v>
      </c>
      <c r="E431" s="1957" t="s">
        <v>2345</v>
      </c>
      <c r="F431" s="2002" t="s">
        <v>2346</v>
      </c>
      <c r="G431" s="2002" t="s">
        <v>2359</v>
      </c>
      <c r="H431" s="2002" t="s">
        <v>1249</v>
      </c>
      <c r="I431" s="35"/>
      <c r="J431" s="1958"/>
      <c r="K431" s="1958"/>
      <c r="L431" s="1958"/>
      <c r="M431" s="1958"/>
      <c r="N431" s="1958"/>
      <c r="O431" s="1959"/>
      <c r="P431" s="1959"/>
      <c r="Q431" s="1959"/>
      <c r="R431" s="1959"/>
      <c r="S431" s="1959"/>
      <c r="T431" s="1959"/>
      <c r="U431" s="1959"/>
      <c r="V431" s="1959"/>
      <c r="W431" s="1959"/>
      <c r="X431" s="1959"/>
      <c r="Y431" s="1959"/>
      <c r="Z431" s="1959"/>
      <c r="AA431" s="1959"/>
      <c r="AB431" s="1959"/>
      <c r="AC431" s="1959"/>
      <c r="AD431" s="1959"/>
      <c r="AE431" s="1959"/>
      <c r="AF431" s="1959"/>
      <c r="AG431" s="1959"/>
      <c r="AH431" s="1959"/>
      <c r="AI431" s="1959"/>
      <c r="AJ431" s="1959"/>
      <c r="AK431" s="1959"/>
      <c r="AL431" s="1960"/>
      <c r="AM431" s="1960"/>
      <c r="AN431" s="1960"/>
      <c r="AO431" s="1960"/>
      <c r="AP431" s="1960"/>
      <c r="AQ431" s="1960"/>
      <c r="AR431" s="1960"/>
      <c r="AS431" s="1960"/>
      <c r="AT431" s="1960"/>
      <c r="AU431" s="1960"/>
      <c r="AV431" s="1960"/>
      <c r="AW431" s="1960"/>
      <c r="AX431" s="1960"/>
      <c r="AY431" s="1960"/>
      <c r="AZ431" s="1960"/>
      <c r="BA431" s="1960"/>
      <c r="BB431" s="1960"/>
      <c r="BC431" s="1960"/>
      <c r="BD431" s="1960"/>
      <c r="BE431" s="1960"/>
      <c r="BF431" s="1960"/>
      <c r="BG431" s="1960"/>
      <c r="BH431" s="1960"/>
      <c r="BI431" s="1960"/>
    </row>
    <row r="432" spans="3:61">
      <c r="C432" s="1445" t="s">
        <v>2448</v>
      </c>
      <c r="D432" s="1446">
        <v>23064647</v>
      </c>
      <c r="E432" s="1446">
        <v>0</v>
      </c>
      <c r="F432" s="1446">
        <v>0</v>
      </c>
      <c r="G432" s="1446">
        <v>0</v>
      </c>
      <c r="H432" s="29">
        <f>+SUM(D432:G432)</f>
        <v>23064647</v>
      </c>
      <c r="I432" s="40"/>
      <c r="J432" s="1637"/>
      <c r="K432" s="1637"/>
      <c r="L432" s="1637"/>
      <c r="M432" s="1637"/>
      <c r="N432" s="1637"/>
    </row>
    <row r="433" spans="3:14">
      <c r="C433" s="1445" t="s">
        <v>2449</v>
      </c>
      <c r="D433" s="1446">
        <f>+I419-D432</f>
        <v>56563052.75999999</v>
      </c>
      <c r="E433" s="1446">
        <v>0</v>
      </c>
      <c r="F433" s="1446">
        <v>0</v>
      </c>
      <c r="G433" s="1446">
        <v>0</v>
      </c>
      <c r="H433" s="29">
        <f>+SUM(D433:G433)</f>
        <v>56563052.75999999</v>
      </c>
      <c r="I433" s="40"/>
      <c r="J433" s="1637"/>
      <c r="K433" s="1637"/>
      <c r="L433" s="1637"/>
      <c r="M433" s="1637"/>
      <c r="N433" s="1637"/>
    </row>
    <row r="434" spans="3:14">
      <c r="C434" s="1445" t="s">
        <v>2450</v>
      </c>
      <c r="D434" s="1446">
        <v>0</v>
      </c>
      <c r="E434" s="1446">
        <v>0</v>
      </c>
      <c r="F434" s="1446">
        <v>0</v>
      </c>
      <c r="G434" s="1446">
        <v>0</v>
      </c>
      <c r="H434" s="1446">
        <f>+SUM(D434:G434)</f>
        <v>0</v>
      </c>
      <c r="I434" s="40"/>
      <c r="J434" s="1637"/>
      <c r="K434" s="1637"/>
      <c r="L434" s="1637"/>
      <c r="M434" s="1637"/>
      <c r="N434" s="1637"/>
    </row>
    <row r="435" spans="3:14">
      <c r="C435" s="1445" t="s">
        <v>2451</v>
      </c>
      <c r="D435" s="1446">
        <v>0</v>
      </c>
      <c r="E435" s="1446">
        <v>0</v>
      </c>
      <c r="F435" s="1446">
        <v>0</v>
      </c>
      <c r="G435" s="1446">
        <v>0</v>
      </c>
      <c r="H435" s="1446">
        <f>+SUM(D435:G435)</f>
        <v>0</v>
      </c>
      <c r="I435" s="40"/>
      <c r="J435" s="1637"/>
      <c r="K435" s="1637"/>
      <c r="L435" s="1637"/>
      <c r="M435" s="1637"/>
      <c r="N435" s="1637"/>
    </row>
    <row r="436" spans="3:14">
      <c r="C436" s="1991"/>
      <c r="D436" s="1992"/>
      <c r="E436" s="1992"/>
      <c r="F436" s="1992"/>
      <c r="G436" s="1992"/>
      <c r="H436" s="1992"/>
      <c r="I436" s="1993"/>
      <c r="J436" s="1637"/>
      <c r="K436" s="1637"/>
      <c r="L436" s="1637"/>
      <c r="M436" s="1637"/>
      <c r="N436" s="1637"/>
    </row>
    <row r="437" spans="3:14">
      <c r="C437" s="2198" t="s">
        <v>3539</v>
      </c>
      <c r="D437" s="2198"/>
      <c r="E437" s="2198"/>
      <c r="F437" s="2198"/>
      <c r="G437" s="2198"/>
      <c r="H437" s="1950" t="s">
        <v>1626</v>
      </c>
      <c r="I437" s="1951" t="s">
        <v>1257</v>
      </c>
      <c r="J437" s="1572"/>
      <c r="K437" s="1636"/>
      <c r="L437" s="1636"/>
      <c r="M437" s="1636"/>
      <c r="N437" s="1645"/>
    </row>
    <row r="438" spans="3:14">
      <c r="C438" s="2199" t="s">
        <v>1259</v>
      </c>
      <c r="D438" s="2200"/>
      <c r="E438" s="2200"/>
      <c r="F438" s="2200"/>
      <c r="G438" s="2201"/>
      <c r="H438" s="1952">
        <f>+D425</f>
        <v>25362945.699999999</v>
      </c>
      <c r="I438" s="23">
        <f>+D432</f>
        <v>23064647</v>
      </c>
      <c r="J438" s="1561"/>
      <c r="K438" s="1569"/>
      <c r="L438" s="1569"/>
      <c r="M438" s="1569"/>
      <c r="N438" s="1569"/>
    </row>
    <row r="439" spans="3:14">
      <c r="C439" s="2199" t="s">
        <v>1260</v>
      </c>
      <c r="D439" s="2200"/>
      <c r="E439" s="2200"/>
      <c r="F439" s="2200"/>
      <c r="G439" s="2201"/>
      <c r="H439" s="1953">
        <v>0</v>
      </c>
      <c r="I439" s="23">
        <v>0</v>
      </c>
      <c r="J439" s="1561"/>
      <c r="K439" s="1569"/>
      <c r="L439" s="1569"/>
      <c r="M439" s="1569"/>
      <c r="N439" s="1569"/>
    </row>
    <row r="440" spans="3:14">
      <c r="C440" s="1999"/>
      <c r="D440" s="2000"/>
      <c r="E440" s="2000"/>
      <c r="F440" s="2000"/>
      <c r="G440" s="2001"/>
      <c r="H440" s="1953"/>
      <c r="I440" s="23"/>
      <c r="J440" s="1561"/>
      <c r="K440" s="1569"/>
      <c r="L440" s="1569"/>
      <c r="M440" s="1569"/>
      <c r="N440" s="1569"/>
    </row>
    <row r="441" spans="3:14" ht="60.75" customHeight="1">
      <c r="C441" s="2187" t="s">
        <v>1261</v>
      </c>
      <c r="D441" s="2187"/>
      <c r="E441" s="2187"/>
      <c r="F441" s="2187"/>
      <c r="G441" s="2187"/>
      <c r="H441" s="1954">
        <v>0</v>
      </c>
      <c r="I441" s="23">
        <v>0</v>
      </c>
      <c r="J441" s="1561"/>
      <c r="K441" s="1569"/>
      <c r="L441" s="1569"/>
      <c r="M441" s="1569"/>
      <c r="N441" s="1569"/>
    </row>
    <row r="442" spans="3:14" ht="55.5" customHeight="1">
      <c r="C442" s="2187" t="s">
        <v>1262</v>
      </c>
      <c r="D442" s="2187"/>
      <c r="E442" s="2187"/>
      <c r="F442" s="2187"/>
      <c r="G442" s="2187"/>
      <c r="H442" s="1954">
        <v>0</v>
      </c>
      <c r="I442" s="23">
        <v>0</v>
      </c>
      <c r="J442" s="1561"/>
      <c r="K442" s="1569"/>
      <c r="L442" s="1569"/>
      <c r="M442" s="1569"/>
      <c r="N442" s="1569"/>
    </row>
    <row r="443" spans="3:14">
      <c r="C443" s="2187" t="s">
        <v>1263</v>
      </c>
      <c r="D443" s="2187"/>
      <c r="E443" s="2187"/>
      <c r="F443" s="2187"/>
      <c r="G443" s="2187"/>
      <c r="H443" s="1954">
        <v>0</v>
      </c>
      <c r="I443" s="23">
        <v>0</v>
      </c>
      <c r="J443" s="1561"/>
      <c r="K443" s="1569"/>
      <c r="L443" s="1569"/>
      <c r="M443" s="1569"/>
      <c r="N443" s="1569"/>
    </row>
    <row r="444" spans="3:14" ht="61.5" customHeight="1">
      <c r="C444" s="2187" t="s">
        <v>1264</v>
      </c>
      <c r="D444" s="2187"/>
      <c r="E444" s="2187"/>
      <c r="F444" s="2187"/>
      <c r="G444" s="2187"/>
      <c r="H444" s="1954">
        <v>0</v>
      </c>
      <c r="I444" s="23">
        <v>0</v>
      </c>
      <c r="J444" s="1561"/>
      <c r="K444" s="1569"/>
      <c r="L444" s="1569"/>
      <c r="M444" s="1569"/>
      <c r="N444" s="1569"/>
    </row>
    <row r="445" spans="3:14">
      <c r="C445" s="1441"/>
      <c r="D445" s="1461"/>
      <c r="E445" s="1461"/>
      <c r="F445" s="1461"/>
      <c r="H445" s="122"/>
      <c r="I445" s="133"/>
      <c r="J445" s="1561"/>
      <c r="K445" s="1569"/>
      <c r="L445" s="1569"/>
      <c r="M445" s="1569"/>
      <c r="N445" s="1569"/>
    </row>
    <row r="446" spans="3:14">
      <c r="C446" s="116" t="s">
        <v>1265</v>
      </c>
      <c r="D446" s="1849"/>
      <c r="E446" s="1849"/>
      <c r="F446" s="1849"/>
      <c r="H446" s="82"/>
      <c r="I446" s="40"/>
      <c r="J446" s="1566"/>
      <c r="K446" s="1578"/>
      <c r="L446" s="1578"/>
      <c r="M446" s="1578"/>
    </row>
    <row r="447" spans="3:14">
      <c r="C447" s="134" t="s">
        <v>1266</v>
      </c>
      <c r="D447" s="1849"/>
      <c r="E447" s="1849"/>
      <c r="F447" s="1849"/>
      <c r="H447" s="82"/>
      <c r="I447" s="82"/>
      <c r="J447" s="1566"/>
      <c r="K447" s="1578"/>
      <c r="L447" s="1578"/>
      <c r="M447" s="1578"/>
    </row>
    <row r="448" spans="3:14">
      <c r="C448" s="1441" t="s">
        <v>1267</v>
      </c>
      <c r="D448" s="1462"/>
      <c r="E448" s="1462"/>
      <c r="F448" s="1462"/>
      <c r="G448" s="1998"/>
      <c r="H448" s="98">
        <f>+'Bank TL &amp; Int.'!M25</f>
        <v>15500000</v>
      </c>
      <c r="I448" s="98">
        <v>5700000</v>
      </c>
      <c r="J448" s="1625"/>
      <c r="K448" s="1626"/>
      <c r="L448" s="1626"/>
      <c r="M448" s="1626"/>
      <c r="N448" s="1626"/>
    </row>
    <row r="449" spans="1:61">
      <c r="C449" s="1441" t="s">
        <v>1268</v>
      </c>
      <c r="D449" s="1462"/>
      <c r="E449" s="1462"/>
      <c r="F449" s="1462"/>
      <c r="G449" s="1998"/>
      <c r="H449" s="98">
        <f>+'Bank TL &amp; Int.'!H6+'Bank TL &amp; Int.'!H5</f>
        <v>4866672</v>
      </c>
      <c r="I449" s="98">
        <v>4055560</v>
      </c>
      <c r="J449" s="1625"/>
      <c r="K449" s="1626"/>
      <c r="L449" s="1626"/>
      <c r="M449" s="1626"/>
      <c r="N449" s="1626"/>
    </row>
    <row r="450" spans="1:61">
      <c r="C450" s="1441" t="s">
        <v>1269</v>
      </c>
      <c r="D450" s="1462"/>
      <c r="E450" s="1462"/>
      <c r="F450" s="1462"/>
      <c r="H450" s="82">
        <f>+GETPIVOTDATA("Sum of Cr. Final 21-22",Pivot!$A$3,"Note",18,"BS Main Head","Other Financial Liabilities - Current","BS Sub Head","Interest Accrued but not due on Term Loans")</f>
        <v>0</v>
      </c>
      <c r="I450" s="82">
        <f>+GETPIVOTDATA("Sum of Cr. Final 2020-21",Pivot!$A$3,"Note",18,"BS Main Head","Other Financial Liabilities - Current","BS Sub Head","Interest Accrued but not due on Term Loans")</f>
        <v>139269</v>
      </c>
      <c r="J450" s="1566"/>
      <c r="K450" s="1578"/>
      <c r="L450" s="1578"/>
      <c r="M450" s="1578"/>
      <c r="N450" s="1578"/>
    </row>
    <row r="451" spans="1:61">
      <c r="C451" s="75" t="s">
        <v>800</v>
      </c>
      <c r="D451" s="1462"/>
      <c r="E451" s="1462"/>
      <c r="F451" s="1462"/>
      <c r="G451" s="135"/>
      <c r="H451" s="82">
        <v>0</v>
      </c>
      <c r="I451" s="82">
        <v>216400</v>
      </c>
      <c r="J451" s="1566"/>
      <c r="K451" s="1578"/>
      <c r="L451" s="1578"/>
      <c r="M451" s="1578"/>
      <c r="N451" s="1646"/>
    </row>
    <row r="452" spans="1:61">
      <c r="C452" s="1989" t="s">
        <v>842</v>
      </c>
      <c r="D452" s="1462"/>
      <c r="E452" s="1462"/>
      <c r="F452" s="1462"/>
      <c r="G452" s="135"/>
      <c r="H452" s="82">
        <f>+GETPIVOTDATA("Sum of Cr. Final 21-22",Pivot!$A$3,"Note",18,"BS Main Head","Other Financial Liabilities - Current","BS Sub Head","Employee Payables")</f>
        <v>1152229</v>
      </c>
      <c r="I452" s="82">
        <f>+GETPIVOTDATA("Sum of Cr. Final 2020-21",Pivot!$A$3,"Note",18,"BS Main Head","Other Financial Liabilities - Current","BS Sub Head","Employee Payables")</f>
        <v>1029792</v>
      </c>
      <c r="J452" s="1566"/>
      <c r="K452" s="1578"/>
      <c r="L452" s="1578"/>
      <c r="M452" s="1578"/>
      <c r="N452" s="1646"/>
    </row>
    <row r="453" spans="1:61">
      <c r="C453" s="1463"/>
      <c r="D453" s="1462"/>
      <c r="E453" s="1462"/>
      <c r="F453" s="1462"/>
      <c r="H453" s="23">
        <f>+SUM(H448:H452)</f>
        <v>21518901</v>
      </c>
      <c r="I453" s="23">
        <f>+SUM(I448:I452)</f>
        <v>11141021</v>
      </c>
      <c r="J453" s="1561"/>
      <c r="K453" s="1569"/>
      <c r="L453" s="1569"/>
      <c r="M453" s="1569"/>
      <c r="N453" s="1569"/>
    </row>
    <row r="454" spans="1:61">
      <c r="C454" s="116" t="s">
        <v>1270</v>
      </c>
      <c r="D454" s="1462"/>
      <c r="E454" s="1462"/>
      <c r="F454" s="1462"/>
      <c r="H454" s="82"/>
      <c r="I454" s="82"/>
      <c r="J454" s="1566"/>
      <c r="K454" s="1578"/>
      <c r="L454" s="1578"/>
      <c r="M454" s="1578"/>
    </row>
    <row r="455" spans="1:61">
      <c r="C455" s="1464" t="s">
        <v>582</v>
      </c>
      <c r="D455" s="1462"/>
      <c r="E455" s="1462"/>
      <c r="F455" s="1462"/>
      <c r="G455" s="135"/>
      <c r="H455" s="82">
        <f>+GETPIVOTDATA("Sum of Cr. Final 21-22",Pivot!$A$3,"Note",19,"BS Main Head","Other Current Liabilities")-GETPIVOTDATA("Sum of Dr. Final 21-22",Pivot!$A$3,"Note",19,"BS Main Head","Other Current Liabilities")</f>
        <v>6568369.9999999991</v>
      </c>
      <c r="I455" s="82">
        <v>6685831.3100000005</v>
      </c>
      <c r="J455" s="1566"/>
      <c r="K455" s="1578"/>
      <c r="L455" s="1578"/>
      <c r="M455" s="1578"/>
      <c r="N455" s="1646"/>
    </row>
    <row r="456" spans="1:61">
      <c r="C456" s="1463"/>
      <c r="D456" s="1462"/>
      <c r="E456" s="1462"/>
      <c r="F456" s="1462"/>
      <c r="H456" s="23">
        <f>+SUM(H455)</f>
        <v>6568369.9999999991</v>
      </c>
      <c r="I456" s="23">
        <f>+SUM(I455)</f>
        <v>6685831.3100000005</v>
      </c>
      <c r="J456" s="1561"/>
      <c r="K456" s="1569"/>
      <c r="L456" s="1569"/>
      <c r="M456" s="1569"/>
      <c r="N456" s="1569"/>
    </row>
    <row r="457" spans="1:61">
      <c r="C457" s="116" t="s">
        <v>1271</v>
      </c>
      <c r="D457" s="1462"/>
      <c r="E457" s="1462"/>
      <c r="F457" s="1462"/>
      <c r="H457" s="82"/>
      <c r="I457" s="82"/>
      <c r="J457" s="1566"/>
      <c r="K457" s="1578"/>
      <c r="L457" s="1578"/>
      <c r="M457" s="1578"/>
      <c r="N457" s="1578" t="e">
        <f>+GETPIVOTDATA("Sum of Dr. Final HYR",Pivot!$A$3,"PARTICULARS","Advance Income Tax (A.Y. 2021-22)","Note",12,"BS Main Head","Long Term Loans &amp; Advances","BS Sub Head","Advance Income Tax")-GETPIVOTDATA("Sum of Dr. Final HYR",Pivot!$A$3,"PARTICULARS","TCS on  CHEMICAL","Note",12,"BS Main Head","Long Term Loans &amp; Advances","BS Sub Head","Advance Income Tax")</f>
        <v>#REF!</v>
      </c>
    </row>
    <row r="458" spans="1:61" hidden="1">
      <c r="C458" s="136"/>
      <c r="D458" s="1462"/>
      <c r="E458" s="1462"/>
      <c r="F458" s="1462"/>
      <c r="H458" s="82"/>
      <c r="I458" s="82"/>
      <c r="J458" s="1566"/>
      <c r="K458" s="1578"/>
      <c r="L458" s="1578"/>
      <c r="M458" s="1578"/>
      <c r="N458" s="1578" t="e">
        <f>-GETPIVOTDATA("Sum of Dr. Final HYR",Pivot!$A$3,"PARTICULARS","TCS on  CHEMICAL","Note",12,"BS Main Head","Long Term Loans &amp; Advances","BS Sub Head","Advance Income Tax")</f>
        <v>#REF!</v>
      </c>
    </row>
    <row r="459" spans="1:61" hidden="1">
      <c r="C459" s="136" t="s">
        <v>2452</v>
      </c>
      <c r="D459" s="1462"/>
      <c r="E459" s="1462"/>
      <c r="F459" s="1462"/>
      <c r="H459" s="82">
        <v>0</v>
      </c>
      <c r="I459" s="22">
        <v>0</v>
      </c>
      <c r="J459" s="1566"/>
      <c r="K459" s="1554"/>
      <c r="L459" s="1554"/>
      <c r="M459" s="1554"/>
      <c r="N459" s="1554"/>
    </row>
    <row r="460" spans="1:61">
      <c r="C460" s="1460" t="s">
        <v>1272</v>
      </c>
      <c r="D460" s="1465"/>
      <c r="E460" s="1465"/>
      <c r="F460" s="1465"/>
      <c r="G460" s="107"/>
      <c r="H460" s="82">
        <f>+GETPIVOTDATA("Sum of Cr. Final 21-22",Pivot!$A$3,"Note",20,"BS Main Head","Short Term Provisions","BS Sub Head","Provision for Employee Benefit")</f>
        <v>1708016</v>
      </c>
      <c r="I460" s="22">
        <v>1499180.4950000001</v>
      </c>
      <c r="J460" s="1566"/>
      <c r="K460" s="1554"/>
      <c r="L460" s="1554"/>
      <c r="M460" s="1554"/>
      <c r="N460" s="1554"/>
    </row>
    <row r="461" spans="1:61">
      <c r="C461" s="1460" t="s">
        <v>1273</v>
      </c>
      <c r="D461" s="1465"/>
      <c r="E461" s="1465"/>
      <c r="F461" s="1465"/>
      <c r="G461" s="107"/>
      <c r="H461" s="22">
        <v>1702520</v>
      </c>
      <c r="I461" s="22">
        <v>1776180</v>
      </c>
      <c r="J461" s="1566"/>
      <c r="K461" s="1554"/>
      <c r="L461" s="1554"/>
      <c r="M461" s="1554"/>
      <c r="N461" s="1554"/>
    </row>
    <row r="462" spans="1:61">
      <c r="C462" s="1460" t="s">
        <v>1274</v>
      </c>
      <c r="D462" s="1465"/>
      <c r="E462" s="1465"/>
      <c r="F462" s="1465"/>
      <c r="G462" s="107"/>
      <c r="H462" s="22">
        <f>+GETPIVOTDATA("Sum of Cr. Final 21-22",Pivot!$A$3,"Note",20,"BS Main Head","Short Term Provisions","BS Sub Head","CSR Expenses  Payable")</f>
        <v>0</v>
      </c>
      <c r="I462" s="22">
        <v>280877</v>
      </c>
      <c r="J462" s="1566"/>
      <c r="K462" s="1554"/>
      <c r="L462" s="1554"/>
      <c r="M462" s="1554"/>
      <c r="N462" s="1554"/>
    </row>
    <row r="463" spans="1:61">
      <c r="C463" s="1466"/>
      <c r="D463" s="1877"/>
      <c r="E463" s="1877"/>
      <c r="F463" s="1877"/>
      <c r="G463" s="1404"/>
      <c r="H463" s="23">
        <f>+SUM(H458:H462)</f>
        <v>3410536</v>
      </c>
      <c r="I463" s="23">
        <f>+SUM(I458:I462)</f>
        <v>3556237.4950000001</v>
      </c>
      <c r="J463" s="1561"/>
      <c r="K463" s="1569"/>
      <c r="L463" s="1569"/>
      <c r="M463" s="1569"/>
      <c r="N463" s="1569"/>
    </row>
    <row r="464" spans="1:61" s="1375" customFormat="1">
      <c r="A464" s="1371"/>
      <c r="B464" s="1371"/>
      <c r="C464" s="2188" t="s">
        <v>1065</v>
      </c>
      <c r="D464" s="2183"/>
      <c r="E464" s="2183"/>
      <c r="F464" s="2183"/>
      <c r="G464" s="2183"/>
      <c r="H464" s="2183"/>
      <c r="I464" s="2184"/>
      <c r="J464" s="1647"/>
      <c r="K464" s="1648"/>
      <c r="L464" s="1648"/>
      <c r="M464" s="1648"/>
      <c r="N464" s="1648"/>
      <c r="O464" s="1590" t="s">
        <v>1530</v>
      </c>
      <c r="P464" s="1590" t="s">
        <v>1258</v>
      </c>
      <c r="Q464" s="1590" t="s">
        <v>1531</v>
      </c>
      <c r="R464" s="1590" t="s">
        <v>1258</v>
      </c>
      <c r="S464" s="1590" t="s">
        <v>1532</v>
      </c>
      <c r="T464" s="1590" t="s">
        <v>1258</v>
      </c>
      <c r="U464" s="1590"/>
      <c r="V464" s="1632"/>
      <c r="W464" s="1555"/>
      <c r="X464" s="1608"/>
      <c r="Y464" s="1608"/>
      <c r="Z464" s="1608"/>
      <c r="AA464" s="1608"/>
      <c r="AB464" s="1608"/>
      <c r="AC464" s="1608"/>
      <c r="AD464" s="1608"/>
      <c r="AE464" s="1608"/>
      <c r="AF464" s="1608"/>
      <c r="AG464" s="1608"/>
      <c r="AH464" s="1608"/>
      <c r="AI464" s="1608"/>
      <c r="AJ464" s="1608"/>
      <c r="AK464" s="1608"/>
      <c r="AL464" s="1425"/>
      <c r="AM464" s="1425"/>
      <c r="AN464" s="1425"/>
      <c r="AO464" s="1425"/>
      <c r="AP464" s="1425"/>
      <c r="AQ464" s="1425"/>
      <c r="AR464" s="1425"/>
      <c r="AS464" s="1425"/>
      <c r="AT464" s="1425"/>
      <c r="AU464" s="1425"/>
      <c r="AV464" s="1425"/>
      <c r="AW464" s="1425"/>
      <c r="AX464" s="1425"/>
      <c r="AY464" s="1425"/>
      <c r="AZ464" s="1425"/>
      <c r="BA464" s="1425"/>
      <c r="BB464" s="1425"/>
      <c r="BC464" s="1425"/>
      <c r="BD464" s="1425"/>
      <c r="BE464" s="1425"/>
      <c r="BF464" s="1425"/>
      <c r="BG464" s="1425"/>
      <c r="BH464" s="1425"/>
      <c r="BI464" s="1425"/>
    </row>
    <row r="465" spans="1:37">
      <c r="C465" s="2189" t="s">
        <v>1546</v>
      </c>
      <c r="D465" s="2190"/>
      <c r="E465" s="2190"/>
      <c r="F465" s="2190"/>
      <c r="G465" s="2190"/>
      <c r="H465" s="2190"/>
      <c r="I465" s="2191"/>
      <c r="J465" s="1649"/>
      <c r="K465" s="1650"/>
      <c r="L465" s="1650"/>
      <c r="M465" s="1650"/>
      <c r="N465" s="1650"/>
      <c r="O465" s="1590" t="s">
        <v>1533</v>
      </c>
      <c r="P465" s="1590" t="e">
        <f>+GETPIVOTDATA("Sum of Dr. Final 2019-20",Pivot!$A$3,"Note",26,"BS Main Head","Other Expenses","BS Sub Head","Manufacturing Expenses - Power &amp; Fuel Consumed")</f>
        <v>#REF!</v>
      </c>
      <c r="Q465" s="1590" t="s">
        <v>1533</v>
      </c>
      <c r="R465" s="1590" t="e">
        <f>+GETPIVOTDATA("Sum of Dr. Final 2019-20",Pivot!$A$3,"Note",26,"BS Main Head","Other Expenses","BS Sub Head","Manufacturing Expenses - Stores &amp; Spares Consumed")</f>
        <v>#REF!</v>
      </c>
      <c r="S465" s="1590" t="s">
        <v>1533</v>
      </c>
      <c r="T465" s="1590" t="e">
        <f>+GETPIVOTDATA("Sum of Dr. Final 2019-20",Pivot!$A$3,"Note",26,"BS Main Head","Other Expenses","BS Sub Head","Manufacturing Expenses - Packing Material Consumed")</f>
        <v>#REF!</v>
      </c>
      <c r="U465" s="1590"/>
      <c r="V465" s="1632"/>
      <c r="W465" s="1651"/>
    </row>
    <row r="466" spans="1:37">
      <c r="C466" s="1426" t="s">
        <v>402</v>
      </c>
      <c r="D466" s="1869"/>
      <c r="E466" s="1869"/>
      <c r="F466" s="1869"/>
      <c r="G466" s="1942"/>
      <c r="H466" s="15" t="s">
        <v>1067</v>
      </c>
      <c r="I466" s="15" t="str">
        <f>+I383</f>
        <v xml:space="preserve"> As At</v>
      </c>
      <c r="J466" s="1652"/>
      <c r="K466" s="1653"/>
      <c r="L466" s="1653"/>
      <c r="M466" s="1653"/>
      <c r="N466" s="1654"/>
      <c r="O466" s="1590" t="s">
        <v>1534</v>
      </c>
      <c r="P466" s="1590" t="e">
        <f>+#REF!</f>
        <v>#REF!</v>
      </c>
      <c r="Q466" s="1590" t="s">
        <v>1534</v>
      </c>
      <c r="R466" s="1590">
        <f>+Q479</f>
        <v>7318133</v>
      </c>
      <c r="S466" s="1590" t="s">
        <v>1534</v>
      </c>
      <c r="T466" s="1590">
        <f>+Q478</f>
        <v>536457</v>
      </c>
      <c r="U466" s="1590"/>
      <c r="V466" s="1632"/>
    </row>
    <row r="467" spans="1:37" ht="37.5">
      <c r="C467" s="52"/>
      <c r="D467" s="1844"/>
      <c r="E467" s="1844"/>
      <c r="F467" s="1844"/>
      <c r="G467" s="1404"/>
      <c r="H467" s="56" t="str">
        <f>+H5</f>
        <v>March 31, 2022 (₹)</v>
      </c>
      <c r="I467" s="56" t="s">
        <v>1069</v>
      </c>
      <c r="J467" s="1655"/>
      <c r="K467" s="1656"/>
      <c r="L467" s="1656"/>
      <c r="M467" s="1656"/>
      <c r="N467" s="1656"/>
      <c r="O467" s="1590" t="s">
        <v>1535</v>
      </c>
      <c r="P467" s="1590" t="e">
        <f>+#REF!</f>
        <v>#REF!</v>
      </c>
      <c r="Q467" s="1590" t="s">
        <v>1535</v>
      </c>
      <c r="R467" s="1590">
        <f>+S479</f>
        <v>10405893</v>
      </c>
      <c r="S467" s="1590" t="s">
        <v>1535</v>
      </c>
      <c r="T467" s="1590">
        <f>+S478</f>
        <v>415906</v>
      </c>
      <c r="U467" s="1590"/>
      <c r="V467" s="1632"/>
    </row>
    <row r="468" spans="1:37">
      <c r="C468" s="116" t="s">
        <v>1275</v>
      </c>
      <c r="D468" s="1840"/>
      <c r="E468" s="1840"/>
      <c r="F468" s="1840"/>
      <c r="G468" s="2063"/>
      <c r="H468" s="21"/>
      <c r="I468" s="21"/>
      <c r="J468" s="1655"/>
      <c r="K468" s="1656"/>
      <c r="L468" s="1656"/>
      <c r="M468" s="1656"/>
      <c r="N468" s="1657"/>
      <c r="O468" s="1590"/>
      <c r="P468" s="1590"/>
      <c r="Q468" s="1590"/>
      <c r="R468" s="1590"/>
      <c r="S468" s="1590"/>
      <c r="T468" s="1590"/>
      <c r="U468" s="1590"/>
      <c r="V468" s="1632"/>
    </row>
    <row r="469" spans="1:37">
      <c r="C469" s="104" t="s">
        <v>1276</v>
      </c>
      <c r="D469" s="1840"/>
      <c r="E469" s="1840"/>
      <c r="F469" s="1840"/>
      <c r="G469" s="2063"/>
      <c r="H469" s="21"/>
      <c r="I469" s="21"/>
      <c r="J469" s="1655"/>
      <c r="K469" s="1656"/>
      <c r="L469" s="1656"/>
      <c r="M469" s="1656"/>
      <c r="N469" s="1657"/>
      <c r="O469" s="1590"/>
      <c r="P469" s="1590" t="e">
        <f>+P465+P466-P467</f>
        <v>#REF!</v>
      </c>
      <c r="Q469" s="1590"/>
      <c r="R469" s="1590" t="e">
        <f>+R465+R466-R467</f>
        <v>#REF!</v>
      </c>
      <c r="S469" s="1590"/>
      <c r="T469" s="1590" t="e">
        <f>+T465+T466-T467</f>
        <v>#REF!</v>
      </c>
      <c r="U469" s="1590"/>
      <c r="V469" s="1632"/>
    </row>
    <row r="470" spans="1:37">
      <c r="C470" s="137" t="s">
        <v>1277</v>
      </c>
      <c r="D470" s="1840"/>
      <c r="E470" s="1840"/>
      <c r="F470" s="1840"/>
      <c r="G470" s="2063"/>
      <c r="H470" s="126">
        <f>+GETPIVOTDATA("Sum of Cr. Final 21-22",Pivot!$A$3,"Note",21,"BS Main Head","Revenue From Operations","BS Sub Head","Sale of Goods - Manufacturing Sales")-GETPIVOTDATA("Sum of Dr. Final 21-22",Pivot!$A$3,"Note",21,"BS Main Head","Revenue From Operations","BS Sub Head","Sale of Goods - Manufacturing Sales")</f>
        <v>1114588510.75</v>
      </c>
      <c r="I470" s="118">
        <f>+GETPIVOTDATA("Sum of Cr. Final 2020-21",Pivot!$A$3,"Note",21,"BS Main Head","Revenue From Operations","BS Sub Head","Sale of Goods - Manufacturing Sales")-GETPIVOTDATA("Sum of Dr. Final 2020-21",Pivot!$A$3,"Note",21,"BS Main Head","Revenue From Operations","BS Sub Head","Sale of Goods - Manufacturing Sales")</f>
        <v>800902541.19999993</v>
      </c>
      <c r="J470" s="1566"/>
      <c r="K470" s="1554"/>
      <c r="L470" s="1554"/>
      <c r="M470" s="1554"/>
      <c r="N470" s="1554">
        <f>+H470-I470</f>
        <v>313685969.55000007</v>
      </c>
    </row>
    <row r="471" spans="1:37" hidden="1">
      <c r="C471" s="1467"/>
      <c r="D471" s="1840"/>
      <c r="E471" s="1840"/>
      <c r="F471" s="1840"/>
      <c r="G471" s="2063"/>
      <c r="H471" s="118"/>
      <c r="I471" s="118"/>
      <c r="J471" s="1566"/>
      <c r="K471" s="1554"/>
      <c r="L471" s="1554"/>
      <c r="M471" s="1554"/>
      <c r="N471" s="1554"/>
    </row>
    <row r="472" spans="1:37">
      <c r="C472" s="1467"/>
      <c r="D472" s="1840"/>
      <c r="E472" s="1840"/>
      <c r="F472" s="1840"/>
      <c r="G472" s="2063"/>
      <c r="H472" s="24">
        <f>+SUM(H470:H471)</f>
        <v>1114588510.75</v>
      </c>
      <c r="I472" s="24">
        <f>+SUM(I470:I471)</f>
        <v>800902541.19999993</v>
      </c>
      <c r="J472" s="1561"/>
      <c r="K472" s="1569"/>
      <c r="L472" s="1569"/>
      <c r="M472" s="1569"/>
      <c r="N472" s="1569"/>
    </row>
    <row r="473" spans="1:37">
      <c r="C473" s="1468" t="s">
        <v>1279</v>
      </c>
      <c r="D473" s="1840"/>
      <c r="E473" s="1840"/>
      <c r="F473" s="1840"/>
      <c r="G473" s="2063"/>
      <c r="H473" s="21"/>
      <c r="I473" s="22"/>
      <c r="J473" s="1566"/>
      <c r="K473" s="1554"/>
      <c r="L473" s="1554"/>
      <c r="M473" s="1554"/>
      <c r="N473" s="1554"/>
    </row>
    <row r="474" spans="1:37">
      <c r="C474" s="1467" t="s">
        <v>1280</v>
      </c>
      <c r="D474" s="1840"/>
      <c r="E474" s="1840"/>
      <c r="F474" s="1840"/>
      <c r="G474" s="2063"/>
      <c r="H474" s="22">
        <f>+GETPIVOTDATA("Sum of Cr. Final 21-22",Pivot!$A$3,"Note",21,"BS Main Head","Revenue From Operations","BS Sub Head","PSI Subsidy")</f>
        <v>9433000</v>
      </c>
      <c r="I474" s="22">
        <f>+GETPIVOTDATA("Sum of Cr. Final 2020-21",Pivot!$A$3,"Note",21,"BS Main Head","Revenue From Operations","BS Sub Head","PSI Subsidy")</f>
        <v>18856500</v>
      </c>
      <c r="J474" s="1566"/>
      <c r="K474" s="1554"/>
      <c r="L474" s="1554"/>
      <c r="M474" s="1554"/>
      <c r="N474" s="1554"/>
    </row>
    <row r="475" spans="1:37" hidden="1">
      <c r="C475" s="1469"/>
      <c r="D475" s="1840"/>
      <c r="E475" s="1840"/>
      <c r="F475" s="1840"/>
      <c r="G475" s="2063"/>
      <c r="H475" s="21"/>
      <c r="I475" s="22"/>
      <c r="J475" s="1595"/>
      <c r="K475" s="1596"/>
      <c r="L475" s="1596"/>
      <c r="M475" s="1596"/>
      <c r="N475" s="1596"/>
      <c r="O475" s="1658" t="s">
        <v>1536</v>
      </c>
      <c r="P475" s="1658" t="s">
        <v>1537</v>
      </c>
      <c r="Q475" s="1658" t="s">
        <v>1538</v>
      </c>
      <c r="R475" s="1658" t="s">
        <v>1539</v>
      </c>
      <c r="S475" s="1658" t="s">
        <v>1540</v>
      </c>
    </row>
    <row r="476" spans="1:37">
      <c r="C476" s="74"/>
      <c r="D476" s="1840"/>
      <c r="E476" s="1840"/>
      <c r="F476" s="1840"/>
      <c r="G476" s="2063"/>
      <c r="H476" s="23">
        <f>+H472+H474</f>
        <v>1124021510.75</v>
      </c>
      <c r="I476" s="23">
        <f>+I472+I474</f>
        <v>819759041.19999993</v>
      </c>
      <c r="J476" s="1655"/>
      <c r="K476" s="1659"/>
      <c r="L476" s="1659"/>
      <c r="M476" s="1659"/>
      <c r="N476" s="1659"/>
      <c r="O476" s="1590" t="s">
        <v>1541</v>
      </c>
      <c r="P476" s="1590">
        <v>7851552</v>
      </c>
      <c r="Q476" s="1590">
        <v>13538251.855289809</v>
      </c>
      <c r="R476" s="1590" t="e">
        <f>+#REF!</f>
        <v>#REF!</v>
      </c>
      <c r="S476" s="1660">
        <v>7851552.4699999997</v>
      </c>
    </row>
    <row r="477" spans="1:37">
      <c r="C477" s="1847" t="s">
        <v>1281</v>
      </c>
      <c r="D477" s="1840"/>
      <c r="E477" s="1840"/>
      <c r="F477" s="1840"/>
      <c r="G477" s="1397"/>
      <c r="H477" s="82"/>
      <c r="I477" s="82"/>
      <c r="J477" s="1595"/>
      <c r="K477" s="1661"/>
      <c r="L477" s="1661"/>
      <c r="M477" s="1661"/>
      <c r="N477" s="1662"/>
      <c r="O477" s="1590" t="s">
        <v>1542</v>
      </c>
      <c r="P477" s="1590">
        <f>741466+2919004+4924841+38224471</f>
        <v>46809782</v>
      </c>
      <c r="Q477" s="1590">
        <v>28527546.25</v>
      </c>
      <c r="R477" s="1590" t="e">
        <f>+#REF!+#REF!</f>
        <v>#REF!</v>
      </c>
      <c r="S477" s="1660">
        <f>741466+2919004+4924841+38224471.42</f>
        <v>46809782.420000002</v>
      </c>
    </row>
    <row r="478" spans="1:37" hidden="1">
      <c r="C478" s="75" t="s">
        <v>1282</v>
      </c>
      <c r="D478" s="1838"/>
      <c r="E478" s="1838"/>
      <c r="F478" s="1838"/>
      <c r="G478" s="1397"/>
      <c r="H478" s="82">
        <v>0</v>
      </c>
      <c r="I478" s="82">
        <v>0</v>
      </c>
      <c r="J478" s="1595"/>
      <c r="K478" s="1661"/>
      <c r="L478" s="1661"/>
      <c r="M478" s="1661"/>
      <c r="N478" s="1662"/>
      <c r="O478" s="1590" t="s">
        <v>1532</v>
      </c>
      <c r="P478" s="1590">
        <v>415906</v>
      </c>
      <c r="Q478" s="1590">
        <v>536457</v>
      </c>
      <c r="R478" s="1590">
        <f>+U496</f>
        <v>656155</v>
      </c>
      <c r="S478" s="1660">
        <v>415906</v>
      </c>
    </row>
    <row r="479" spans="1:37" s="1373" customFormat="1">
      <c r="A479" s="1371"/>
      <c r="B479" s="1371"/>
      <c r="C479" s="75" t="s">
        <v>1283</v>
      </c>
      <c r="D479" s="1838"/>
      <c r="E479" s="1838"/>
      <c r="F479" s="1838"/>
      <c r="G479" s="1397"/>
      <c r="H479" s="82">
        <f>+GETPIVOTDATA("Sum of Cr. Final 21-22",Pivot!$A$3,"Note",22,"BS Main Head","Other Income","BS Sub Head","Foreign Exchange Fluctuation Gain on RM")</f>
        <v>1231216</v>
      </c>
      <c r="I479" s="22">
        <f>+GETPIVOTDATA("Sum of Cr. Final 2020-21",Pivot!$A$3,"Note",22,"BS Main Head","Other Income","BS Sub Head","Foreign Exchange Fluctuation Gain on RM")</f>
        <v>1088007</v>
      </c>
      <c r="J479" s="1595"/>
      <c r="K479" s="1596"/>
      <c r="L479" s="1596"/>
      <c r="M479" s="1596"/>
      <c r="N479" s="1596"/>
      <c r="O479" s="1590" t="s">
        <v>1531</v>
      </c>
      <c r="P479" s="1590">
        <v>10405893</v>
      </c>
      <c r="Q479" s="1590">
        <v>7318133</v>
      </c>
      <c r="R479" s="1590">
        <v>8085595</v>
      </c>
      <c r="S479" s="1660">
        <v>10405893</v>
      </c>
      <c r="T479" s="1555"/>
      <c r="U479" s="1555"/>
      <c r="V479" s="1555"/>
      <c r="W479" s="1555"/>
      <c r="X479" s="1555"/>
      <c r="Y479" s="1555"/>
      <c r="Z479" s="1555"/>
      <c r="AA479" s="1555"/>
      <c r="AB479" s="1555"/>
      <c r="AC479" s="1555"/>
      <c r="AD479" s="1555"/>
      <c r="AE479" s="1555"/>
      <c r="AF479" s="1555"/>
      <c r="AG479" s="1555"/>
      <c r="AH479" s="1555"/>
      <c r="AI479" s="1555"/>
      <c r="AJ479" s="1555"/>
      <c r="AK479" s="1555"/>
    </row>
    <row r="480" spans="1:37" s="1373" customFormat="1">
      <c r="A480" s="1371"/>
      <c r="B480" s="1371"/>
      <c r="C480" s="75" t="s">
        <v>1284</v>
      </c>
      <c r="D480" s="1838"/>
      <c r="E480" s="1838"/>
      <c r="F480" s="1838"/>
      <c r="G480" s="1397"/>
      <c r="H480" s="82">
        <f>+GETPIVOTDATA("Sum of Cr. Final 21-22",Pivot!$A$3,"Note",22,"BS Main Head","Other Income","BS Sub Head","Scrape Sale")</f>
        <v>0</v>
      </c>
      <c r="I480" s="22">
        <f>+GETPIVOTDATA("Sum of Cr. Final 2020-21",Pivot!$A$3,"Note",22,"BS Main Head","Other Income","BS Sub Head","Scrape Sale")</f>
        <v>25865</v>
      </c>
      <c r="J480" s="1595"/>
      <c r="K480" s="1596"/>
      <c r="L480" s="1596"/>
      <c r="M480" s="1596"/>
      <c r="N480" s="1596"/>
      <c r="O480" s="1590" t="s">
        <v>1249</v>
      </c>
      <c r="P480" s="1590">
        <f>+SUM(P476:P479)</f>
        <v>65483133</v>
      </c>
      <c r="Q480" s="1590">
        <f>+SUM(Q476:Q479)</f>
        <v>49920388.105289809</v>
      </c>
      <c r="R480" s="1590" t="e">
        <f>+SUM(R476:R479)</f>
        <v>#REF!</v>
      </c>
      <c r="S480" s="1660">
        <f>+SUM(S476:S479)</f>
        <v>65483133.890000001</v>
      </c>
      <c r="T480" s="1555"/>
      <c r="U480" s="1555"/>
      <c r="V480" s="1555"/>
      <c r="W480" s="1555"/>
      <c r="X480" s="1555"/>
      <c r="Y480" s="1555"/>
      <c r="Z480" s="1555"/>
      <c r="AA480" s="1555"/>
      <c r="AB480" s="1555"/>
      <c r="AC480" s="1555"/>
      <c r="AD480" s="1555"/>
      <c r="AE480" s="1555"/>
      <c r="AF480" s="1555"/>
      <c r="AG480" s="1555"/>
      <c r="AH480" s="1555"/>
      <c r="AI480" s="1555"/>
      <c r="AJ480" s="1555"/>
      <c r="AK480" s="1555"/>
    </row>
    <row r="481" spans="1:37" s="1373" customFormat="1">
      <c r="A481" s="1371"/>
      <c r="B481" s="1371"/>
      <c r="C481" s="75" t="s">
        <v>1285</v>
      </c>
      <c r="D481" s="1838"/>
      <c r="E481" s="1838"/>
      <c r="F481" s="1838"/>
      <c r="G481" s="1397"/>
      <c r="H481" s="82">
        <f>+GETPIVOTDATA("Sum of Cr. Final 21-22",Pivot!$A$3,"Note",22,"BS Main Head","Other Income","BS Sub Head","Interest Received")</f>
        <v>160002.60999999999</v>
      </c>
      <c r="I481" s="22">
        <f>+GETPIVOTDATA("Sum of Cr. Final 2020-21",Pivot!$A$3,"Note",22,"BS Main Head","Other Income","BS Sub Head","Interest Received")</f>
        <v>75929</v>
      </c>
      <c r="J481" s="1566"/>
      <c r="K481" s="1554"/>
      <c r="L481" s="1554"/>
      <c r="M481" s="1554"/>
      <c r="N481" s="1554" t="s">
        <v>1543</v>
      </c>
      <c r="O481" s="1555"/>
      <c r="P481" s="1555"/>
      <c r="Q481" s="1555"/>
      <c r="R481" s="1555"/>
      <c r="S481" s="1555"/>
      <c r="T481" s="1555"/>
      <c r="U481" s="1555"/>
      <c r="V481" s="1555"/>
      <c r="W481" s="1555"/>
      <c r="X481" s="1555"/>
      <c r="Y481" s="1555"/>
      <c r="Z481" s="1555"/>
      <c r="AA481" s="1555"/>
      <c r="AB481" s="1555"/>
      <c r="AC481" s="1555"/>
      <c r="AD481" s="1555"/>
      <c r="AE481" s="1555"/>
      <c r="AF481" s="1555"/>
      <c r="AG481" s="1555"/>
      <c r="AH481" s="1555"/>
      <c r="AI481" s="1555"/>
      <c r="AJ481" s="1555"/>
      <c r="AK481" s="1555"/>
    </row>
    <row r="482" spans="1:37" s="1373" customFormat="1" ht="19.5" thickBot="1">
      <c r="A482" s="1371"/>
      <c r="B482" s="1371"/>
      <c r="C482" s="75"/>
      <c r="D482" s="1838"/>
      <c r="E482" s="1838"/>
      <c r="F482" s="1838"/>
      <c r="G482" s="1397"/>
      <c r="H482" s="103">
        <f>+SUM(H479:H481)</f>
        <v>1391218.6099999999</v>
      </c>
      <c r="I482" s="103">
        <f>+SUM(I479:I481)</f>
        <v>1189801</v>
      </c>
      <c r="J482" s="1561"/>
      <c r="K482" s="1569"/>
      <c r="L482" s="1569"/>
      <c r="M482" s="1569"/>
      <c r="N482" s="1554">
        <f>+N483-I482</f>
        <v>-151926</v>
      </c>
      <c r="O482" s="1555" t="s">
        <v>1544</v>
      </c>
      <c r="P482" s="1555"/>
      <c r="Q482" s="1555"/>
      <c r="R482" s="1555"/>
      <c r="S482" s="1555"/>
      <c r="T482" s="1555"/>
      <c r="U482" s="1555"/>
      <c r="V482" s="1555"/>
      <c r="W482" s="1555"/>
      <c r="X482" s="1555"/>
      <c r="Y482" s="1555"/>
      <c r="Z482" s="1555"/>
      <c r="AA482" s="1555"/>
      <c r="AB482" s="1555"/>
      <c r="AC482" s="1555"/>
      <c r="AD482" s="1555"/>
      <c r="AE482" s="1555"/>
      <c r="AF482" s="1555"/>
      <c r="AG482" s="1555"/>
      <c r="AH482" s="1555"/>
      <c r="AI482" s="1555"/>
      <c r="AJ482" s="1555"/>
      <c r="AK482" s="1555"/>
    </row>
    <row r="483" spans="1:37" s="1373" customFormat="1" ht="19.5" thickTop="1">
      <c r="A483" s="1371"/>
      <c r="B483" s="1371"/>
      <c r="C483" s="1847" t="s">
        <v>1286</v>
      </c>
      <c r="D483" s="1848"/>
      <c r="E483" s="1848"/>
      <c r="F483" s="1848"/>
      <c r="G483" s="1397"/>
      <c r="H483" s="82"/>
      <c r="I483" s="22"/>
      <c r="J483" s="1566"/>
      <c r="K483" s="1554"/>
      <c r="L483" s="1554"/>
      <c r="M483" s="1554"/>
      <c r="N483" s="1569">
        <v>1037875</v>
      </c>
      <c r="O483" s="1555"/>
      <c r="P483" s="1555"/>
      <c r="Q483" s="1555"/>
      <c r="R483" s="1555"/>
      <c r="S483" s="1555"/>
      <c r="T483" s="1555"/>
      <c r="U483" s="1555"/>
      <c r="V483" s="1555"/>
      <c r="W483" s="1555"/>
      <c r="X483" s="1555"/>
      <c r="Y483" s="1555"/>
      <c r="Z483" s="1555"/>
      <c r="AA483" s="1555"/>
      <c r="AB483" s="1555"/>
      <c r="AC483" s="1555"/>
      <c r="AD483" s="1555"/>
      <c r="AE483" s="1555"/>
      <c r="AF483" s="1555"/>
      <c r="AG483" s="1555"/>
      <c r="AH483" s="1555"/>
      <c r="AI483" s="1555"/>
      <c r="AJ483" s="1555"/>
      <c r="AK483" s="1555"/>
    </row>
    <row r="484" spans="1:37" s="1373" customFormat="1">
      <c r="A484" s="1371"/>
      <c r="B484" s="1371"/>
      <c r="C484" s="75" t="s">
        <v>13</v>
      </c>
      <c r="D484" s="1838"/>
      <c r="E484" s="1838"/>
      <c r="F484" s="1838"/>
      <c r="G484" s="1397"/>
      <c r="H484" s="82">
        <f>+I487</f>
        <v>41971585.5</v>
      </c>
      <c r="I484" s="22">
        <v>46809782</v>
      </c>
      <c r="J484" s="1566"/>
      <c r="K484" s="1554"/>
      <c r="L484" s="1554"/>
      <c r="M484" s="1554"/>
      <c r="N484" s="1554"/>
      <c r="O484" s="1555"/>
      <c r="P484" s="1555"/>
      <c r="Q484" s="1555"/>
      <c r="R484" s="1555"/>
      <c r="S484" s="1555"/>
      <c r="T484" s="1555"/>
      <c r="U484" s="1555"/>
      <c r="V484" s="1555"/>
      <c r="W484" s="1555"/>
      <c r="X484" s="1555"/>
      <c r="Y484" s="1555"/>
      <c r="Z484" s="1555"/>
      <c r="AA484" s="1555"/>
      <c r="AB484" s="1555"/>
      <c r="AC484" s="1555"/>
      <c r="AD484" s="1555"/>
      <c r="AE484" s="1555"/>
      <c r="AF484" s="1555"/>
      <c r="AG484" s="1555"/>
      <c r="AH484" s="1555"/>
      <c r="AI484" s="1555"/>
      <c r="AJ484" s="1555"/>
      <c r="AK484" s="1555"/>
    </row>
    <row r="485" spans="1:37" s="1373" customFormat="1">
      <c r="A485" s="1371"/>
      <c r="B485" s="1371"/>
      <c r="C485" s="75" t="s">
        <v>1287</v>
      </c>
      <c r="D485" s="1838"/>
      <c r="E485" s="1838"/>
      <c r="F485" s="1838"/>
      <c r="G485" s="107"/>
      <c r="H485" s="111">
        <f>+GETPIVOTDATA("Sum of Dr. Final 21-22",Pivot!$A$3,"Note",23,"BS Main Head","Raw Material Consumed","BS Sub Head","Raw Material Purchase")-GETPIVOTDATA("Sum of Cr. Final 21-22",Pivot!$A$3,"Note",23,"BS Main Head","Raw Material Consumed","BS Sub Head","Raw Material Purchase")-4380095</f>
        <v>848470297.79999995</v>
      </c>
      <c r="I485" s="118">
        <f>+GETPIVOTDATA("Sum of Dr. Final 2020-21",Pivot!$A$3,"Note",23,"BS Main Head","Raw Material Consumed","BS Sub Head","Raw Material Purchase")-GETPIVOTDATA("Sum of Cr. Final 2020-21",Pivot!$A$3,"Note",23,"BS Main Head","Raw Material Consumed","BS Sub Head","Raw Material Purchase")</f>
        <v>548081500.38999999</v>
      </c>
      <c r="J485" s="1566"/>
      <c r="K485" s="1554"/>
      <c r="L485" s="1554"/>
      <c r="M485" s="1554"/>
      <c r="N485" s="1554"/>
      <c r="O485" s="1555"/>
      <c r="P485" s="1555"/>
      <c r="Q485" s="1555"/>
      <c r="R485" s="1555"/>
      <c r="S485" s="1555"/>
      <c r="T485" s="1555"/>
      <c r="U485" s="1555"/>
      <c r="V485" s="1555"/>
      <c r="W485" s="1555"/>
      <c r="X485" s="1555"/>
      <c r="Y485" s="1555"/>
      <c r="Z485" s="1555"/>
      <c r="AA485" s="1555"/>
      <c r="AB485" s="1555"/>
      <c r="AC485" s="1555"/>
      <c r="AD485" s="1555"/>
      <c r="AE485" s="1555"/>
      <c r="AF485" s="1555"/>
      <c r="AG485" s="1555"/>
      <c r="AH485" s="1555"/>
      <c r="AI485" s="1555"/>
      <c r="AJ485" s="1555"/>
      <c r="AK485" s="1555"/>
    </row>
    <row r="486" spans="1:37" s="1373" customFormat="1">
      <c r="A486" s="1371"/>
      <c r="B486" s="1371"/>
      <c r="C486" s="75"/>
      <c r="D486" s="1838"/>
      <c r="E486" s="1838"/>
      <c r="F486" s="1838"/>
      <c r="G486" s="1397"/>
      <c r="H486" s="24">
        <f>+SUM(H484:H485)</f>
        <v>890441883.29999995</v>
      </c>
      <c r="I486" s="24">
        <f>+SUM(I484:I485)</f>
        <v>594891282.38999999</v>
      </c>
      <c r="J486" s="1561"/>
      <c r="K486" s="1569"/>
      <c r="L486" s="1569"/>
      <c r="M486" s="1569"/>
      <c r="N486" s="1554"/>
      <c r="O486" s="1555"/>
      <c r="P486" s="1555"/>
      <c r="Q486" s="1555"/>
      <c r="R486" s="1555"/>
      <c r="S486" s="1555"/>
      <c r="T486" s="1555"/>
      <c r="U486" s="1555"/>
      <c r="V486" s="1555"/>
      <c r="W486" s="1555"/>
      <c r="X486" s="1555"/>
      <c r="Y486" s="1555"/>
      <c r="Z486" s="1555"/>
      <c r="AA486" s="1555"/>
      <c r="AB486" s="1555"/>
      <c r="AC486" s="1555"/>
      <c r="AD486" s="1555"/>
      <c r="AE486" s="1555"/>
      <c r="AF486" s="1555"/>
      <c r="AG486" s="1555"/>
      <c r="AH486" s="1555"/>
      <c r="AI486" s="1555"/>
      <c r="AJ486" s="1555"/>
      <c r="AK486" s="1555"/>
    </row>
    <row r="487" spans="1:37" s="1373" customFormat="1">
      <c r="A487" s="1371"/>
      <c r="B487" s="1371"/>
      <c r="C487" s="75" t="s">
        <v>2500</v>
      </c>
      <c r="D487" s="1838"/>
      <c r="E487" s="1838"/>
      <c r="F487" s="1838"/>
      <c r="G487" s="40"/>
      <c r="H487" s="82">
        <f>+'CLOSING STOCK21-22'!P10+'CLOSING STOCK21-22'!P26+'CLOSING STOCK21-22'!P32</f>
        <v>23499723</v>
      </c>
      <c r="I487" s="22">
        <v>41971585.5</v>
      </c>
      <c r="J487" s="1566"/>
      <c r="K487" s="1554"/>
      <c r="L487" s="1554"/>
      <c r="M487" s="1554"/>
      <c r="N487" s="1569"/>
      <c r="O487" s="1555"/>
      <c r="P487" s="1555"/>
      <c r="Q487" s="1555"/>
      <c r="R487" s="1555"/>
      <c r="S487" s="1555"/>
      <c r="T487" s="1555"/>
      <c r="U487" s="1555"/>
      <c r="V487" s="1555"/>
      <c r="W487" s="1555"/>
      <c r="X487" s="1555"/>
      <c r="Y487" s="1555"/>
      <c r="Z487" s="1555"/>
      <c r="AA487" s="1555"/>
      <c r="AB487" s="1555"/>
      <c r="AC487" s="1555"/>
      <c r="AD487" s="1555"/>
      <c r="AE487" s="1555"/>
      <c r="AF487" s="1555"/>
      <c r="AG487" s="1555"/>
      <c r="AH487" s="1555"/>
      <c r="AI487" s="1555"/>
      <c r="AJ487" s="1555"/>
      <c r="AK487" s="1555"/>
    </row>
    <row r="488" spans="1:37" s="1373" customFormat="1" ht="19.5" thickBot="1">
      <c r="A488" s="1371"/>
      <c r="B488" s="1371"/>
      <c r="C488" s="75"/>
      <c r="D488" s="1854"/>
      <c r="E488" s="1854"/>
      <c r="F488" s="1854"/>
      <c r="G488" s="1854"/>
      <c r="H488" s="103">
        <f>+H486-H487</f>
        <v>866942160.29999995</v>
      </c>
      <c r="I488" s="103">
        <f>+I486-I487</f>
        <v>552919696.88999999</v>
      </c>
      <c r="J488" s="1561"/>
      <c r="K488" s="1569"/>
      <c r="L488" s="1569"/>
      <c r="M488" s="1569"/>
      <c r="N488" s="1554"/>
      <c r="O488" s="1555"/>
      <c r="P488" s="1555"/>
      <c r="Q488" s="1555"/>
      <c r="R488" s="1555"/>
      <c r="S488" s="1555"/>
      <c r="T488" s="1555"/>
      <c r="U488" s="1555"/>
      <c r="V488" s="1555"/>
      <c r="W488" s="1555"/>
      <c r="X488" s="1555"/>
      <c r="Y488" s="1555"/>
      <c r="Z488" s="1555"/>
      <c r="AA488" s="1555"/>
      <c r="AB488" s="1555"/>
      <c r="AC488" s="1555"/>
      <c r="AD488" s="1555"/>
      <c r="AE488" s="1555"/>
      <c r="AF488" s="1555"/>
      <c r="AG488" s="1555"/>
      <c r="AH488" s="1555"/>
      <c r="AI488" s="1555"/>
      <c r="AJ488" s="1555"/>
      <c r="AK488" s="1555"/>
    </row>
    <row r="489" spans="1:37" s="1373" customFormat="1" ht="19.5" thickTop="1">
      <c r="A489" s="1371"/>
      <c r="B489" s="1371"/>
      <c r="C489" s="1847" t="s">
        <v>1288</v>
      </c>
      <c r="D489" s="1848"/>
      <c r="E489" s="1848"/>
      <c r="F489" s="1848"/>
      <c r="G489" s="2064"/>
      <c r="H489" s="81"/>
      <c r="I489" s="138"/>
      <c r="J489" s="1566"/>
      <c r="K489" s="1612"/>
      <c r="L489" s="1612"/>
      <c r="M489" s="1612"/>
      <c r="N489" s="1569"/>
      <c r="O489" s="1555"/>
      <c r="P489" s="1555"/>
      <c r="Q489" s="1555"/>
      <c r="R489" s="1555"/>
      <c r="S489" s="1555"/>
      <c r="T489" s="1555"/>
      <c r="U489" s="1555"/>
      <c r="V489" s="1555"/>
      <c r="W489" s="1555"/>
      <c r="X489" s="1555"/>
      <c r="Y489" s="1555"/>
      <c r="Z489" s="1555"/>
      <c r="AA489" s="1555"/>
      <c r="AB489" s="1555"/>
      <c r="AC489" s="1555"/>
      <c r="AD489" s="1555"/>
      <c r="AE489" s="1555"/>
      <c r="AF489" s="1555"/>
      <c r="AG489" s="1555"/>
      <c r="AH489" s="1555"/>
      <c r="AI489" s="1555"/>
      <c r="AJ489" s="1555"/>
      <c r="AK489" s="1555"/>
    </row>
    <row r="490" spans="1:37" s="1373" customFormat="1">
      <c r="A490" s="1371"/>
      <c r="B490" s="1371"/>
      <c r="C490" s="75" t="s">
        <v>13</v>
      </c>
      <c r="D490" s="1838"/>
      <c r="E490" s="1838"/>
      <c r="F490" s="1838"/>
      <c r="G490" s="1397"/>
      <c r="H490" s="82">
        <f>+I491</f>
        <v>16099811.717889346</v>
      </c>
      <c r="I490" s="82">
        <v>7851552</v>
      </c>
      <c r="J490" s="1566"/>
      <c r="K490" s="1578"/>
      <c r="L490" s="1578"/>
      <c r="M490" s="1578"/>
      <c r="N490" s="1663"/>
      <c r="O490" s="1555"/>
      <c r="P490" s="1555"/>
      <c r="Q490" s="1555"/>
      <c r="R490" s="1555"/>
      <c r="S490" s="1555"/>
      <c r="T490" s="1555"/>
      <c r="U490" s="1555"/>
      <c r="V490" s="1555"/>
      <c r="W490" s="1555"/>
      <c r="X490" s="1555"/>
      <c r="Y490" s="1555"/>
      <c r="Z490" s="1555"/>
      <c r="AA490" s="1555"/>
      <c r="AB490" s="1555"/>
      <c r="AC490" s="1555"/>
      <c r="AD490" s="1555"/>
      <c r="AE490" s="1555"/>
      <c r="AF490" s="1555"/>
      <c r="AG490" s="1555"/>
      <c r="AH490" s="1555"/>
      <c r="AI490" s="1555"/>
      <c r="AJ490" s="1555"/>
      <c r="AK490" s="1555"/>
    </row>
    <row r="491" spans="1:37" s="1373" customFormat="1">
      <c r="A491" s="1371"/>
      <c r="B491" s="1371"/>
      <c r="C491" s="75" t="s">
        <v>2460</v>
      </c>
      <c r="D491" s="1838"/>
      <c r="E491" s="1838"/>
      <c r="F491" s="1838"/>
      <c r="G491" s="40"/>
      <c r="H491" s="82">
        <f>+'FG Valuation'!G35</f>
        <v>17088292</v>
      </c>
      <c r="I491" s="82">
        <v>16099811.717889346</v>
      </c>
      <c r="J491" s="1566"/>
      <c r="K491" s="1578"/>
      <c r="L491" s="1578"/>
      <c r="M491" s="1578"/>
      <c r="N491" s="1631"/>
      <c r="O491" s="1555"/>
      <c r="P491" s="1555"/>
      <c r="Q491" s="1555"/>
      <c r="R491" s="1555"/>
      <c r="S491" s="1555"/>
      <c r="T491" s="1555"/>
      <c r="U491" s="1555"/>
      <c r="V491" s="1555"/>
      <c r="W491" s="1555"/>
      <c r="X491" s="1555"/>
      <c r="Y491" s="1555"/>
      <c r="Z491" s="1555"/>
      <c r="AA491" s="1555"/>
      <c r="AB491" s="1555"/>
      <c r="AC491" s="1555"/>
      <c r="AD491" s="1555"/>
      <c r="AE491" s="1555"/>
      <c r="AF491" s="1555"/>
      <c r="AG491" s="1555"/>
      <c r="AH491" s="1555"/>
      <c r="AI491" s="1555"/>
      <c r="AJ491" s="1555"/>
      <c r="AK491" s="1555"/>
    </row>
    <row r="492" spans="1:37" s="1373" customFormat="1" ht="19.5" thickBot="1">
      <c r="A492" s="1371"/>
      <c r="B492" s="1371"/>
      <c r="C492" s="75"/>
      <c r="D492" s="1838"/>
      <c r="E492" s="1838"/>
      <c r="F492" s="1838"/>
      <c r="G492" s="1397"/>
      <c r="H492" s="103">
        <f>+H490-H491</f>
        <v>-988480.28211065382</v>
      </c>
      <c r="I492" s="103">
        <f>+I490-I491</f>
        <v>-8248259.7178893462</v>
      </c>
      <c r="J492" s="1561"/>
      <c r="K492" s="1569"/>
      <c r="L492" s="1569"/>
      <c r="M492" s="1569"/>
      <c r="N492" s="1631"/>
      <c r="O492" s="1555"/>
      <c r="P492" s="1555"/>
      <c r="Q492" s="1555"/>
      <c r="R492" s="1555"/>
      <c r="S492" s="1555"/>
      <c r="T492" s="1555"/>
      <c r="U492" s="1555"/>
      <c r="V492" s="1555"/>
      <c r="W492" s="1555"/>
      <c r="X492" s="1555"/>
      <c r="Y492" s="1555"/>
      <c r="Z492" s="1555"/>
      <c r="AA492" s="1555"/>
      <c r="AB492" s="1555"/>
      <c r="AC492" s="1555"/>
      <c r="AD492" s="1555"/>
      <c r="AE492" s="1555"/>
      <c r="AF492" s="1555"/>
      <c r="AG492" s="1555"/>
      <c r="AH492" s="1555"/>
      <c r="AI492" s="1555"/>
      <c r="AJ492" s="1555"/>
      <c r="AK492" s="1555"/>
    </row>
    <row r="493" spans="1:37" s="1373" customFormat="1" ht="19.5" thickTop="1">
      <c r="A493" s="1371"/>
      <c r="B493" s="1371"/>
      <c r="C493" s="1847" t="s">
        <v>1289</v>
      </c>
      <c r="D493" s="1848"/>
      <c r="E493" s="1848"/>
      <c r="F493" s="1848"/>
      <c r="G493" s="1397"/>
      <c r="H493" s="82"/>
      <c r="I493" s="82"/>
      <c r="J493" s="1595"/>
      <c r="K493" s="1661"/>
      <c r="L493" s="1661"/>
      <c r="M493" s="1661"/>
      <c r="N493" s="1664"/>
      <c r="O493" s="1590" t="s">
        <v>1530</v>
      </c>
      <c r="P493" s="1590" t="s">
        <v>1626</v>
      </c>
      <c r="Q493" s="1590"/>
      <c r="R493" s="1590" t="s">
        <v>1531</v>
      </c>
      <c r="S493" s="1590" t="s">
        <v>1626</v>
      </c>
      <c r="T493" s="1590" t="s">
        <v>1532</v>
      </c>
      <c r="U493" s="1590" t="s">
        <v>1626</v>
      </c>
      <c r="V493" s="1555"/>
      <c r="W493" s="1555"/>
      <c r="X493" s="1555"/>
      <c r="Y493" s="1555"/>
      <c r="Z493" s="1555"/>
      <c r="AA493" s="1555"/>
      <c r="AB493" s="1555"/>
      <c r="AC493" s="1555"/>
      <c r="AD493" s="1555"/>
      <c r="AE493" s="1555"/>
      <c r="AF493" s="1555"/>
      <c r="AG493" s="1555"/>
      <c r="AH493" s="1555"/>
      <c r="AI493" s="1555"/>
      <c r="AJ493" s="1555"/>
      <c r="AK493" s="1555"/>
    </row>
    <row r="494" spans="1:37" s="1373" customFormat="1">
      <c r="A494" s="1371"/>
      <c r="B494" s="1371"/>
      <c r="C494" s="75" t="s">
        <v>620</v>
      </c>
      <c r="D494" s="1838"/>
      <c r="E494" s="1838"/>
      <c r="F494" s="1838"/>
      <c r="G494" s="1850"/>
      <c r="H494" s="82">
        <f>+GETPIVOTDATA("Sum of Dr. Final 21-22",Pivot!$A$3,"Note",25,"BS Main Head","Employee Benefit Expenses","BS Sub Head","Salary &amp; Wages")</f>
        <v>21904975</v>
      </c>
      <c r="I494" s="82">
        <f>+GETPIVOTDATA("Sum of Dr. Final 2020-21",Pivot!$A$3,"Note",25,"BS Main Head","Employee Benefit Expenses","BS Sub Head","Salary &amp; Wages")</f>
        <v>19178887</v>
      </c>
      <c r="J494" s="1595"/>
      <c r="K494" s="1661"/>
      <c r="L494" s="1661"/>
      <c r="M494" s="1661"/>
      <c r="N494" s="1662"/>
      <c r="O494" s="1590" t="s">
        <v>1533</v>
      </c>
      <c r="P494" s="1590">
        <f>+GETPIVOTDATA("Sum of Dr. Final 21-22",Pivot!$A$3,"Note",27,"BS Main Head","Other - Manufacturing Expenses","BS Sub Head","Power and Fuel")</f>
        <v>141776611.34</v>
      </c>
      <c r="Q494" s="1590"/>
      <c r="R494" s="1590" t="s">
        <v>1533</v>
      </c>
      <c r="S494" s="1590">
        <f>+GETPIVOTDATA("Sum of Dr. Final 21-22",Pivot!$A$3,"PARTICULARS","Purchase Of Store","Note",27,"BS Main Head","Other - Manufacturing Expenses","BS Sub Head","Stores &amp; Spares Consumed")</f>
        <v>17306494.390000001</v>
      </c>
      <c r="T494" s="1590" t="s">
        <v>1533</v>
      </c>
      <c r="U494" s="1590">
        <f>+GETPIVOTDATA("Sum of Dr. Final 21-22",Pivot!$A$3,"Note",27,"BS Main Head","Other - Manufacturing Expenses","BS Sub Head","Packing Material Purchase")</f>
        <v>9241091.2200000007</v>
      </c>
      <c r="V494" s="1555"/>
      <c r="W494" s="1555"/>
      <c r="X494" s="1555"/>
      <c r="Y494" s="1555"/>
      <c r="Z494" s="1555"/>
      <c r="AA494" s="1555"/>
      <c r="AB494" s="1555"/>
      <c r="AC494" s="1555"/>
      <c r="AD494" s="1555"/>
      <c r="AE494" s="1555"/>
      <c r="AF494" s="1555"/>
      <c r="AG494" s="1555"/>
      <c r="AH494" s="1555"/>
      <c r="AI494" s="1555"/>
      <c r="AJ494" s="1555"/>
      <c r="AK494" s="1555"/>
    </row>
    <row r="495" spans="1:37" s="1373" customFormat="1">
      <c r="A495" s="1371"/>
      <c r="B495" s="1371"/>
      <c r="C495" s="75" t="s">
        <v>632</v>
      </c>
      <c r="D495" s="1838"/>
      <c r="E495" s="1838"/>
      <c r="F495" s="1838"/>
      <c r="G495" s="1397"/>
      <c r="H495" s="82">
        <f>+GETPIVOTDATA("Sum of Dr. Final 21-22",Pivot!$A$3,"Note",25,"BS Main Head","Employee Benefit Expenses","BS Sub Head","Contribution to Funds")-GETPIVOTDATA("Sum of Cr. Final 21-22",Pivot!$A$3,"Note",25,"BS Main Head","Employee Benefit Expenses","BS Sub Head","Contribution to Funds")-GETPIVOTDATA("Sum of Cr. Final 21-22",Pivot!$A$3,"PARTICULARS","Other Comprehensive Income","Note",,"BS Main Head","Reserves &amp; Surplus","BS Sub Head","Surplus")+H559</f>
        <v>2430498</v>
      </c>
      <c r="I495" s="82">
        <f>+GETPIVOTDATA("Sum of Dr. Final 2020-21",Pivot!$A$3,"Note",25,"BS Main Head","Employee Benefit Expenses","BS Sub Head","Contribution to Funds")+I559</f>
        <v>2155531</v>
      </c>
      <c r="J495" s="1595">
        <f>+H559-GETPIVOTDATA("Sum of Cr. Final 21-22",Pivot!$A$3,"PARTICULARS","Gratuity To Staff","Note",25,"BS Main Head","Employee Benefit Expenses","BS Sub Head","Contribution to Funds")</f>
        <v>1104075</v>
      </c>
      <c r="K495" s="1661"/>
      <c r="L495" s="1661"/>
      <c r="M495" s="1661"/>
      <c r="N495" s="1661"/>
      <c r="O495" s="1590" t="s">
        <v>1534</v>
      </c>
      <c r="P495" s="1590">
        <v>865884</v>
      </c>
      <c r="Q495" s="1590"/>
      <c r="R495" s="1590" t="s">
        <v>1534</v>
      </c>
      <c r="S495" s="1590">
        <v>8085595</v>
      </c>
      <c r="T495" s="1590" t="s">
        <v>1534</v>
      </c>
      <c r="U495" s="1590">
        <v>490918</v>
      </c>
      <c r="V495" s="1555"/>
      <c r="W495" s="1555"/>
      <c r="X495" s="1555"/>
      <c r="Y495" s="1555"/>
      <c r="Z495" s="1555"/>
      <c r="AA495" s="1555"/>
      <c r="AB495" s="1555"/>
      <c r="AC495" s="1555"/>
      <c r="AD495" s="1555"/>
      <c r="AE495" s="1555"/>
      <c r="AF495" s="1555"/>
      <c r="AG495" s="1555"/>
      <c r="AH495" s="1555"/>
      <c r="AI495" s="1555"/>
      <c r="AJ495" s="1555"/>
      <c r="AK495" s="1555"/>
    </row>
    <row r="496" spans="1:37" s="1373" customFormat="1">
      <c r="A496" s="1371"/>
      <c r="B496" s="1371"/>
      <c r="C496" s="75" t="s">
        <v>742</v>
      </c>
      <c r="D496" s="1838"/>
      <c r="E496" s="1838"/>
      <c r="F496" s="1838"/>
      <c r="G496" s="1397"/>
      <c r="H496" s="82">
        <f>+GETPIVOTDATA("Sum of Dr. Final 21-22",Pivot!$A$3,"Note",25,"BS Main Head","Employee Benefit Expenses","BS Sub Head","Staff Welfare Expenses")</f>
        <v>198462</v>
      </c>
      <c r="I496" s="111">
        <f>+GETPIVOTDATA("Sum of Dr. Final 2020-21",Pivot!$A$3,"Note",25,"BS Main Head","Employee Benefit Expenses","BS Sub Head","Staff Welfare Expenses")</f>
        <v>306631</v>
      </c>
      <c r="J496" s="1595"/>
      <c r="K496" s="1661"/>
      <c r="L496" s="1661"/>
      <c r="M496" s="1661"/>
      <c r="N496" s="1665"/>
      <c r="O496" s="1590" t="s">
        <v>1535</v>
      </c>
      <c r="P496" s="1590">
        <f>+'CLOSING STOCK21-22'!P34+'CLOSING STOCK21-22'!P36</f>
        <v>2062056</v>
      </c>
      <c r="Q496" s="1590"/>
      <c r="R496" s="1590" t="s">
        <v>1535</v>
      </c>
      <c r="S496" s="1590">
        <f>+'CLOSING STOCK21-22'!P42</f>
        <v>8287040.7199999997</v>
      </c>
      <c r="T496" s="1590" t="s">
        <v>1535</v>
      </c>
      <c r="U496" s="1590">
        <f>+'CLOSING STOCK21-22'!P30</f>
        <v>656155</v>
      </c>
      <c r="V496" s="1555"/>
      <c r="W496" s="1555"/>
      <c r="X496" s="1555"/>
      <c r="Y496" s="1555"/>
      <c r="Z496" s="1555"/>
      <c r="AA496" s="1555"/>
      <c r="AB496" s="1555"/>
      <c r="AC496" s="1555"/>
      <c r="AD496" s="1555"/>
      <c r="AE496" s="1555"/>
      <c r="AF496" s="1555"/>
      <c r="AG496" s="1555"/>
      <c r="AH496" s="1555"/>
      <c r="AI496" s="1555"/>
      <c r="AJ496" s="1555"/>
      <c r="AK496" s="1555"/>
    </row>
    <row r="497" spans="1:37" s="1373" customFormat="1" ht="19.5" thickBot="1">
      <c r="A497" s="1371"/>
      <c r="B497" s="1371"/>
      <c r="C497" s="75"/>
      <c r="D497" s="1838"/>
      <c r="E497" s="1838"/>
      <c r="F497" s="1838"/>
      <c r="G497" s="1397"/>
      <c r="H497" s="103">
        <f>+SUM(H494:H496)</f>
        <v>24533935</v>
      </c>
      <c r="I497" s="103">
        <f>+SUM(I494:I496)</f>
        <v>21641049</v>
      </c>
      <c r="J497" s="1655"/>
      <c r="K497" s="1659"/>
      <c r="L497" s="1659"/>
      <c r="M497" s="1659"/>
      <c r="N497" s="1666"/>
      <c r="O497" s="1590"/>
      <c r="P497" s="1590"/>
      <c r="Q497" s="1590"/>
      <c r="R497" s="1590"/>
      <c r="S497" s="1590"/>
      <c r="T497" s="1590"/>
      <c r="U497" s="1590"/>
      <c r="V497" s="1555"/>
      <c r="W497" s="1555"/>
      <c r="X497" s="1555"/>
      <c r="Y497" s="1555"/>
      <c r="Z497" s="1555"/>
      <c r="AA497" s="1555"/>
      <c r="AB497" s="1555"/>
      <c r="AC497" s="1555"/>
      <c r="AD497" s="1555"/>
      <c r="AE497" s="1555"/>
      <c r="AF497" s="1555"/>
      <c r="AG497" s="1555"/>
      <c r="AH497" s="1555"/>
      <c r="AI497" s="1555"/>
      <c r="AJ497" s="1555"/>
      <c r="AK497" s="1555"/>
    </row>
    <row r="498" spans="1:37" s="1373" customFormat="1" ht="19.5" thickTop="1">
      <c r="A498" s="1371"/>
      <c r="B498" s="1371"/>
      <c r="C498" s="1847" t="s">
        <v>1290</v>
      </c>
      <c r="D498" s="1848"/>
      <c r="E498" s="1848"/>
      <c r="F498" s="1848"/>
      <c r="G498" s="1397"/>
      <c r="H498" s="82"/>
      <c r="I498" s="139"/>
      <c r="J498" s="1595"/>
      <c r="K498" s="1661"/>
      <c r="L498" s="1661"/>
      <c r="M498" s="1661"/>
      <c r="N498" s="1667"/>
      <c r="O498" s="1590"/>
      <c r="P498" s="1590">
        <f>+P494+P495-P496</f>
        <v>140580439.34</v>
      </c>
      <c r="Q498" s="1590"/>
      <c r="R498" s="1590"/>
      <c r="S498" s="1590">
        <f>+S494+S495-S496</f>
        <v>17105048.670000002</v>
      </c>
      <c r="T498" s="1590"/>
      <c r="U498" s="1590">
        <f>+U494+U495-U496</f>
        <v>9075854.2200000007</v>
      </c>
      <c r="V498" s="1555"/>
      <c r="W498" s="1555"/>
      <c r="X498" s="1555"/>
      <c r="Y498" s="1555"/>
      <c r="Z498" s="1555"/>
      <c r="AA498" s="1555"/>
      <c r="AB498" s="1555"/>
      <c r="AC498" s="1555"/>
      <c r="AD498" s="1555"/>
      <c r="AE498" s="1555"/>
      <c r="AF498" s="1555"/>
      <c r="AG498" s="1555"/>
      <c r="AH498" s="1555"/>
      <c r="AI498" s="1555"/>
      <c r="AJ498" s="1555"/>
      <c r="AK498" s="1555"/>
    </row>
    <row r="499" spans="1:37" s="1373" customFormat="1">
      <c r="A499" s="1371"/>
      <c r="B499" s="1371"/>
      <c r="C499" s="75" t="s">
        <v>693</v>
      </c>
      <c r="D499" s="1838"/>
      <c r="E499" s="1838"/>
      <c r="F499" s="1838"/>
      <c r="G499" s="1845"/>
      <c r="H499" s="81">
        <f>+GETPIVOTDATA("Sum of Dr. Final 21-22",Pivot!$A$3,"Note",26,"BS Main Head","Finance Costs","BS Sub Head","Interest Expenses")</f>
        <v>7344101.1500000004</v>
      </c>
      <c r="I499" s="22">
        <f>+GETPIVOTDATA("Sum of Dr. Final 2020-21",Pivot!$A$3,"Note",26,"BS Main Head","Finance Costs","BS Sub Head","Interest Expenses")</f>
        <v>5951031.9500000002</v>
      </c>
      <c r="J499" s="1566"/>
      <c r="K499" s="1554"/>
      <c r="L499" s="1554"/>
      <c r="M499" s="1554"/>
      <c r="N499" s="1579"/>
      <c r="O499" s="1555"/>
      <c r="P499" s="1555"/>
      <c r="Q499" s="1555"/>
      <c r="R499" s="1555"/>
      <c r="S499" s="1555"/>
      <c r="T499" s="1555"/>
      <c r="U499" s="1555"/>
      <c r="V499" s="1555"/>
      <c r="W499" s="1555"/>
      <c r="X499" s="1555"/>
      <c r="Y499" s="1555"/>
      <c r="Z499" s="1555"/>
      <c r="AA499" s="1555"/>
      <c r="AB499" s="1555"/>
      <c r="AC499" s="1555"/>
      <c r="AD499" s="1555"/>
      <c r="AE499" s="1555"/>
      <c r="AF499" s="1555"/>
      <c r="AG499" s="1555"/>
      <c r="AH499" s="1555"/>
      <c r="AI499" s="1555"/>
      <c r="AJ499" s="1555"/>
      <c r="AK499" s="1555"/>
    </row>
    <row r="500" spans="1:37" s="1373" customFormat="1">
      <c r="A500" s="1371"/>
      <c r="B500" s="1371"/>
      <c r="C500" s="75" t="s">
        <v>1291</v>
      </c>
      <c r="D500" s="1838"/>
      <c r="E500" s="1838"/>
      <c r="F500" s="1838"/>
      <c r="G500" s="1471"/>
      <c r="H500" s="81">
        <f>+GETPIVOTDATA("Sum of Dr. Final 21-22",Pivot!$A$3,"Note",26,"BS Main Head","Finance Costs","BS Sub Head","Other Borrowing Costs")</f>
        <v>258852</v>
      </c>
      <c r="I500" s="22">
        <f>+GETPIVOTDATA("Sum of Dr. Final 2020-21",Pivot!$A$3,"Note",26,"BS Main Head","Finance Costs","BS Sub Head","Other Borrowing Costs")</f>
        <v>421153</v>
      </c>
      <c r="J500" s="1566"/>
      <c r="K500" s="1554"/>
      <c r="L500" s="1554"/>
      <c r="M500" s="1554"/>
      <c r="N500" s="1554"/>
      <c r="O500" s="1555"/>
      <c r="P500" s="1555"/>
      <c r="Q500" s="1555"/>
      <c r="R500" s="1555"/>
      <c r="S500" s="1555"/>
      <c r="T500" s="1555"/>
      <c r="U500" s="1555"/>
      <c r="V500" s="1555"/>
      <c r="W500" s="1555"/>
      <c r="X500" s="1555"/>
      <c r="Y500" s="1555"/>
      <c r="Z500" s="1555"/>
      <c r="AA500" s="1555"/>
      <c r="AB500" s="1555"/>
      <c r="AC500" s="1555"/>
      <c r="AD500" s="1555"/>
      <c r="AE500" s="1555"/>
      <c r="AF500" s="1555"/>
      <c r="AG500" s="1555"/>
      <c r="AH500" s="1555"/>
      <c r="AI500" s="1555"/>
      <c r="AJ500" s="1555"/>
      <c r="AK500" s="1555"/>
    </row>
    <row r="501" spans="1:37" s="1373" customFormat="1">
      <c r="A501" s="1371"/>
      <c r="B501" s="1371"/>
      <c r="C501" s="75"/>
      <c r="D501" s="1838"/>
      <c r="E501" s="1838"/>
      <c r="F501" s="1838"/>
      <c r="G501" s="1470"/>
      <c r="H501" s="23">
        <f>+SUM(H499:H500)</f>
        <v>7602953.1500000004</v>
      </c>
      <c r="I501" s="23">
        <f>+SUM(I499:I500)</f>
        <v>6372184.9500000002</v>
      </c>
      <c r="J501" s="1561"/>
      <c r="K501" s="1569"/>
      <c r="L501" s="1569"/>
      <c r="M501" s="1569"/>
      <c r="N501" s="1554"/>
      <c r="O501" s="1555"/>
      <c r="P501" s="1555"/>
      <c r="Q501" s="1555"/>
      <c r="R501" s="1555"/>
      <c r="S501" s="1555"/>
      <c r="T501" s="1555"/>
      <c r="U501" s="1555"/>
      <c r="V501" s="1555"/>
      <c r="W501" s="1555"/>
      <c r="X501" s="1555"/>
      <c r="Y501" s="1555"/>
      <c r="Z501" s="1555"/>
      <c r="AA501" s="1555"/>
      <c r="AB501" s="1555"/>
      <c r="AC501" s="1555"/>
      <c r="AD501" s="1555"/>
      <c r="AE501" s="1555"/>
      <c r="AF501" s="1555"/>
      <c r="AG501" s="1555"/>
      <c r="AH501" s="1555"/>
      <c r="AI501" s="1555"/>
      <c r="AJ501" s="1555"/>
      <c r="AK501" s="1555"/>
    </row>
    <row r="502" spans="1:37" s="1373" customFormat="1" hidden="1">
      <c r="A502" s="1371"/>
      <c r="B502" s="1371"/>
      <c r="C502" s="2181" t="s">
        <v>1065</v>
      </c>
      <c r="D502" s="2182"/>
      <c r="E502" s="2182"/>
      <c r="F502" s="2182"/>
      <c r="G502" s="2182"/>
      <c r="H502" s="2183"/>
      <c r="I502" s="2184"/>
      <c r="J502" s="1649"/>
      <c r="K502" s="1650"/>
      <c r="L502" s="1650"/>
      <c r="M502" s="1650"/>
      <c r="N502" s="1569"/>
      <c r="O502" s="1555"/>
      <c r="P502" s="1555"/>
      <c r="Q502" s="1555"/>
      <c r="R502" s="1555"/>
      <c r="S502" s="1555"/>
      <c r="T502" s="1555"/>
      <c r="U502" s="1555"/>
      <c r="V502" s="1555"/>
      <c r="W502" s="1555"/>
      <c r="X502" s="1555"/>
      <c r="Y502" s="1555"/>
      <c r="Z502" s="1555"/>
      <c r="AA502" s="1555"/>
      <c r="AB502" s="1555"/>
      <c r="AC502" s="1555"/>
      <c r="AD502" s="1555"/>
      <c r="AE502" s="1555"/>
      <c r="AF502" s="1555"/>
      <c r="AG502" s="1555"/>
      <c r="AH502" s="1555"/>
      <c r="AI502" s="1555"/>
      <c r="AJ502" s="1555"/>
      <c r="AK502" s="1555"/>
    </row>
    <row r="503" spans="1:37" s="1373" customFormat="1" hidden="1">
      <c r="A503" s="1371"/>
      <c r="B503" s="1371"/>
      <c r="C503" s="2181" t="s">
        <v>1546</v>
      </c>
      <c r="D503" s="2182"/>
      <c r="E503" s="2182"/>
      <c r="F503" s="2182"/>
      <c r="G503" s="2182"/>
      <c r="H503" s="2182"/>
      <c r="I503" s="2185"/>
      <c r="J503" s="1649"/>
      <c r="K503" s="1650"/>
      <c r="L503" s="1650"/>
      <c r="M503" s="1650"/>
      <c r="N503" s="1650"/>
      <c r="O503" s="1555"/>
      <c r="P503" s="1555"/>
      <c r="Q503" s="1555"/>
      <c r="R503" s="1555"/>
      <c r="S503" s="1555"/>
      <c r="T503" s="1555"/>
      <c r="U503" s="1555"/>
      <c r="V503" s="1555"/>
      <c r="W503" s="1555"/>
      <c r="X503" s="1555"/>
      <c r="Y503" s="1555"/>
      <c r="Z503" s="1555"/>
      <c r="AA503" s="1555"/>
      <c r="AB503" s="1555"/>
      <c r="AC503" s="1555"/>
      <c r="AD503" s="1555"/>
      <c r="AE503" s="1555"/>
      <c r="AF503" s="1555"/>
      <c r="AG503" s="1555"/>
      <c r="AH503" s="1555"/>
      <c r="AI503" s="1555"/>
      <c r="AJ503" s="1555"/>
      <c r="AK503" s="1555"/>
    </row>
    <row r="504" spans="1:37" s="1373" customFormat="1" hidden="1">
      <c r="A504" s="1371"/>
      <c r="B504" s="1371"/>
      <c r="C504" s="1426" t="s">
        <v>402</v>
      </c>
      <c r="D504" s="1869"/>
      <c r="E504" s="1869"/>
      <c r="F504" s="1869"/>
      <c r="G504" s="1894"/>
      <c r="H504" s="15" t="str">
        <f>+H466</f>
        <v xml:space="preserve">As At </v>
      </c>
      <c r="I504" s="15" t="str">
        <f>+I466</f>
        <v xml:space="preserve"> As At</v>
      </c>
      <c r="J504" s="1558"/>
      <c r="K504" s="1559"/>
      <c r="L504" s="1559"/>
      <c r="M504" s="1559"/>
      <c r="N504" s="1650"/>
      <c r="O504" s="1555"/>
      <c r="P504" s="1555"/>
      <c r="Q504" s="1555"/>
      <c r="R504" s="1555"/>
      <c r="S504" s="1555"/>
      <c r="T504" s="1555"/>
      <c r="U504" s="1555"/>
      <c r="V504" s="1555"/>
      <c r="W504" s="1555"/>
      <c r="X504" s="1555"/>
      <c r="Y504" s="1555"/>
      <c r="Z504" s="1555"/>
      <c r="AA504" s="1555"/>
      <c r="AB504" s="1555"/>
      <c r="AC504" s="1555"/>
      <c r="AD504" s="1555"/>
      <c r="AE504" s="1555"/>
      <c r="AF504" s="1555"/>
      <c r="AG504" s="1555"/>
      <c r="AH504" s="1555"/>
      <c r="AI504" s="1555"/>
      <c r="AJ504" s="1555"/>
      <c r="AK504" s="1555"/>
    </row>
    <row r="505" spans="1:37" s="1373" customFormat="1" ht="37.5" hidden="1">
      <c r="A505" s="1371"/>
      <c r="B505" s="1371"/>
      <c r="C505" s="1424"/>
      <c r="D505" s="1864"/>
      <c r="E505" s="1864"/>
      <c r="F505" s="1864"/>
      <c r="G505" s="1404"/>
      <c r="H505" s="56" t="str">
        <f>+H467</f>
        <v>March 31, 2022 (₹)</v>
      </c>
      <c r="I505" s="56" t="str">
        <f>+I467</f>
        <v>March 31, 2021 (₹)</v>
      </c>
      <c r="J505" s="1558"/>
      <c r="K505" s="1559"/>
      <c r="L505" s="1559"/>
      <c r="M505" s="1559"/>
      <c r="N505" s="1650"/>
      <c r="O505" s="1555"/>
      <c r="P505" s="1555"/>
      <c r="Q505" s="1555"/>
      <c r="R505" s="1555"/>
      <c r="S505" s="1555"/>
      <c r="T505" s="1555"/>
      <c r="U505" s="1555"/>
      <c r="V505" s="1555"/>
      <c r="W505" s="1555"/>
      <c r="X505" s="1555"/>
      <c r="Y505" s="1555"/>
      <c r="Z505" s="1555"/>
      <c r="AA505" s="1555"/>
      <c r="AB505" s="1555"/>
      <c r="AC505" s="1555"/>
      <c r="AD505" s="1555"/>
      <c r="AE505" s="1555"/>
      <c r="AF505" s="1555"/>
      <c r="AG505" s="1555"/>
      <c r="AH505" s="1555"/>
      <c r="AI505" s="1555"/>
      <c r="AJ505" s="1555"/>
      <c r="AK505" s="1555"/>
    </row>
    <row r="506" spans="1:37" s="1373" customFormat="1">
      <c r="A506" s="1371"/>
      <c r="B506" s="1371"/>
      <c r="C506" s="1847" t="s">
        <v>1292</v>
      </c>
      <c r="D506" s="1840"/>
      <c r="E506" s="1840"/>
      <c r="F506" s="1840"/>
      <c r="G506" s="1397"/>
      <c r="H506" s="94"/>
      <c r="I506" s="21"/>
      <c r="J506" s="1561"/>
      <c r="K506" s="1562"/>
      <c r="L506" s="1562"/>
      <c r="M506" s="1562"/>
      <c r="N506" s="1587"/>
      <c r="O506" s="1555"/>
      <c r="P506" s="1555"/>
      <c r="Q506" s="1555"/>
      <c r="R506" s="1555"/>
      <c r="S506" s="1555"/>
      <c r="T506" s="1555"/>
      <c r="U506" s="1555"/>
      <c r="V506" s="1555"/>
      <c r="W506" s="1555"/>
      <c r="X506" s="1555"/>
      <c r="Y506" s="1555"/>
      <c r="Z506" s="1555"/>
      <c r="AA506" s="1555"/>
      <c r="AB506" s="1555"/>
      <c r="AC506" s="1555"/>
      <c r="AD506" s="1555"/>
      <c r="AE506" s="1555"/>
      <c r="AF506" s="1555"/>
      <c r="AG506" s="1555"/>
      <c r="AH506" s="1555"/>
      <c r="AI506" s="1555"/>
      <c r="AJ506" s="1555"/>
      <c r="AK506" s="1555"/>
    </row>
    <row r="507" spans="1:37" s="1373" customFormat="1">
      <c r="A507" s="1371"/>
      <c r="B507" s="1371"/>
      <c r="C507" s="74" t="s">
        <v>1293</v>
      </c>
      <c r="D507" s="1840"/>
      <c r="E507" s="1840"/>
      <c r="F507" s="1840"/>
      <c r="G507" s="1397"/>
      <c r="H507" s="82"/>
      <c r="I507" s="21"/>
      <c r="J507" s="1561"/>
      <c r="K507" s="1562"/>
      <c r="L507" s="1562"/>
      <c r="M507" s="1562"/>
      <c r="N507" s="1562"/>
      <c r="O507" s="1555"/>
      <c r="P507" s="1555"/>
      <c r="Q507" s="1555"/>
      <c r="R507" s="1555"/>
      <c r="S507" s="1555"/>
      <c r="T507" s="1555"/>
      <c r="U507" s="1555"/>
      <c r="V507" s="1555"/>
      <c r="W507" s="1555"/>
      <c r="X507" s="1555"/>
      <c r="Y507" s="1555"/>
      <c r="Z507" s="1555"/>
      <c r="AA507" s="1555"/>
      <c r="AB507" s="1555"/>
      <c r="AC507" s="1555"/>
      <c r="AD507" s="1555"/>
      <c r="AE507" s="1555"/>
      <c r="AF507" s="1555"/>
      <c r="AG507" s="1555"/>
      <c r="AH507" s="1555"/>
      <c r="AI507" s="1555"/>
      <c r="AJ507" s="1555"/>
      <c r="AK507" s="1555"/>
    </row>
    <row r="508" spans="1:37" s="1373" customFormat="1">
      <c r="A508" s="1371"/>
      <c r="B508" s="1371"/>
      <c r="C508" s="1431" t="s">
        <v>1294</v>
      </c>
      <c r="D508" s="1845"/>
      <c r="E508" s="1845"/>
      <c r="F508" s="1845"/>
      <c r="G508" s="1397"/>
      <c r="H508" s="82">
        <f>+GETPIVOTDATA("Sum of Dr. Final 21-22",Pivot!$A$3,"Note",27,"BS Main Head","Other - Manufacturing Expenses","BS Sub Head","Factory Expenses")</f>
        <v>5119183</v>
      </c>
      <c r="I508" s="22">
        <f>+GETPIVOTDATA("Sum of Dr. Final 2020-21",Pivot!$A$3,"Note",27,"BS Main Head","Other - Manufacturing Expenses","BS Sub Head","Factory Expenses")</f>
        <v>4250954.5</v>
      </c>
      <c r="J508" s="1668">
        <f>+(H508-I508)/I508</f>
        <v>0.20424318820631931</v>
      </c>
      <c r="K508" s="1554"/>
      <c r="L508" s="1554"/>
      <c r="M508" s="1554"/>
      <c r="N508" s="1562"/>
      <c r="O508" s="1555"/>
      <c r="P508" s="1555"/>
      <c r="Q508" s="1555"/>
      <c r="R508" s="1555"/>
      <c r="S508" s="1555"/>
      <c r="T508" s="1555"/>
      <c r="U508" s="1555"/>
      <c r="V508" s="1555"/>
      <c r="W508" s="1555"/>
      <c r="X508" s="1555"/>
      <c r="Y508" s="1555"/>
      <c r="Z508" s="1555"/>
      <c r="AA508" s="1555"/>
      <c r="AB508" s="1555"/>
      <c r="AC508" s="1555"/>
      <c r="AD508" s="1555"/>
      <c r="AE508" s="1555"/>
      <c r="AF508" s="1555"/>
      <c r="AG508" s="1555"/>
      <c r="AH508" s="1555"/>
      <c r="AI508" s="1555"/>
      <c r="AJ508" s="1555"/>
      <c r="AK508" s="1555"/>
    </row>
    <row r="509" spans="1:37" s="1373" customFormat="1">
      <c r="A509" s="1371"/>
      <c r="B509" s="1371"/>
      <c r="C509" s="75" t="s">
        <v>1295</v>
      </c>
      <c r="D509" s="1838"/>
      <c r="E509" s="1838"/>
      <c r="F509" s="1838"/>
      <c r="G509" s="1397"/>
      <c r="H509" s="82">
        <f>+GETPIVOTDATA("Sum of Dr. Final 21-22",Pivot!$A$3,"Note",27,"BS Main Head","Other - Manufacturing Expenses","BS Sub Head","Finished Goods Packing and Allied Charges")</f>
        <v>3282001</v>
      </c>
      <c r="I509" s="22">
        <f>+GETPIVOTDATA("Sum of Dr. Final 2020-21",Pivot!$A$3,"Note",27,"BS Main Head","Other - Manufacturing Expenses","BS Sub Head","Finished Goods Packing and Allied Charges")</f>
        <v>2854617</v>
      </c>
      <c r="J509" s="1668">
        <f>+(H509-I509)/I509</f>
        <v>0.14971675709911347</v>
      </c>
      <c r="K509" s="1554"/>
      <c r="L509" s="1554"/>
      <c r="M509" s="1554"/>
      <c r="N509" s="1554"/>
      <c r="O509" s="1555"/>
      <c r="P509" s="1555"/>
      <c r="Q509" s="1555"/>
      <c r="R509" s="1555"/>
      <c r="S509" s="1555"/>
      <c r="T509" s="1555"/>
      <c r="U509" s="1555"/>
      <c r="V509" s="1555"/>
      <c r="W509" s="1555"/>
      <c r="X509" s="1555"/>
      <c r="Y509" s="1555"/>
      <c r="Z509" s="1555"/>
      <c r="AA509" s="1555"/>
      <c r="AB509" s="1555"/>
      <c r="AC509" s="1555"/>
      <c r="AD509" s="1555"/>
      <c r="AE509" s="1555"/>
      <c r="AF509" s="1555"/>
      <c r="AG509" s="1555"/>
      <c r="AH509" s="1555"/>
      <c r="AI509" s="1555"/>
      <c r="AJ509" s="1555"/>
      <c r="AK509" s="1555"/>
    </row>
    <row r="510" spans="1:37" s="1373" customFormat="1">
      <c r="A510" s="1371"/>
      <c r="B510" s="1371"/>
      <c r="C510" s="75" t="s">
        <v>1296</v>
      </c>
      <c r="D510" s="1865"/>
      <c r="E510" s="1865"/>
      <c r="F510" s="1865"/>
      <c r="G510" s="1397"/>
      <c r="H510" s="82">
        <f>+U498</f>
        <v>9075854.2200000007</v>
      </c>
      <c r="I510" s="22">
        <v>6875832.8200000003</v>
      </c>
      <c r="J510" s="1668">
        <f>+(H510-I510)/I510</f>
        <v>0.31996435305999782</v>
      </c>
      <c r="K510" s="1554"/>
      <c r="L510" s="1554"/>
      <c r="M510" s="1554"/>
      <c r="N510" s="1554"/>
      <c r="O510" s="1555"/>
      <c r="P510" s="1555"/>
      <c r="Q510" s="1555"/>
      <c r="R510" s="1555"/>
      <c r="S510" s="1555"/>
      <c r="T510" s="1555"/>
      <c r="U510" s="1555"/>
      <c r="V510" s="1555"/>
      <c r="W510" s="1555"/>
      <c r="X510" s="1555"/>
      <c r="Y510" s="1555"/>
      <c r="Z510" s="1555"/>
      <c r="AA510" s="1555"/>
      <c r="AB510" s="1555"/>
      <c r="AC510" s="1555"/>
      <c r="AD510" s="1555"/>
      <c r="AE510" s="1555"/>
      <c r="AF510" s="1555"/>
      <c r="AG510" s="1555"/>
      <c r="AH510" s="1555"/>
      <c r="AI510" s="1555"/>
      <c r="AJ510" s="1555"/>
      <c r="AK510" s="1555"/>
    </row>
    <row r="511" spans="1:37" s="1373" customFormat="1">
      <c r="A511" s="1371"/>
      <c r="B511" s="1371"/>
      <c r="C511" s="75" t="s">
        <v>1297</v>
      </c>
      <c r="D511" s="1838"/>
      <c r="E511" s="1838"/>
      <c r="F511" s="1838"/>
      <c r="G511" s="1850"/>
      <c r="H511" s="82">
        <f>+P498</f>
        <v>140580439.34</v>
      </c>
      <c r="I511" s="140">
        <v>123939401.44</v>
      </c>
      <c r="J511" s="1668">
        <f>+(H511-I511)/I511</f>
        <v>0.13426753483278728</v>
      </c>
      <c r="K511" s="1669"/>
      <c r="L511" s="1669"/>
      <c r="M511" s="1669"/>
      <c r="N511" s="1554"/>
      <c r="O511" s="1555"/>
      <c r="P511" s="1555"/>
      <c r="Q511" s="1555"/>
      <c r="R511" s="1555"/>
      <c r="S511" s="1555"/>
      <c r="T511" s="1555"/>
      <c r="U511" s="1555"/>
      <c r="V511" s="1555"/>
      <c r="W511" s="1555"/>
      <c r="X511" s="1555"/>
      <c r="Y511" s="1555"/>
      <c r="Z511" s="1555"/>
      <c r="AA511" s="1555"/>
      <c r="AB511" s="1555"/>
      <c r="AC511" s="1555"/>
      <c r="AD511" s="1555"/>
      <c r="AE511" s="1555"/>
      <c r="AF511" s="1555"/>
      <c r="AG511" s="1555"/>
      <c r="AH511" s="1555"/>
      <c r="AI511" s="1555"/>
      <c r="AJ511" s="1555"/>
      <c r="AK511" s="1555"/>
    </row>
    <row r="512" spans="1:37" s="1373" customFormat="1">
      <c r="A512" s="1371"/>
      <c r="B512" s="1371"/>
      <c r="C512" s="75" t="s">
        <v>280</v>
      </c>
      <c r="D512" s="1838"/>
      <c r="E512" s="1838"/>
      <c r="F512" s="1838"/>
      <c r="G512" s="1397"/>
      <c r="H512" s="82">
        <f>+GETPIVOTDATA("Sum of Dr. Final 21-22",Pivot!$A$3,"Note",27,"BS Main Head","Other - Manufacturing Expenses","BS Sub Head","Raw Material Sorting Charges")</f>
        <v>4044390</v>
      </c>
      <c r="I512" s="82">
        <f>+GETPIVOTDATA("Sum of Dr. Final 2020-21",Pivot!$A$3,"Note",27,"BS Main Head","Other - Manufacturing Expenses","BS Sub Head","Raw Material Sorting Charges")</f>
        <v>3861148</v>
      </c>
      <c r="J512" s="1668">
        <f>+(H512-I512)/I512</f>
        <v>4.7457906301441956E-2</v>
      </c>
      <c r="K512" s="1578"/>
      <c r="L512" s="1578"/>
      <c r="M512" s="1578"/>
      <c r="N512" s="1669">
        <f>+H511-I511</f>
        <v>16641037.900000006</v>
      </c>
      <c r="O512" s="1555"/>
      <c r="P512" s="1555"/>
      <c r="Q512" s="1555"/>
      <c r="R512" s="1555"/>
      <c r="S512" s="1555"/>
      <c r="T512" s="1555"/>
      <c r="U512" s="1555"/>
      <c r="V512" s="1555"/>
      <c r="W512" s="1555"/>
      <c r="X512" s="1555"/>
      <c r="Y512" s="1555"/>
      <c r="Z512" s="1555"/>
      <c r="AA512" s="1555"/>
      <c r="AB512" s="1555"/>
      <c r="AC512" s="1555"/>
      <c r="AD512" s="1555"/>
      <c r="AE512" s="1555"/>
      <c r="AF512" s="1555"/>
      <c r="AG512" s="1555"/>
      <c r="AH512" s="1555"/>
      <c r="AI512" s="1555"/>
      <c r="AJ512" s="1555"/>
      <c r="AK512" s="1555"/>
    </row>
    <row r="513" spans="1:37" s="1373" customFormat="1">
      <c r="A513" s="1371"/>
      <c r="B513" s="1371"/>
      <c r="C513" s="141" t="s">
        <v>1298</v>
      </c>
      <c r="D513" s="1838"/>
      <c r="E513" s="1838"/>
      <c r="F513" s="1838"/>
      <c r="G513" s="1397"/>
      <c r="H513" s="82"/>
      <c r="I513" s="82"/>
      <c r="J513" s="1566"/>
      <c r="K513" s="1578"/>
      <c r="L513" s="1578"/>
      <c r="M513" s="1578"/>
      <c r="N513" s="1578"/>
      <c r="O513" s="1555"/>
      <c r="P513" s="1555"/>
      <c r="Q513" s="1555"/>
      <c r="R513" s="1555"/>
      <c r="S513" s="1555"/>
      <c r="T513" s="1555"/>
      <c r="U513" s="1555"/>
      <c r="V513" s="1555"/>
      <c r="W513" s="1555"/>
      <c r="X513" s="1555"/>
      <c r="Y513" s="1555"/>
      <c r="Z513" s="1555"/>
      <c r="AA513" s="1555"/>
      <c r="AB513" s="1555"/>
      <c r="AC513" s="1555"/>
      <c r="AD513" s="1555"/>
      <c r="AE513" s="1555"/>
      <c r="AF513" s="1555"/>
      <c r="AG513" s="1555"/>
      <c r="AH513" s="1555"/>
      <c r="AI513" s="1555"/>
      <c r="AJ513" s="1555"/>
      <c r="AK513" s="1555"/>
    </row>
    <row r="514" spans="1:37" s="1373" customFormat="1">
      <c r="A514" s="1371"/>
      <c r="B514" s="1371"/>
      <c r="C514" s="75" t="s">
        <v>1299</v>
      </c>
      <c r="D514" s="1838"/>
      <c r="E514" s="1838"/>
      <c r="F514" s="1838"/>
      <c r="G514" s="1397"/>
      <c r="H514" s="82">
        <f>+GETPIVOTDATA("Sum of Dr. Final 21-22",Pivot!$A$3,"Note",27,"BS Main Head","Other - Manufacturing Expenses","BS Sub Head","Repairs &amp; Maintainence - Machinery")</f>
        <v>6320421.9900000002</v>
      </c>
      <c r="I514" s="82">
        <f>+GETPIVOTDATA("Sum of Dr. Final 2020-21",Pivot!$A$3,"Note",27,"BS Main Head","Other - Manufacturing Expenses","BS Sub Head","Repairs &amp; Maintainence - Machinery")</f>
        <v>10661532.07</v>
      </c>
      <c r="J514" s="1668">
        <f>+(H514-I514)/I514</f>
        <v>-0.40717507122782587</v>
      </c>
      <c r="K514" s="1578">
        <v>13943254</v>
      </c>
      <c r="L514" s="1670">
        <f>+(I514-K514)/K514</f>
        <v>-0.23536270156162972</v>
      </c>
      <c r="M514" s="1578">
        <v>20131465</v>
      </c>
      <c r="N514" s="1670">
        <f>+(K514-M514)/M514</f>
        <v>-0.30738999869110373</v>
      </c>
      <c r="O514" s="1555"/>
      <c r="P514" s="1555"/>
      <c r="Q514" s="1555"/>
      <c r="R514" s="1555"/>
      <c r="S514" s="1555"/>
      <c r="T514" s="1555"/>
      <c r="U514" s="1555"/>
      <c r="V514" s="1555"/>
      <c r="W514" s="1555"/>
      <c r="X514" s="1555"/>
      <c r="Y514" s="1555"/>
      <c r="Z514" s="1555"/>
      <c r="AA514" s="1555"/>
      <c r="AB514" s="1555"/>
      <c r="AC514" s="1555"/>
      <c r="AD514" s="1555"/>
      <c r="AE514" s="1555"/>
      <c r="AF514" s="1555"/>
      <c r="AG514" s="1555"/>
      <c r="AH514" s="1555"/>
      <c r="AI514" s="1555"/>
      <c r="AJ514" s="1555"/>
      <c r="AK514" s="1555"/>
    </row>
    <row r="515" spans="1:37" s="1373" customFormat="1">
      <c r="A515" s="1371"/>
      <c r="B515" s="1371"/>
      <c r="C515" s="75" t="s">
        <v>1300</v>
      </c>
      <c r="D515" s="1838"/>
      <c r="E515" s="1838"/>
      <c r="F515" s="1838"/>
      <c r="G515" s="1845"/>
      <c r="H515" s="81">
        <f>+GETPIVOTDATA("Sum of Dr. Final 21-22",Pivot!$A$3,"Note",27,"BS Main Head","Other - Manufacturing Expenses","BS Sub Head","Repairs &amp; Maintainence - Building")</f>
        <v>49000</v>
      </c>
      <c r="I515" s="22">
        <f>+GETPIVOTDATA("Sum of Dr. Final 2020-21",Pivot!$A$3,"Note",27,"BS Main Head","Other - Manufacturing Expenses","BS Sub Head","Repairs &amp; Maintainence - Building")</f>
        <v>688233.98</v>
      </c>
      <c r="J515" s="1668">
        <f>+(H515-I515)/I515</f>
        <v>-0.92880328286028535</v>
      </c>
      <c r="K515" s="1554"/>
      <c r="L515" s="1554"/>
      <c r="M515" s="1554"/>
      <c r="N515" s="1631"/>
      <c r="O515" s="1555"/>
      <c r="P515" s="1555"/>
      <c r="Q515" s="1555"/>
      <c r="R515" s="1555"/>
      <c r="S515" s="1555"/>
      <c r="T515" s="1555"/>
      <c r="U515" s="1555"/>
      <c r="V515" s="1555"/>
      <c r="W515" s="1555"/>
      <c r="X515" s="1555"/>
      <c r="Y515" s="1555"/>
      <c r="Z515" s="1555"/>
      <c r="AA515" s="1555"/>
      <c r="AB515" s="1555"/>
      <c r="AC515" s="1555"/>
      <c r="AD515" s="1555"/>
      <c r="AE515" s="1555"/>
      <c r="AF515" s="1555"/>
      <c r="AG515" s="1555"/>
      <c r="AH515" s="1555"/>
      <c r="AI515" s="1555"/>
      <c r="AJ515" s="1555"/>
      <c r="AK515" s="1555"/>
    </row>
    <row r="516" spans="1:37" s="1373" customFormat="1">
      <c r="A516" s="1371"/>
      <c r="B516" s="1371"/>
      <c r="C516" s="75" t="s">
        <v>318</v>
      </c>
      <c r="D516" s="1838"/>
      <c r="E516" s="1838"/>
      <c r="F516" s="1838"/>
      <c r="G516" s="1397"/>
      <c r="H516" s="82">
        <f>+GETPIVOTDATA("Sum of Dr. Final 21-22",Pivot!$A$3,"Note",27,"BS Main Head","Other - Manufacturing Expenses","BS Sub Head","Security Service Charges")</f>
        <v>783594</v>
      </c>
      <c r="I516" s="22">
        <f>+GETPIVOTDATA("Sum of Dr. Final 2020-21",Pivot!$A$3,"Note",27,"BS Main Head","Other - Manufacturing Expenses","BS Sub Head","Security Service Charges")</f>
        <v>703243</v>
      </c>
      <c r="J516" s="1668">
        <f>+(H516-I516)/I516</f>
        <v>0.11425780277940911</v>
      </c>
      <c r="K516" s="1554"/>
      <c r="L516" s="1554"/>
      <c r="M516" s="1554"/>
      <c r="N516" s="1554"/>
      <c r="O516" s="1555"/>
      <c r="P516" s="1555"/>
      <c r="Q516" s="1555"/>
      <c r="R516" s="1555"/>
      <c r="S516" s="1555"/>
      <c r="T516" s="1555"/>
      <c r="U516" s="1555"/>
      <c r="V516" s="1555"/>
      <c r="W516" s="1555"/>
      <c r="X516" s="1555"/>
      <c r="Y516" s="1555"/>
      <c r="Z516" s="1555"/>
      <c r="AA516" s="1555"/>
      <c r="AB516" s="1555"/>
      <c r="AC516" s="1555"/>
      <c r="AD516" s="1555"/>
      <c r="AE516" s="1555"/>
      <c r="AF516" s="1555"/>
      <c r="AG516" s="1555"/>
      <c r="AH516" s="1555"/>
      <c r="AI516" s="1555"/>
      <c r="AJ516" s="1555"/>
      <c r="AK516" s="1555"/>
    </row>
    <row r="517" spans="1:37" s="1373" customFormat="1">
      <c r="A517" s="1371"/>
      <c r="B517" s="1371"/>
      <c r="C517" s="75" t="s">
        <v>1301</v>
      </c>
      <c r="D517" s="1838"/>
      <c r="E517" s="1838"/>
      <c r="F517" s="1838"/>
      <c r="G517" s="1397"/>
      <c r="H517" s="82">
        <f>+S498</f>
        <v>17105048.670000002</v>
      </c>
      <c r="I517" s="22">
        <v>8205875.8399999999</v>
      </c>
      <c r="J517" s="1668">
        <f>+(H517-I517)/I517</f>
        <v>1.0844878722903029</v>
      </c>
      <c r="K517" s="1554">
        <v>6068107</v>
      </c>
      <c r="L517" s="1670">
        <f>+(I517-K517)/K517</f>
        <v>0.35229583789475033</v>
      </c>
      <c r="M517" s="1554">
        <v>6365175</v>
      </c>
      <c r="N517" s="1670">
        <f>+(K517-M517)/M517</f>
        <v>-4.6670829945759544E-2</v>
      </c>
      <c r="O517" s="1555"/>
      <c r="P517" s="1555"/>
      <c r="Q517" s="1555"/>
      <c r="R517" s="1555"/>
      <c r="S517" s="1555"/>
      <c r="T517" s="1555"/>
      <c r="U517" s="1555"/>
      <c r="V517" s="1555"/>
      <c r="W517" s="1555"/>
      <c r="X517" s="1555"/>
      <c r="Y517" s="1555"/>
      <c r="Z517" s="1555"/>
      <c r="AA517" s="1555"/>
      <c r="AB517" s="1555"/>
      <c r="AC517" s="1555"/>
      <c r="AD517" s="1555"/>
      <c r="AE517" s="1555"/>
      <c r="AF517" s="1555"/>
      <c r="AG517" s="1555"/>
      <c r="AH517" s="1555"/>
      <c r="AI517" s="1555"/>
      <c r="AJ517" s="1555"/>
      <c r="AK517" s="1555"/>
    </row>
    <row r="518" spans="1:37" s="1373" customFormat="1">
      <c r="A518" s="1371"/>
      <c r="B518" s="1371"/>
      <c r="C518" s="1431" t="s">
        <v>1302</v>
      </c>
      <c r="D518" s="1838"/>
      <c r="E518" s="1838"/>
      <c r="F518" s="1838"/>
      <c r="G518" s="1397"/>
      <c r="H518" s="82">
        <f>+GETPIVOTDATA("Sum of Dr. Final 21-22",Pivot!$A$3,"Note",27,"BS Main Head","Other - Manufacturing Expenses","BS Sub Head","Waste Paper Feeding Charges")</f>
        <v>6303933</v>
      </c>
      <c r="I518" s="22">
        <f>GETPIVOTDATA("Sum of Dr. Final 2020-21",Pivot!$A$3,"Note",27,"BS Main Head","Other - Manufacturing Expenses","BS Sub Head","Waste Paper Feeding Charges")</f>
        <v>6129998</v>
      </c>
      <c r="J518" s="1668">
        <f>+(H518-I518)/I518</f>
        <v>2.8374397512038341E-2</v>
      </c>
      <c r="K518" s="1554"/>
      <c r="L518" s="1554"/>
      <c r="M518" s="1554"/>
      <c r="N518" s="1554"/>
      <c r="O518" s="1555"/>
      <c r="P518" s="1555"/>
      <c r="Q518" s="1555"/>
      <c r="R518" s="1555"/>
      <c r="S518" s="1555"/>
      <c r="T518" s="1555"/>
      <c r="U518" s="1555"/>
      <c r="V518" s="1555"/>
      <c r="W518" s="1555"/>
      <c r="X518" s="1555"/>
      <c r="Y518" s="1555"/>
      <c r="Z518" s="1555"/>
      <c r="AA518" s="1555"/>
      <c r="AB518" s="1555"/>
      <c r="AC518" s="1555"/>
      <c r="AD518" s="1555"/>
      <c r="AE518" s="1555"/>
      <c r="AF518" s="1555"/>
      <c r="AG518" s="1555"/>
      <c r="AH518" s="1555"/>
      <c r="AI518" s="1555"/>
      <c r="AJ518" s="1555"/>
      <c r="AK518" s="1555"/>
    </row>
    <row r="519" spans="1:37" s="1373" customFormat="1">
      <c r="A519" s="1371"/>
      <c r="B519" s="1371"/>
      <c r="C519" s="75"/>
      <c r="D519" s="1838"/>
      <c r="E519" s="1838"/>
      <c r="F519" s="1838"/>
      <c r="G519" s="1475" t="s">
        <v>1303</v>
      </c>
      <c r="H519" s="23">
        <f>+SUM(H508:H518)</f>
        <v>192663865.22000003</v>
      </c>
      <c r="I519" s="23">
        <f>+SUM(I508:I518)</f>
        <v>168170836.64999998</v>
      </c>
      <c r="J519" s="1561"/>
      <c r="K519" s="1569"/>
      <c r="L519" s="1569"/>
      <c r="M519" s="1569"/>
      <c r="N519" s="1554"/>
      <c r="O519" s="1555"/>
      <c r="P519" s="1555"/>
      <c r="Q519" s="1555"/>
      <c r="R519" s="1555"/>
      <c r="S519" s="1555"/>
      <c r="T519" s="1555"/>
      <c r="U519" s="1555"/>
      <c r="V519" s="1555"/>
      <c r="W519" s="1555"/>
      <c r="X519" s="1555"/>
      <c r="Y519" s="1555"/>
      <c r="Z519" s="1555"/>
      <c r="AA519" s="1555"/>
      <c r="AB519" s="1555"/>
      <c r="AC519" s="1555"/>
      <c r="AD519" s="1555"/>
      <c r="AE519" s="1555"/>
      <c r="AF519" s="1555"/>
      <c r="AG519" s="1555"/>
      <c r="AH519" s="1555"/>
      <c r="AI519" s="1555"/>
      <c r="AJ519" s="1555"/>
      <c r="AK519" s="1555"/>
    </row>
    <row r="520" spans="1:37" s="1373" customFormat="1">
      <c r="A520" s="1371"/>
      <c r="B520" s="1371"/>
      <c r="C520" s="97" t="s">
        <v>1304</v>
      </c>
      <c r="D520" s="1840"/>
      <c r="E520" s="1840"/>
      <c r="F520" s="1840"/>
      <c r="G520" s="1845"/>
      <c r="H520" s="81"/>
      <c r="I520" s="81"/>
      <c r="J520" s="1566"/>
      <c r="K520" s="1612"/>
      <c r="L520" s="1612"/>
      <c r="M520" s="1612"/>
      <c r="N520" s="1569"/>
      <c r="O520" s="1555"/>
      <c r="P520" s="1555"/>
      <c r="Q520" s="1555"/>
      <c r="R520" s="1555"/>
      <c r="S520" s="1555"/>
      <c r="T520" s="1555"/>
      <c r="U520" s="1555"/>
      <c r="V520" s="1555"/>
      <c r="W520" s="1555"/>
      <c r="X520" s="1555"/>
      <c r="Y520" s="1555"/>
      <c r="Z520" s="1555"/>
      <c r="AA520" s="1555"/>
      <c r="AB520" s="1555"/>
      <c r="AC520" s="1555"/>
      <c r="AD520" s="1555"/>
      <c r="AE520" s="1555"/>
      <c r="AF520" s="1555"/>
      <c r="AG520" s="1555"/>
      <c r="AH520" s="1555"/>
      <c r="AI520" s="1555"/>
      <c r="AJ520" s="1555"/>
      <c r="AK520" s="1555"/>
    </row>
    <row r="521" spans="1:37" s="1373" customFormat="1" hidden="1">
      <c r="A521" s="1371"/>
      <c r="B521" s="1371"/>
      <c r="C521" s="141" t="s">
        <v>1305</v>
      </c>
      <c r="D521" s="1845"/>
      <c r="E521" s="1845"/>
      <c r="F521" s="1845"/>
      <c r="G521" s="1845"/>
      <c r="H521" s="81"/>
      <c r="I521" s="81"/>
      <c r="J521" s="1566"/>
      <c r="K521" s="1612"/>
      <c r="L521" s="1612"/>
      <c r="M521" s="1612"/>
      <c r="N521" s="1614"/>
      <c r="O521" s="1555"/>
      <c r="P521" s="1555"/>
      <c r="Q521" s="1555"/>
      <c r="R521" s="1555"/>
      <c r="S521" s="1555"/>
      <c r="T521" s="1555"/>
      <c r="U521" s="1555"/>
      <c r="V521" s="1555"/>
      <c r="W521" s="1555"/>
      <c r="X521" s="1555"/>
      <c r="Y521" s="1555"/>
      <c r="Z521" s="1555"/>
      <c r="AA521" s="1555"/>
      <c r="AB521" s="1555"/>
      <c r="AC521" s="1555"/>
      <c r="AD521" s="1555"/>
      <c r="AE521" s="1555"/>
      <c r="AF521" s="1555"/>
      <c r="AG521" s="1555"/>
      <c r="AH521" s="1555"/>
      <c r="AI521" s="1555"/>
      <c r="AJ521" s="1555"/>
      <c r="AK521" s="1555"/>
    </row>
    <row r="522" spans="1:37" s="1373" customFormat="1">
      <c r="A522" s="1371"/>
      <c r="B522" s="1371"/>
      <c r="C522" s="75" t="s">
        <v>1306</v>
      </c>
      <c r="D522" s="1845"/>
      <c r="E522" s="1845"/>
      <c r="F522" s="1845"/>
      <c r="G522" s="1845"/>
      <c r="H522" s="81">
        <f>+GETPIVOTDATA("Sum of Dr. Final 21-22",Pivot!$A$3,"Note",27,"BS Main Head","Other - Establishment Expenses","BS Sub Head","Statutory Audit Fees")</f>
        <v>275000</v>
      </c>
      <c r="I522" s="22">
        <v>275000</v>
      </c>
      <c r="J522" s="1566"/>
      <c r="K522" s="1554"/>
      <c r="L522" s="1554"/>
      <c r="M522" s="1554"/>
      <c r="N522" s="1553"/>
      <c r="O522" s="1555"/>
      <c r="P522" s="1555"/>
      <c r="Q522" s="1555"/>
      <c r="R522" s="1555"/>
      <c r="S522" s="1555"/>
      <c r="T522" s="1555"/>
      <c r="U522" s="1555"/>
      <c r="V522" s="1555"/>
      <c r="W522" s="1555"/>
      <c r="X522" s="1555"/>
      <c r="Y522" s="1555"/>
      <c r="Z522" s="1555"/>
      <c r="AA522" s="1555"/>
      <c r="AB522" s="1555"/>
      <c r="AC522" s="1555"/>
      <c r="AD522" s="1555"/>
      <c r="AE522" s="1555"/>
      <c r="AF522" s="1555"/>
      <c r="AG522" s="1555"/>
      <c r="AH522" s="1555"/>
      <c r="AI522" s="1555"/>
      <c r="AJ522" s="1555"/>
      <c r="AK522" s="1555"/>
    </row>
    <row r="523" spans="1:37" s="1373" customFormat="1">
      <c r="A523" s="1371"/>
      <c r="B523" s="1371"/>
      <c r="C523" s="75" t="s">
        <v>1307</v>
      </c>
      <c r="D523" s="1845"/>
      <c r="E523" s="1845"/>
      <c r="F523" s="1845"/>
      <c r="G523" s="1845"/>
      <c r="H523" s="81">
        <f>+GETPIVOTDATA("Sum of Dr. Final 21-22",Pivot!$A$3,"Note",27,"BS Main Head","Other - Establishment Expenses","BS Sub Head","Internal Audit Fees")</f>
        <v>200000</v>
      </c>
      <c r="I523" s="22">
        <v>180000</v>
      </c>
      <c r="J523" s="1555"/>
      <c r="K523" s="1554"/>
      <c r="L523" s="1554"/>
      <c r="M523" s="1554"/>
      <c r="N523" s="1553"/>
      <c r="O523" s="1555"/>
      <c r="P523" s="1555"/>
      <c r="Q523" s="1555"/>
      <c r="R523" s="1555"/>
      <c r="S523" s="1555"/>
      <c r="T523" s="1555"/>
      <c r="U523" s="1555"/>
      <c r="V523" s="1555"/>
      <c r="W523" s="1555"/>
      <c r="X523" s="1555"/>
      <c r="Y523" s="1555"/>
      <c r="Z523" s="1555"/>
      <c r="AA523" s="1555"/>
      <c r="AB523" s="1555"/>
      <c r="AC523" s="1555"/>
      <c r="AD523" s="1555"/>
      <c r="AE523" s="1555"/>
      <c r="AF523" s="1555"/>
      <c r="AG523" s="1555"/>
      <c r="AH523" s="1555"/>
      <c r="AI523" s="1555"/>
      <c r="AJ523" s="1555"/>
      <c r="AK523" s="1555"/>
    </row>
    <row r="524" spans="1:37" s="1373" customFormat="1">
      <c r="A524" s="1371"/>
      <c r="B524" s="1371"/>
      <c r="C524" s="75" t="s">
        <v>1308</v>
      </c>
      <c r="D524" s="1845"/>
      <c r="E524" s="1845"/>
      <c r="F524" s="1845"/>
      <c r="G524" s="1845"/>
      <c r="H524" s="81">
        <f>+GETPIVOTDATA("Sum of Dr. Final 21-22",Pivot!$A$3,"Note",27,"BS Main Head","Other - Establishment Expenses","BS Sub Head","Audit Expenses")</f>
        <v>762</v>
      </c>
      <c r="I524" s="22">
        <v>4000</v>
      </c>
      <c r="J524" s="1566"/>
      <c r="K524" s="1554"/>
      <c r="L524" s="1554"/>
      <c r="M524" s="1554"/>
      <c r="N524" s="1553"/>
      <c r="O524" s="1555"/>
      <c r="P524" s="1555"/>
      <c r="Q524" s="1555"/>
      <c r="R524" s="1555"/>
      <c r="S524" s="1555"/>
      <c r="T524" s="1555"/>
      <c r="U524" s="1555"/>
      <c r="V524" s="1555"/>
      <c r="W524" s="1555"/>
      <c r="X524" s="1555"/>
      <c r="Y524" s="1555"/>
      <c r="Z524" s="1555"/>
      <c r="AA524" s="1555"/>
      <c r="AB524" s="1555"/>
      <c r="AC524" s="1555"/>
      <c r="AD524" s="1555"/>
      <c r="AE524" s="1555"/>
      <c r="AF524" s="1555"/>
      <c r="AG524" s="1555"/>
      <c r="AH524" s="1555"/>
      <c r="AI524" s="1555"/>
      <c r="AJ524" s="1555"/>
      <c r="AK524" s="1555"/>
    </row>
    <row r="525" spans="1:37" s="1373" customFormat="1">
      <c r="A525" s="1371"/>
      <c r="B525" s="1371"/>
      <c r="C525" s="2016" t="s">
        <v>39</v>
      </c>
      <c r="D525" s="2017"/>
      <c r="E525" s="2017"/>
      <c r="F525" s="2017"/>
      <c r="G525" s="1845"/>
      <c r="H525" s="81">
        <f>+GETPIVOTDATA("Sum of Dr. Final 21-22",Pivot!$A$3,"Note",27,"BS Main Head","Other - Establishment Expenses","BS Sub Head","Bank Commission &amp; Charges")</f>
        <v>514584.8</v>
      </c>
      <c r="I525" s="22">
        <v>226111.04</v>
      </c>
      <c r="J525" s="1566"/>
      <c r="K525" s="1554"/>
      <c r="L525" s="1554"/>
      <c r="M525" s="1554"/>
      <c r="N525" s="1553"/>
      <c r="O525" s="1555"/>
      <c r="P525" s="1555"/>
      <c r="Q525" s="1555"/>
      <c r="R525" s="1555"/>
      <c r="S525" s="1555"/>
      <c r="T525" s="1555"/>
      <c r="U525" s="1555"/>
      <c r="V525" s="1555"/>
      <c r="W525" s="1555"/>
      <c r="X525" s="1555"/>
      <c r="Y525" s="1555"/>
      <c r="Z525" s="1555"/>
      <c r="AA525" s="1555"/>
      <c r="AB525" s="1555"/>
      <c r="AC525" s="1555"/>
      <c r="AD525" s="1555"/>
      <c r="AE525" s="1555"/>
      <c r="AF525" s="1555"/>
      <c r="AG525" s="1555"/>
      <c r="AH525" s="1555"/>
      <c r="AI525" s="1555"/>
      <c r="AJ525" s="1555"/>
      <c r="AK525" s="1555"/>
    </row>
    <row r="526" spans="1:37" s="1373" customFormat="1">
      <c r="A526" s="1371"/>
      <c r="B526" s="1371"/>
      <c r="C526" s="75" t="s">
        <v>1309</v>
      </c>
      <c r="D526" s="1838"/>
      <c r="E526" s="1838"/>
      <c r="F526" s="1838"/>
      <c r="G526" s="1838"/>
      <c r="H526" s="82">
        <f>+GETPIVOTDATA("Sum of Dr. Final 21-22",Pivot!$A$3,"Note",27,"BS Main Head","Other - Establishment Expenses","BS Sub Head","Bad Debts")</f>
        <v>6461</v>
      </c>
      <c r="I526" s="22">
        <v>0</v>
      </c>
      <c r="J526" s="1566"/>
      <c r="K526" s="1554"/>
      <c r="L526" s="1554"/>
      <c r="M526" s="1554"/>
      <c r="N526" s="1553"/>
      <c r="O526" s="1555"/>
      <c r="P526" s="1555"/>
      <c r="Q526" s="1555"/>
      <c r="R526" s="1555"/>
      <c r="S526" s="1555"/>
      <c r="T526" s="1555"/>
      <c r="U526" s="1555"/>
      <c r="V526" s="1555"/>
      <c r="W526" s="1555"/>
      <c r="X526" s="1555"/>
      <c r="Y526" s="1555"/>
      <c r="Z526" s="1555"/>
      <c r="AA526" s="1555"/>
      <c r="AB526" s="1555"/>
      <c r="AC526" s="1555"/>
      <c r="AD526" s="1555"/>
      <c r="AE526" s="1555"/>
      <c r="AF526" s="1555"/>
      <c r="AG526" s="1555"/>
      <c r="AH526" s="1555"/>
      <c r="AI526" s="1555"/>
      <c r="AJ526" s="1555"/>
      <c r="AK526" s="1555"/>
    </row>
    <row r="527" spans="1:37" s="1373" customFormat="1">
      <c r="A527" s="1371"/>
      <c r="B527" s="1371"/>
      <c r="C527" s="75" t="s">
        <v>1310</v>
      </c>
      <c r="D527" s="1838"/>
      <c r="E527" s="1838"/>
      <c r="F527" s="1838"/>
      <c r="G527" s="1838"/>
      <c r="H527" s="82">
        <f>+GETPIVOTDATA("Sum of Dr. Final 21-22",Pivot!$A$3,"Note",27,"BS Main Head","Other - Establishment Expenses","BS Sub Head","CSR Expenses")</f>
        <v>1308660</v>
      </c>
      <c r="I527" s="22">
        <v>909877</v>
      </c>
      <c r="J527" s="1566"/>
      <c r="K527" s="1554"/>
      <c r="L527" s="1554"/>
      <c r="M527" s="1554"/>
      <c r="N527" s="1553"/>
      <c r="O527" s="1555"/>
      <c r="P527" s="1555"/>
      <c r="Q527" s="1555"/>
      <c r="R527" s="1555"/>
      <c r="S527" s="1555"/>
      <c r="T527" s="1555"/>
      <c r="U527" s="1555"/>
      <c r="V527" s="1555"/>
      <c r="W527" s="1555"/>
      <c r="X527" s="1555"/>
      <c r="Y527" s="1555"/>
      <c r="Z527" s="1555"/>
      <c r="AA527" s="1555"/>
      <c r="AB527" s="1555"/>
      <c r="AC527" s="1555"/>
      <c r="AD527" s="1555"/>
      <c r="AE527" s="1555"/>
      <c r="AF527" s="1555"/>
      <c r="AG527" s="1555"/>
      <c r="AH527" s="1555"/>
      <c r="AI527" s="1555"/>
      <c r="AJ527" s="1555"/>
      <c r="AK527" s="1555"/>
    </row>
    <row r="528" spans="1:37" s="1373" customFormat="1">
      <c r="A528" s="1371"/>
      <c r="B528" s="1371"/>
      <c r="C528" s="75" t="s">
        <v>626</v>
      </c>
      <c r="D528" s="1838"/>
      <c r="E528" s="1838"/>
      <c r="F528" s="1838"/>
      <c r="G528" s="1845"/>
      <c r="H528" s="81">
        <f>+GETPIVOTDATA("Sum of Dr. Final 21-22",Pivot!$A$3,"Note",27,"BS Main Head","Other - Establishment Expenses","BS Sub Head","Donation")</f>
        <v>26700</v>
      </c>
      <c r="I528" s="22">
        <v>56000</v>
      </c>
      <c r="J528" s="1566"/>
      <c r="K528" s="1554"/>
      <c r="L528" s="1554"/>
      <c r="M528" s="1554"/>
      <c r="N528" s="1553"/>
      <c r="O528" s="1555"/>
      <c r="P528" s="1555"/>
      <c r="Q528" s="1555"/>
      <c r="R528" s="1555"/>
      <c r="S528" s="1555"/>
      <c r="T528" s="1555"/>
      <c r="U528" s="1555"/>
      <c r="V528" s="1555"/>
      <c r="W528" s="1555"/>
      <c r="X528" s="1555"/>
      <c r="Y528" s="1555"/>
      <c r="Z528" s="1555"/>
      <c r="AA528" s="1555"/>
      <c r="AB528" s="1555"/>
      <c r="AC528" s="1555"/>
      <c r="AD528" s="1555"/>
      <c r="AE528" s="1555"/>
      <c r="AF528" s="1555"/>
      <c r="AG528" s="1555"/>
      <c r="AH528" s="1555"/>
      <c r="AI528" s="1555"/>
      <c r="AJ528" s="1555"/>
      <c r="AK528" s="1555"/>
    </row>
    <row r="529" spans="1:37" s="1373" customFormat="1">
      <c r="A529" s="1371"/>
      <c r="B529" s="1371"/>
      <c r="C529" s="75" t="s">
        <v>1311</v>
      </c>
      <c r="D529" s="1838"/>
      <c r="E529" s="1838"/>
      <c r="F529" s="1838"/>
      <c r="G529" s="1845"/>
      <c r="H529" s="81">
        <f>+GETPIVOTDATA("Sum of Dr. Final 21-22",Pivot!$A$3,"Note",27,"BS Main Head","Other - Establishment Expenses","BS Sub Head","Insurance Charges")</f>
        <v>1140533</v>
      </c>
      <c r="I529" s="22">
        <v>907184</v>
      </c>
      <c r="J529" s="1566"/>
      <c r="K529" s="1554"/>
      <c r="L529" s="1554"/>
      <c r="M529" s="1554"/>
      <c r="N529" s="1553"/>
      <c r="O529" s="1555"/>
      <c r="P529" s="1555"/>
      <c r="Q529" s="1555"/>
      <c r="R529" s="1555"/>
      <c r="S529" s="1555"/>
      <c r="T529" s="1555"/>
      <c r="U529" s="1555"/>
      <c r="V529" s="1555"/>
      <c r="W529" s="1555"/>
      <c r="X529" s="1555"/>
      <c r="Y529" s="1555"/>
      <c r="Z529" s="1555"/>
      <c r="AA529" s="1555"/>
      <c r="AB529" s="1555"/>
      <c r="AC529" s="1555"/>
      <c r="AD529" s="1555"/>
      <c r="AE529" s="1555"/>
      <c r="AF529" s="1555"/>
      <c r="AG529" s="1555"/>
      <c r="AH529" s="1555"/>
      <c r="AI529" s="1555"/>
      <c r="AJ529" s="1555"/>
      <c r="AK529" s="1555"/>
    </row>
    <row r="530" spans="1:37" s="1373" customFormat="1">
      <c r="A530" s="1371"/>
      <c r="B530" s="1371"/>
      <c r="C530" s="75" t="s">
        <v>1312</v>
      </c>
      <c r="D530" s="1838"/>
      <c r="E530" s="1838"/>
      <c r="F530" s="1838"/>
      <c r="G530" s="1845"/>
      <c r="H530" s="81">
        <f>+GETPIVOTDATA("Sum of Dr. Final 21-22",Pivot!$A$3,"Note",27,"BS Main Head","Other - Establishment Expenses","BS Sub Head","General Expenses")-GETPIVOTDATA("Sum of Cr. Final 21-22",Pivot!$A$3,"Note",27,"BS Main Head","Other - Establishment Expenses","BS Sub Head","General Expenses")</f>
        <v>1124223.29</v>
      </c>
      <c r="I530" s="22">
        <v>675628.27</v>
      </c>
      <c r="J530" s="1566"/>
      <c r="K530" s="1554"/>
      <c r="L530" s="1554"/>
      <c r="M530" s="1554"/>
      <c r="N530" s="1553"/>
      <c r="O530" s="1555"/>
      <c r="P530" s="1555"/>
      <c r="Q530" s="1555"/>
      <c r="R530" s="1555"/>
      <c r="S530" s="1555"/>
      <c r="T530" s="1555"/>
      <c r="U530" s="1555"/>
      <c r="V530" s="1555"/>
      <c r="W530" s="1555"/>
      <c r="X530" s="1555"/>
      <c r="Y530" s="1555"/>
      <c r="Z530" s="1555"/>
      <c r="AA530" s="1555"/>
      <c r="AB530" s="1555"/>
      <c r="AC530" s="1555"/>
      <c r="AD530" s="1555"/>
      <c r="AE530" s="1555"/>
      <c r="AF530" s="1555"/>
      <c r="AG530" s="1555"/>
      <c r="AH530" s="1555"/>
      <c r="AI530" s="1555"/>
      <c r="AJ530" s="1555"/>
      <c r="AK530" s="1555"/>
    </row>
    <row r="531" spans="1:37" s="1373" customFormat="1">
      <c r="A531" s="1371"/>
      <c r="B531" s="1371"/>
      <c r="C531" s="75" t="s">
        <v>654</v>
      </c>
      <c r="D531" s="1845"/>
      <c r="E531" s="1845"/>
      <c r="F531" s="1845"/>
      <c r="G531" s="1845"/>
      <c r="H531" s="81">
        <v>0</v>
      </c>
      <c r="I531" s="22">
        <v>45000</v>
      </c>
      <c r="J531" s="1566"/>
      <c r="K531" s="1554"/>
      <c r="L531" s="1554"/>
      <c r="M531" s="1554"/>
      <c r="N531" s="1579"/>
      <c r="O531" s="1555"/>
      <c r="P531" s="1555"/>
      <c r="Q531" s="1555"/>
      <c r="R531" s="1555"/>
      <c r="S531" s="1555"/>
      <c r="T531" s="1555"/>
      <c r="U531" s="1555"/>
      <c r="V531" s="1555"/>
      <c r="W531" s="1555"/>
      <c r="X531" s="1555"/>
      <c r="Y531" s="1555"/>
      <c r="Z531" s="1555"/>
      <c r="AA531" s="1555"/>
      <c r="AB531" s="1555"/>
      <c r="AC531" s="1555"/>
      <c r="AD531" s="1555"/>
      <c r="AE531" s="1555"/>
      <c r="AF531" s="1555"/>
      <c r="AG531" s="1555"/>
      <c r="AH531" s="1555"/>
      <c r="AI531" s="1555"/>
      <c r="AJ531" s="1555"/>
      <c r="AK531" s="1555"/>
    </row>
    <row r="532" spans="1:37" s="1373" customFormat="1">
      <c r="A532" s="1371"/>
      <c r="B532" s="1371"/>
      <c r="C532" s="75" t="s">
        <v>1313</v>
      </c>
      <c r="D532" s="1838"/>
      <c r="E532" s="1838"/>
      <c r="F532" s="1838"/>
      <c r="G532" s="1845"/>
      <c r="H532" s="81">
        <f>+GETPIVOTDATA("Sum of Dr. Final 21-22",Pivot!$A$3,"Note",27,"BS Main Head","Other - Establishment Expenses","BS Sub Head","Legal and Professional Charges")</f>
        <v>1768494</v>
      </c>
      <c r="I532" s="22">
        <v>1225420</v>
      </c>
      <c r="J532" s="1566"/>
      <c r="K532" s="1554"/>
      <c r="L532" s="1554"/>
      <c r="M532" s="1554"/>
      <c r="N532" s="1553"/>
      <c r="O532" s="1555"/>
      <c r="P532" s="1555"/>
      <c r="Q532" s="1555"/>
      <c r="R532" s="1555"/>
      <c r="S532" s="1555"/>
      <c r="T532" s="1555"/>
      <c r="U532" s="1555"/>
      <c r="V532" s="1555"/>
      <c r="W532" s="1555"/>
      <c r="X532" s="1555"/>
      <c r="Y532" s="1555"/>
      <c r="Z532" s="1555"/>
      <c r="AA532" s="1555"/>
      <c r="AB532" s="1555"/>
      <c r="AC532" s="1555"/>
      <c r="AD532" s="1555"/>
      <c r="AE532" s="1555"/>
      <c r="AF532" s="1555"/>
      <c r="AG532" s="1555"/>
      <c r="AH532" s="1555"/>
      <c r="AI532" s="1555"/>
      <c r="AJ532" s="1555"/>
      <c r="AK532" s="1555"/>
    </row>
    <row r="533" spans="1:37" s="1373" customFormat="1">
      <c r="A533" s="1371"/>
      <c r="B533" s="1371"/>
      <c r="C533" s="75" t="s">
        <v>1562</v>
      </c>
      <c r="D533" s="1838"/>
      <c r="E533" s="1838"/>
      <c r="F533" s="1838"/>
      <c r="G533" s="1838"/>
      <c r="H533" s="82">
        <f>+GETPIVOTDATA("Sum of Dr. Final 21-22",Pivot!$A$3,"Note",27,"BS Main Head","Other - Establishment Expenses","BS Sub Head","Listing Expenses")</f>
        <v>103000</v>
      </c>
      <c r="I533" s="22">
        <v>9000</v>
      </c>
      <c r="J533" s="1566"/>
      <c r="K533" s="1554"/>
      <c r="L533" s="1554"/>
      <c r="M533" s="1554"/>
      <c r="N533" s="1553"/>
      <c r="O533" s="1555"/>
      <c r="P533" s="1555"/>
      <c r="Q533" s="1555"/>
      <c r="R533" s="1555"/>
      <c r="S533" s="1555"/>
      <c r="T533" s="1555"/>
      <c r="U533" s="1555"/>
      <c r="V533" s="1555"/>
      <c r="W533" s="1555"/>
      <c r="X533" s="1555"/>
      <c r="Y533" s="1555"/>
      <c r="Z533" s="1555"/>
      <c r="AA533" s="1555"/>
      <c r="AB533" s="1555"/>
      <c r="AC533" s="1555"/>
      <c r="AD533" s="1555"/>
      <c r="AE533" s="1555"/>
      <c r="AF533" s="1555"/>
      <c r="AG533" s="1555"/>
      <c r="AH533" s="1555"/>
      <c r="AI533" s="1555"/>
      <c r="AJ533" s="1555"/>
      <c r="AK533" s="1555"/>
    </row>
    <row r="534" spans="1:37" s="1373" customFormat="1">
      <c r="A534" s="1371"/>
      <c r="B534" s="1371"/>
      <c r="C534" s="75" t="s">
        <v>1314</v>
      </c>
      <c r="D534" s="1838"/>
      <c r="E534" s="1838"/>
      <c r="F534" s="1838"/>
      <c r="G534" s="1838"/>
      <c r="H534" s="82">
        <v>0</v>
      </c>
      <c r="I534" s="22">
        <v>1384900</v>
      </c>
      <c r="J534" s="1566"/>
      <c r="K534" s="1554"/>
      <c r="L534" s="1554"/>
      <c r="M534" s="1554"/>
      <c r="N534" s="1553"/>
      <c r="O534" s="1555"/>
      <c r="P534" s="1555"/>
      <c r="Q534" s="1555"/>
      <c r="R534" s="1555"/>
      <c r="S534" s="1555"/>
      <c r="T534" s="1555"/>
      <c r="U534" s="1555"/>
      <c r="V534" s="1555"/>
      <c r="W534" s="1555"/>
      <c r="X534" s="1555"/>
      <c r="Y534" s="1555"/>
      <c r="Z534" s="1555"/>
      <c r="AA534" s="1555"/>
      <c r="AB534" s="1555"/>
      <c r="AC534" s="1555"/>
      <c r="AD534" s="1555"/>
      <c r="AE534" s="1555"/>
      <c r="AF534" s="1555"/>
      <c r="AG534" s="1555"/>
      <c r="AH534" s="1555"/>
      <c r="AI534" s="1555"/>
      <c r="AJ534" s="1555"/>
      <c r="AK534" s="1555"/>
    </row>
    <row r="535" spans="1:37" s="1373" customFormat="1">
      <c r="A535" s="1371"/>
      <c r="B535" s="1371"/>
      <c r="C535" s="52" t="s">
        <v>1315</v>
      </c>
      <c r="D535" s="1844"/>
      <c r="E535" s="1844"/>
      <c r="F535" s="1844"/>
      <c r="G535" s="1846"/>
      <c r="H535" s="85">
        <f>+GETPIVOTDATA("Sum of Dr. Final 21-22",Pivot!$A$3,"Note",27,"BS Main Head","Other - Establishment Expenses","BS Sub Head","Office Expenses")</f>
        <v>344353.44</v>
      </c>
      <c r="I535" s="118">
        <v>298336</v>
      </c>
      <c r="J535" s="1566"/>
      <c r="K535" s="1554"/>
      <c r="L535" s="1554"/>
      <c r="M535" s="1554"/>
      <c r="N535" s="1553"/>
      <c r="O535" s="1555"/>
      <c r="P535" s="1555"/>
      <c r="Q535" s="1555"/>
      <c r="R535" s="1555"/>
      <c r="S535" s="1555"/>
      <c r="T535" s="1555"/>
      <c r="U535" s="1555"/>
      <c r="V535" s="1555"/>
      <c r="W535" s="1555"/>
      <c r="X535" s="1555"/>
      <c r="Y535" s="1555"/>
      <c r="Z535" s="1555"/>
      <c r="AA535" s="1555"/>
      <c r="AB535" s="1555"/>
      <c r="AC535" s="1555"/>
      <c r="AD535" s="1555"/>
      <c r="AE535" s="1555"/>
      <c r="AF535" s="1555"/>
      <c r="AG535" s="1555"/>
      <c r="AH535" s="1555"/>
      <c r="AI535" s="1555"/>
      <c r="AJ535" s="1555"/>
      <c r="AK535" s="1555"/>
    </row>
    <row r="536" spans="1:37" s="1373" customFormat="1">
      <c r="A536" s="1371"/>
      <c r="B536" s="1371"/>
      <c r="C536" s="2166" t="s">
        <v>1065</v>
      </c>
      <c r="D536" s="2186"/>
      <c r="E536" s="2167"/>
      <c r="F536" s="2186"/>
      <c r="G536" s="2186"/>
      <c r="H536" s="2186"/>
      <c r="I536" s="2168"/>
      <c r="J536" s="1623"/>
      <c r="K536" s="1624"/>
      <c r="L536" s="1624"/>
      <c r="M536" s="1624"/>
      <c r="N536" s="1569"/>
      <c r="O536" s="1555"/>
      <c r="P536" s="1555"/>
      <c r="Q536" s="1555"/>
      <c r="R536" s="1555"/>
      <c r="S536" s="1555"/>
      <c r="T536" s="1555"/>
      <c r="U536" s="1555"/>
      <c r="V536" s="1555"/>
      <c r="W536" s="1555"/>
      <c r="X536" s="1555"/>
      <c r="Y536" s="1555"/>
      <c r="Z536" s="1555"/>
      <c r="AA536" s="1555"/>
      <c r="AB536" s="1555"/>
      <c r="AC536" s="1555"/>
      <c r="AD536" s="1555"/>
      <c r="AE536" s="1555"/>
      <c r="AF536" s="1555"/>
      <c r="AG536" s="1555"/>
      <c r="AH536" s="1555"/>
      <c r="AI536" s="1555"/>
      <c r="AJ536" s="1555"/>
      <c r="AK536" s="1555"/>
    </row>
    <row r="537" spans="1:37" s="1373" customFormat="1">
      <c r="A537" s="1371"/>
      <c r="B537" s="1371"/>
      <c r="C537" s="2169" t="s">
        <v>1546</v>
      </c>
      <c r="D537" s="2170"/>
      <c r="E537" s="2170"/>
      <c r="F537" s="2170"/>
      <c r="G537" s="2170"/>
      <c r="H537" s="2170"/>
      <c r="I537" s="2171"/>
      <c r="J537" s="1623"/>
      <c r="K537" s="1624"/>
      <c r="L537" s="1624"/>
      <c r="M537" s="1624"/>
      <c r="N537" s="1624"/>
      <c r="O537" s="1555"/>
      <c r="P537" s="1555"/>
      <c r="Q537" s="1555"/>
      <c r="R537" s="1555"/>
      <c r="S537" s="1555"/>
      <c r="T537" s="1555"/>
      <c r="U537" s="1555"/>
      <c r="V537" s="1555"/>
      <c r="W537" s="1555"/>
      <c r="X537" s="1555"/>
      <c r="Y537" s="1555"/>
      <c r="Z537" s="1555"/>
      <c r="AA537" s="1555"/>
      <c r="AB537" s="1555"/>
      <c r="AC537" s="1555"/>
      <c r="AD537" s="1555"/>
      <c r="AE537" s="1555"/>
      <c r="AF537" s="1555"/>
      <c r="AG537" s="1555"/>
      <c r="AH537" s="1555"/>
      <c r="AI537" s="1555"/>
      <c r="AJ537" s="1555"/>
      <c r="AK537" s="1555"/>
    </row>
    <row r="538" spans="1:37" s="1373" customFormat="1">
      <c r="A538" s="1371"/>
      <c r="B538" s="1371"/>
      <c r="C538" s="1426" t="s">
        <v>402</v>
      </c>
      <c r="D538" s="78"/>
      <c r="E538" s="1869"/>
      <c r="F538" s="78"/>
      <c r="G538" s="1405"/>
      <c r="H538" s="15" t="s">
        <v>1067</v>
      </c>
      <c r="I538" s="15" t="str">
        <f>+I504</f>
        <v xml:space="preserve"> As At</v>
      </c>
      <c r="J538" s="1558"/>
      <c r="K538" s="1559"/>
      <c r="L538" s="1559"/>
      <c r="M538" s="1559"/>
      <c r="N538" s="1624"/>
      <c r="O538" s="1555"/>
      <c r="P538" s="1555"/>
      <c r="Q538" s="1555"/>
      <c r="R538" s="1555"/>
      <c r="S538" s="1555"/>
      <c r="T538" s="1555"/>
      <c r="U538" s="1555"/>
      <c r="V538" s="1555"/>
      <c r="W538" s="1555"/>
      <c r="X538" s="1555"/>
      <c r="Y538" s="1555"/>
      <c r="Z538" s="1555"/>
      <c r="AA538" s="1555"/>
      <c r="AB538" s="1555"/>
      <c r="AC538" s="1555"/>
      <c r="AD538" s="1555"/>
      <c r="AE538" s="1555"/>
      <c r="AF538" s="1555"/>
      <c r="AG538" s="1555"/>
      <c r="AH538" s="1555"/>
      <c r="AI538" s="1555"/>
      <c r="AJ538" s="1555"/>
      <c r="AK538" s="1555"/>
    </row>
    <row r="539" spans="1:37" s="1373" customFormat="1" ht="37.5">
      <c r="A539" s="1371"/>
      <c r="B539" s="1371"/>
      <c r="C539" s="52"/>
      <c r="D539" s="79"/>
      <c r="E539" s="1844"/>
      <c r="F539" s="79"/>
      <c r="G539" s="1406"/>
      <c r="H539" s="56" t="str">
        <f>+H5</f>
        <v>March 31, 2022 (₹)</v>
      </c>
      <c r="I539" s="56" t="s">
        <v>1069</v>
      </c>
      <c r="J539" s="1561"/>
      <c r="K539" s="1562"/>
      <c r="L539" s="1562"/>
      <c r="M539" s="1562"/>
      <c r="N539" s="1587"/>
      <c r="O539" s="1555"/>
      <c r="P539" s="1555"/>
      <c r="Q539" s="1555"/>
      <c r="R539" s="1555"/>
      <c r="S539" s="1555"/>
      <c r="T539" s="1555"/>
      <c r="U539" s="1555"/>
      <c r="V539" s="1555"/>
      <c r="W539" s="1555"/>
      <c r="X539" s="1555"/>
      <c r="Y539" s="1555"/>
      <c r="Z539" s="1555"/>
      <c r="AA539" s="1555"/>
      <c r="AB539" s="1555"/>
      <c r="AC539" s="1555"/>
      <c r="AD539" s="1555"/>
      <c r="AE539" s="1555"/>
      <c r="AF539" s="1555"/>
      <c r="AG539" s="1555"/>
      <c r="AH539" s="1555"/>
      <c r="AI539" s="1555"/>
      <c r="AJ539" s="1555"/>
      <c r="AK539" s="1555"/>
    </row>
    <row r="540" spans="1:37" s="1373" customFormat="1">
      <c r="A540" s="1371"/>
      <c r="B540" s="1371"/>
      <c r="C540" s="75" t="s">
        <v>1316</v>
      </c>
      <c r="D540" s="44"/>
      <c r="E540" s="1838"/>
      <c r="F540" s="44"/>
      <c r="G540" s="1430"/>
      <c r="H540" s="81">
        <f>+GETPIVOTDATA("Sum of Dr. Final 21-22",Pivot!$A$3,"Note",27,"BS Main Head","Other - Establishment Expenses","BS Sub Head","Printing &amp; Stationery")</f>
        <v>183140.58</v>
      </c>
      <c r="I540" s="22">
        <f>+GETPIVOTDATA("Sum of Dr. Final 2020-21",Pivot!$A$3,"Note",27,"BS Main Head","Other - Establishment Expenses","BS Sub Head","Printing &amp; Stationery")</f>
        <v>301037.90000000002</v>
      </c>
      <c r="J540" s="1566"/>
      <c r="K540" s="1554"/>
      <c r="L540" s="1554"/>
      <c r="M540" s="1554"/>
      <c r="N540" s="1553"/>
      <c r="O540" s="1555"/>
      <c r="P540" s="1555"/>
      <c r="Q540" s="1555"/>
      <c r="R540" s="1555"/>
      <c r="S540" s="1555"/>
      <c r="T540" s="1555"/>
      <c r="U540" s="1555"/>
      <c r="V540" s="1555"/>
      <c r="W540" s="1555"/>
      <c r="X540" s="1555"/>
      <c r="Y540" s="1555"/>
      <c r="Z540" s="1555"/>
      <c r="AA540" s="1555"/>
      <c r="AB540" s="1555"/>
      <c r="AC540" s="1555"/>
      <c r="AD540" s="1555"/>
      <c r="AE540" s="1555"/>
      <c r="AF540" s="1555"/>
      <c r="AG540" s="1555"/>
      <c r="AH540" s="1555"/>
      <c r="AI540" s="1555"/>
      <c r="AJ540" s="1555"/>
      <c r="AK540" s="1555"/>
    </row>
    <row r="541" spans="1:37" s="1373" customFormat="1">
      <c r="A541" s="1371"/>
      <c r="B541" s="1371"/>
      <c r="C541" s="75" t="s">
        <v>279</v>
      </c>
      <c r="D541" s="44"/>
      <c r="E541" s="1838"/>
      <c r="F541" s="44"/>
      <c r="G541" s="1430"/>
      <c r="H541" s="81">
        <f>+GETPIVOTDATA("Sum of Dr. Final 21-22",Pivot!$A$3,"Note",27,"BS Main Head","Other - Establishment Expenses","BS Sub Head","Rates &amp; Taxes")</f>
        <v>656073</v>
      </c>
      <c r="I541" s="22">
        <f>+GETPIVOTDATA("Sum of Dr. Final 2020-21",Pivot!$A$3,"Note",27,"BS Main Head","Other - Establishment Expenses","BS Sub Head","Rates &amp; Taxes")</f>
        <v>555080</v>
      </c>
      <c r="J541" s="1566"/>
      <c r="K541" s="1554"/>
      <c r="L541" s="1554"/>
      <c r="M541" s="1554"/>
      <c r="N541" s="1553"/>
      <c r="O541" s="1555"/>
      <c r="P541" s="1555"/>
      <c r="Q541" s="1555"/>
      <c r="R541" s="1555"/>
      <c r="S541" s="1555"/>
      <c r="T541" s="1555"/>
      <c r="U541" s="1555"/>
      <c r="V541" s="1555"/>
      <c r="W541" s="1555"/>
      <c r="X541" s="1555"/>
      <c r="Y541" s="1555"/>
      <c r="Z541" s="1555"/>
      <c r="AA541" s="1555"/>
      <c r="AB541" s="1555"/>
      <c r="AC541" s="1555"/>
      <c r="AD541" s="1555"/>
      <c r="AE541" s="1555"/>
      <c r="AF541" s="1555"/>
      <c r="AG541" s="1555"/>
      <c r="AH541" s="1555"/>
      <c r="AI541" s="1555"/>
      <c r="AJ541" s="1555"/>
      <c r="AK541" s="1555"/>
    </row>
    <row r="542" spans="1:37" s="1373" customFormat="1">
      <c r="A542" s="1371"/>
      <c r="B542" s="1371"/>
      <c r="C542" s="141" t="s">
        <v>1298</v>
      </c>
      <c r="D542" s="1430"/>
      <c r="E542" s="1853"/>
      <c r="F542" s="1430"/>
      <c r="G542" s="1430"/>
      <c r="H542" s="81"/>
      <c r="I542" s="22"/>
      <c r="J542" s="1566"/>
      <c r="K542" s="1554"/>
      <c r="L542" s="1554"/>
      <c r="M542" s="1554"/>
      <c r="N542" s="1553"/>
      <c r="O542" s="1555"/>
      <c r="P542" s="1555"/>
      <c r="Q542" s="1555"/>
      <c r="R542" s="1555"/>
      <c r="S542" s="1555"/>
      <c r="T542" s="1555"/>
      <c r="U542" s="1555"/>
      <c r="V542" s="1555"/>
      <c r="W542" s="1555"/>
      <c r="X542" s="1555"/>
      <c r="Y542" s="1555"/>
      <c r="Z542" s="1555"/>
      <c r="AA542" s="1555"/>
      <c r="AB542" s="1555"/>
      <c r="AC542" s="1555"/>
      <c r="AD542" s="1555"/>
      <c r="AE542" s="1555"/>
      <c r="AF542" s="1555"/>
      <c r="AG542" s="1555"/>
      <c r="AH542" s="1555"/>
      <c r="AI542" s="1555"/>
      <c r="AJ542" s="1555"/>
      <c r="AK542" s="1555"/>
    </row>
    <row r="543" spans="1:37" s="1373" customFormat="1">
      <c r="A543" s="1371"/>
      <c r="B543" s="1371"/>
      <c r="C543" s="75" t="s">
        <v>1317</v>
      </c>
      <c r="D543" s="44"/>
      <c r="E543" s="1838"/>
      <c r="F543" s="44"/>
      <c r="G543" s="1435"/>
      <c r="H543" s="81">
        <f>+GETPIVOTDATA("Sum of Dr. Final 21-22",Pivot!$A$3,"Note",27,"BS Main Head","Other - Establishment Expenses","BS Sub Head","Repairs &amp; Maintainence - Vehicle")</f>
        <v>972900.12</v>
      </c>
      <c r="I543" s="22">
        <f>+GETPIVOTDATA("Sum of Dr. Final 2020-21",Pivot!$A$3,"Note",27,"BS Main Head","Other - Establishment Expenses","BS Sub Head","Repairs &amp; Maintainence - Vehicle")</f>
        <v>793706.74</v>
      </c>
      <c r="J543" s="1566"/>
      <c r="K543" s="1554"/>
      <c r="L543" s="1554"/>
      <c r="M543" s="1554"/>
      <c r="N543" s="1553"/>
      <c r="O543" s="1555"/>
      <c r="P543" s="1555"/>
      <c r="Q543" s="1555"/>
      <c r="R543" s="1555"/>
      <c r="S543" s="1555"/>
      <c r="T543" s="1555"/>
      <c r="U543" s="1555"/>
      <c r="V543" s="1555"/>
      <c r="W543" s="1555"/>
      <c r="X543" s="1555"/>
      <c r="Y543" s="1555"/>
      <c r="Z543" s="1555"/>
      <c r="AA543" s="1555"/>
      <c r="AB543" s="1555"/>
      <c r="AC543" s="1555"/>
      <c r="AD543" s="1555"/>
      <c r="AE543" s="1555"/>
      <c r="AF543" s="1555"/>
      <c r="AG543" s="1555"/>
      <c r="AH543" s="1555"/>
      <c r="AI543" s="1555"/>
      <c r="AJ543" s="1555"/>
      <c r="AK543" s="1555"/>
    </row>
    <row r="544" spans="1:37" s="1373" customFormat="1">
      <c r="A544" s="1371"/>
      <c r="B544" s="1371"/>
      <c r="C544" s="75" t="s">
        <v>1318</v>
      </c>
      <c r="D544" s="44"/>
      <c r="E544" s="1838"/>
      <c r="F544" s="44"/>
      <c r="G544" s="1430"/>
      <c r="H544" s="81">
        <f>+GETPIVOTDATA("Sum of Dr. Final 21-22",Pivot!$A$3,"Note",27,"BS Main Head","Other - Establishment Expenses","BS Sub Head","Repairs &amp; Maintainence - Others")</f>
        <v>501594.49</v>
      </c>
      <c r="I544" s="22">
        <f>+GETPIVOTDATA("Sum of Dr. Final 2020-21",Pivot!$A$3,"Note",27,"BS Main Head","Other - Establishment Expenses","BS Sub Head","Repairs &amp; Maintainence - Others")</f>
        <v>806397.4</v>
      </c>
      <c r="J544" s="1566"/>
      <c r="K544" s="1554"/>
      <c r="L544" s="1554"/>
      <c r="M544" s="1554"/>
      <c r="N544" s="1553"/>
      <c r="O544" s="1555"/>
      <c r="P544" s="1555"/>
      <c r="Q544" s="1555"/>
      <c r="R544" s="1555"/>
      <c r="S544" s="1555"/>
      <c r="T544" s="1555"/>
      <c r="U544" s="1555"/>
      <c r="V544" s="1555"/>
      <c r="W544" s="1555"/>
      <c r="X544" s="1555"/>
      <c r="Y544" s="1555"/>
      <c r="Z544" s="1555"/>
      <c r="AA544" s="1555"/>
      <c r="AB544" s="1555"/>
      <c r="AC544" s="1555"/>
      <c r="AD544" s="1555"/>
      <c r="AE544" s="1555"/>
      <c r="AF544" s="1555"/>
      <c r="AG544" s="1555"/>
      <c r="AH544" s="1555"/>
      <c r="AI544" s="1555"/>
      <c r="AJ544" s="1555"/>
      <c r="AK544" s="1555"/>
    </row>
    <row r="545" spans="1:37" s="1373" customFormat="1">
      <c r="A545" s="1371"/>
      <c r="B545" s="1371"/>
      <c r="C545" s="75" t="s">
        <v>1319</v>
      </c>
      <c r="D545" s="44"/>
      <c r="E545" s="1838"/>
      <c r="F545" s="44"/>
      <c r="G545" s="1439"/>
      <c r="H545" s="82">
        <f>+GETPIVOTDATA("Sum of Dr. Final 21-22",Pivot!$A$3,"Note",27,"BS Main Head","Other - Establishment Expenses","BS Sub Head","Rent Expense")</f>
        <v>468000</v>
      </c>
      <c r="I545" s="22">
        <f>+GETPIVOTDATA("Sum of Dr. Final 2020-21",Pivot!$A$3,"Note",27,"BS Main Head","Other - Establishment Expenses","BS Sub Head","Rent Expense")</f>
        <v>320000</v>
      </c>
      <c r="J545" s="1566"/>
      <c r="K545" s="1554"/>
      <c r="L545" s="1554"/>
      <c r="M545" s="1554"/>
      <c r="N545" s="1553"/>
      <c r="O545" s="1555"/>
      <c r="P545" s="1555"/>
      <c r="Q545" s="1555"/>
      <c r="R545" s="1555"/>
      <c r="S545" s="1555"/>
      <c r="T545" s="1555"/>
      <c r="U545" s="1555"/>
      <c r="V545" s="1555"/>
      <c r="W545" s="1555"/>
      <c r="X545" s="1555"/>
      <c r="Y545" s="1555"/>
      <c r="Z545" s="1555"/>
      <c r="AA545" s="1555"/>
      <c r="AB545" s="1555"/>
      <c r="AC545" s="1555"/>
      <c r="AD545" s="1555"/>
      <c r="AE545" s="1555"/>
      <c r="AF545" s="1555"/>
      <c r="AG545" s="1555"/>
      <c r="AH545" s="1555"/>
      <c r="AI545" s="1555"/>
      <c r="AJ545" s="1555"/>
      <c r="AK545" s="1555"/>
    </row>
    <row r="546" spans="1:37" s="1373" customFormat="1">
      <c r="A546" s="1371"/>
      <c r="B546" s="1371"/>
      <c r="C546" s="75" t="s">
        <v>1320</v>
      </c>
      <c r="D546" s="44"/>
      <c r="E546" s="1838"/>
      <c r="F546" s="44"/>
      <c r="G546" s="1476"/>
      <c r="H546" s="81">
        <f>+GETPIVOTDATA("Sum of Dr. Final 21-22",Pivot!$A$3,"Note",27,"BS Main Head","Other - Establishment Expenses","BS Sub Head","Travelling and Conveyance Expense")</f>
        <v>333028</v>
      </c>
      <c r="I546" s="22">
        <f>+GETPIVOTDATA("Sum of Dr. Final 2020-21",Pivot!$A$3,"Note",27,"BS Main Head","Other - Establishment Expenses","BS Sub Head","Travelling and Conveyance Expense")</f>
        <v>172981</v>
      </c>
      <c r="J546" s="1566"/>
      <c r="K546" s="1554"/>
      <c r="L546" s="1554"/>
      <c r="M546" s="1554"/>
      <c r="N546" s="1553"/>
      <c r="O546" s="1555"/>
      <c r="P546" s="1555"/>
      <c r="Q546" s="1555"/>
      <c r="R546" s="1555"/>
      <c r="S546" s="1555"/>
      <c r="T546" s="1555"/>
      <c r="U546" s="1555"/>
      <c r="V546" s="1555"/>
      <c r="W546" s="1555"/>
      <c r="X546" s="1555"/>
      <c r="Y546" s="1555"/>
      <c r="Z546" s="1555"/>
      <c r="AA546" s="1555"/>
      <c r="AB546" s="1555"/>
      <c r="AC546" s="1555"/>
      <c r="AD546" s="1555"/>
      <c r="AE546" s="1555"/>
      <c r="AF546" s="1555"/>
      <c r="AG546" s="1555"/>
      <c r="AH546" s="1555"/>
      <c r="AI546" s="1555"/>
      <c r="AJ546" s="1555"/>
      <c r="AK546" s="1555"/>
    </row>
    <row r="547" spans="1:37" s="1373" customFormat="1">
      <c r="A547" s="1371"/>
      <c r="B547" s="1371"/>
      <c r="C547" s="75" t="s">
        <v>903</v>
      </c>
      <c r="D547" s="44"/>
      <c r="E547" s="1838"/>
      <c r="F547" s="44"/>
      <c r="G547" s="1430"/>
      <c r="H547" s="81">
        <f>+GETPIVOTDATA("Sum of Dr. Final 21-22",Pivot!$A$3,"Note",27,"BS Main Head","Other - Establishment Expenses","BS Sub Head","Telephone Expenses")</f>
        <v>70996</v>
      </c>
      <c r="I547" s="22">
        <f>+GETPIVOTDATA("Sum of Dr. Final 2020-21",Pivot!$A$3,"Note",27,"BS Main Head","Other - Establishment Expenses","BS Sub Head","Telephone Expenses")</f>
        <v>65764</v>
      </c>
      <c r="J547" s="1566"/>
      <c r="K547" s="1554"/>
      <c r="L547" s="1554"/>
      <c r="M547" s="1554"/>
      <c r="N547" s="1553"/>
      <c r="O547" s="1555"/>
      <c r="P547" s="1555"/>
      <c r="Q547" s="1555"/>
      <c r="R547" s="1555"/>
      <c r="S547" s="1555"/>
      <c r="T547" s="1555"/>
      <c r="U547" s="1555"/>
      <c r="V547" s="1555"/>
      <c r="W547" s="1555"/>
      <c r="X547" s="1555"/>
      <c r="Y547" s="1555"/>
      <c r="Z547" s="1555"/>
      <c r="AA547" s="1555"/>
      <c r="AB547" s="1555"/>
      <c r="AC547" s="1555"/>
      <c r="AD547" s="1555"/>
      <c r="AE547" s="1555"/>
      <c r="AF547" s="1555"/>
      <c r="AG547" s="1555"/>
      <c r="AH547" s="1555"/>
      <c r="AI547" s="1555"/>
      <c r="AJ547" s="1555"/>
      <c r="AK547" s="1555"/>
    </row>
    <row r="548" spans="1:37" s="1373" customFormat="1">
      <c r="A548" s="1371"/>
      <c r="B548" s="1371"/>
      <c r="C548" s="75"/>
      <c r="D548" s="44"/>
      <c r="E548" s="1838"/>
      <c r="F548" s="44"/>
      <c r="G548" s="1434" t="s">
        <v>1321</v>
      </c>
      <c r="H548" s="23">
        <f>+SUM(H540:H547)+SUM(H522:H535)</f>
        <v>9998503.7200000007</v>
      </c>
      <c r="I548" s="23">
        <f>+SUM(I540:I547)+SUM(I522:I535)</f>
        <v>9211423.3500000015</v>
      </c>
      <c r="J548" s="1561"/>
      <c r="K548" s="1569"/>
      <c r="L548" s="1569"/>
      <c r="M548" s="1569"/>
      <c r="N548" s="1554"/>
      <c r="O548" s="1555"/>
      <c r="P548" s="1555"/>
      <c r="Q548" s="1555"/>
      <c r="R548" s="1555"/>
      <c r="S548" s="1555"/>
      <c r="T548" s="1555"/>
      <c r="U548" s="1555"/>
      <c r="V548" s="1555"/>
      <c r="W548" s="1555"/>
      <c r="X548" s="1555"/>
      <c r="Y548" s="1555"/>
      <c r="Z548" s="1555"/>
      <c r="AA548" s="1555"/>
      <c r="AB548" s="1555"/>
      <c r="AC548" s="1555"/>
      <c r="AD548" s="1555"/>
      <c r="AE548" s="1555"/>
      <c r="AF548" s="1555"/>
      <c r="AG548" s="1555"/>
      <c r="AH548" s="1555"/>
      <c r="AI548" s="1555"/>
      <c r="AJ548" s="1555"/>
      <c r="AK548" s="1555"/>
    </row>
    <row r="549" spans="1:37" s="1373" customFormat="1">
      <c r="A549" s="1371"/>
      <c r="B549" s="1371"/>
      <c r="C549" s="74" t="s">
        <v>1322</v>
      </c>
      <c r="D549" s="46"/>
      <c r="E549" s="1840"/>
      <c r="F549" s="46"/>
      <c r="G549" s="1430"/>
      <c r="H549" s="81"/>
      <c r="I549" s="22"/>
      <c r="J549" s="1566"/>
      <c r="K549" s="1554"/>
      <c r="L549" s="1554"/>
      <c r="M549" s="1554"/>
      <c r="N549" s="1569"/>
      <c r="O549" s="1555"/>
      <c r="P549" s="1555"/>
      <c r="Q549" s="1555"/>
      <c r="R549" s="1555"/>
      <c r="S549" s="1555"/>
      <c r="T549" s="1555"/>
      <c r="U549" s="1555"/>
      <c r="V549" s="1555"/>
      <c r="W549" s="1555"/>
      <c r="X549" s="1555"/>
      <c r="Y549" s="1555"/>
      <c r="Z549" s="1555"/>
      <c r="AA549" s="1555"/>
      <c r="AB549" s="1555"/>
      <c r="AC549" s="1555"/>
      <c r="AD549" s="1555"/>
      <c r="AE549" s="1555"/>
      <c r="AF549" s="1555"/>
      <c r="AG549" s="1555"/>
      <c r="AH549" s="1555"/>
      <c r="AI549" s="1555"/>
      <c r="AJ549" s="1555"/>
      <c r="AK549" s="1555"/>
    </row>
    <row r="550" spans="1:37" s="1373" customFormat="1">
      <c r="A550" s="1371"/>
      <c r="B550" s="1371"/>
      <c r="C550" s="75" t="s">
        <v>1323</v>
      </c>
      <c r="D550" s="44"/>
      <c r="E550" s="1838"/>
      <c r="F550" s="44"/>
      <c r="G550" s="1430"/>
      <c r="H550" s="81">
        <f>+GETPIVOTDATA("Sum of Dr. Final 21-22",Pivot!$A$3,"Note",27,"BS Main Head","Other - Selling &amp; Distribution Expenses","BS Sub Head","Advertisement Expenses")</f>
        <v>125580</v>
      </c>
      <c r="I550" s="22">
        <v>114760</v>
      </c>
      <c r="J550" s="1566"/>
      <c r="K550" s="1554"/>
      <c r="L550" s="1554"/>
      <c r="M550" s="1554"/>
      <c r="N550" s="1554"/>
      <c r="O550" s="1555"/>
      <c r="P550" s="1555"/>
      <c r="Q550" s="1555"/>
      <c r="R550" s="1555"/>
      <c r="S550" s="1555"/>
      <c r="T550" s="1555"/>
      <c r="U550" s="1555"/>
      <c r="V550" s="1555"/>
      <c r="W550" s="1555"/>
      <c r="X550" s="1555"/>
      <c r="Y550" s="1555"/>
      <c r="Z550" s="1555"/>
      <c r="AA550" s="1555"/>
      <c r="AB550" s="1555"/>
      <c r="AC550" s="1555"/>
      <c r="AD550" s="1555"/>
      <c r="AE550" s="1555"/>
      <c r="AF550" s="1555"/>
      <c r="AG550" s="1555"/>
      <c r="AH550" s="1555"/>
      <c r="AI550" s="1555"/>
      <c r="AJ550" s="1555"/>
      <c r="AK550" s="1555"/>
    </row>
    <row r="551" spans="1:37" s="1373" customFormat="1">
      <c r="A551" s="1371"/>
      <c r="B551" s="1371"/>
      <c r="C551" s="75" t="s">
        <v>1324</v>
      </c>
      <c r="D551" s="44"/>
      <c r="E551" s="1838"/>
      <c r="F551" s="44"/>
      <c r="G551" s="1430"/>
      <c r="H551" s="81">
        <f>+GETPIVOTDATA("Sum of Dr. Final 21-22",Pivot!$A$3,"Note",27,"BS Main Head","Other - Selling &amp; Distribution Expenses","BS Sub Head","Insurance on Sales")</f>
        <v>369150</v>
      </c>
      <c r="I551" s="22">
        <v>295193</v>
      </c>
      <c r="J551" s="1566"/>
      <c r="K551" s="1554"/>
      <c r="L551" s="1554"/>
      <c r="M551" s="1554"/>
      <c r="N551" s="1554"/>
      <c r="O551" s="1555"/>
      <c r="P551" s="1555"/>
      <c r="Q551" s="1555"/>
      <c r="R551" s="1555"/>
      <c r="S551" s="1555"/>
      <c r="T551" s="1555"/>
      <c r="U551" s="1555"/>
      <c r="V551" s="1555"/>
      <c r="W551" s="1555"/>
      <c r="X551" s="1555"/>
      <c r="Y551" s="1555"/>
      <c r="Z551" s="1555"/>
      <c r="AA551" s="1555"/>
      <c r="AB551" s="1555"/>
      <c r="AC551" s="1555"/>
      <c r="AD551" s="1555"/>
      <c r="AE551" s="1555"/>
      <c r="AF551" s="1555"/>
      <c r="AG551" s="1555"/>
      <c r="AH551" s="1555"/>
      <c r="AI551" s="1555"/>
      <c r="AJ551" s="1555"/>
      <c r="AK551" s="1555"/>
    </row>
    <row r="552" spans="1:37" s="1373" customFormat="1">
      <c r="A552" s="1371"/>
      <c r="B552" s="1371"/>
      <c r="C552" s="75" t="s">
        <v>1325</v>
      </c>
      <c r="D552" s="44"/>
      <c r="E552" s="1838"/>
      <c r="F552" s="44"/>
      <c r="G552" s="1430"/>
      <c r="H552" s="81">
        <f>+GETPIVOTDATA("Sum of Dr. Final 21-22",Pivot!$A$3,"Note",27,"BS Main Head","Other - Selling &amp; Distribution Expenses","BS Sub Head","Clearing &amp; Forwarding Expenses")+GETPIVOTDATA("Sum of Dr. Final 21-22",Pivot!$A$3,"Note",27,"BS Main Head","Other - Selling &amp; Distribution Expenses","BS Sub Head","Freight on Sales")</f>
        <v>1724227</v>
      </c>
      <c r="I552" s="142">
        <v>2277589</v>
      </c>
      <c r="J552" s="1566"/>
      <c r="K552" s="1554"/>
      <c r="L552" s="1554"/>
      <c r="M552" s="1554"/>
      <c r="N552" s="1554"/>
      <c r="O552" s="1555"/>
      <c r="P552" s="1555"/>
      <c r="Q552" s="1555"/>
      <c r="R552" s="1555"/>
      <c r="S552" s="1555"/>
      <c r="T552" s="1555"/>
      <c r="U552" s="1555"/>
      <c r="V552" s="1555"/>
      <c r="W552" s="1555"/>
      <c r="X552" s="1555"/>
      <c r="Y552" s="1555"/>
      <c r="Z552" s="1555"/>
      <c r="AA552" s="1555"/>
      <c r="AB552" s="1555"/>
      <c r="AC552" s="1555"/>
      <c r="AD552" s="1555"/>
      <c r="AE552" s="1555"/>
      <c r="AF552" s="1555"/>
      <c r="AG552" s="1555"/>
      <c r="AH552" s="1555"/>
      <c r="AI552" s="1555"/>
      <c r="AJ552" s="1555"/>
      <c r="AK552" s="1555"/>
    </row>
    <row r="553" spans="1:37" s="1373" customFormat="1">
      <c r="A553" s="1371"/>
      <c r="B553" s="1371"/>
      <c r="C553" s="75" t="s">
        <v>1326</v>
      </c>
      <c r="D553" s="44"/>
      <c r="E553" s="1838"/>
      <c r="F553" s="44"/>
      <c r="G553" s="1430"/>
      <c r="H553" s="81">
        <f>+GETPIVOTDATA("Sum of Dr. Final 21-22",Pivot!$A$3,"Note",27,"BS Main Head","Other - Selling &amp; Distribution Expenses","BS Sub Head","Commission on Sales")</f>
        <v>1397360</v>
      </c>
      <c r="I553" s="1477">
        <v>2201851</v>
      </c>
      <c r="J553" s="1671"/>
      <c r="K553" s="1672"/>
      <c r="L553" s="1672"/>
      <c r="M553" s="1672"/>
      <c r="N553" s="1554"/>
      <c r="O553" s="1555"/>
      <c r="P553" s="1555"/>
      <c r="Q553" s="1555"/>
      <c r="R553" s="1555"/>
      <c r="S553" s="1555"/>
      <c r="T553" s="1555"/>
      <c r="U553" s="1555"/>
      <c r="V553" s="1555"/>
      <c r="W553" s="1555"/>
      <c r="X553" s="1555"/>
      <c r="Y553" s="1555"/>
      <c r="Z553" s="1555"/>
      <c r="AA553" s="1555"/>
      <c r="AB553" s="1555"/>
      <c r="AC553" s="1555"/>
      <c r="AD553" s="1555"/>
      <c r="AE553" s="1555"/>
      <c r="AF553" s="1555"/>
      <c r="AG553" s="1555"/>
      <c r="AH553" s="1555"/>
      <c r="AI553" s="1555"/>
      <c r="AJ553" s="1555"/>
      <c r="AK553" s="1555"/>
    </row>
    <row r="554" spans="1:37" s="1373" customFormat="1">
      <c r="A554" s="1371"/>
      <c r="B554" s="1371"/>
      <c r="C554" s="75"/>
      <c r="D554" s="44"/>
      <c r="E554" s="1838"/>
      <c r="F554" s="44"/>
      <c r="G554" s="1434" t="s">
        <v>1327</v>
      </c>
      <c r="H554" s="23">
        <f>+SUM(H550:H553)</f>
        <v>3616317</v>
      </c>
      <c r="I554" s="23">
        <f>+SUM(I550:I553)</f>
        <v>4889393</v>
      </c>
      <c r="J554" s="1561"/>
      <c r="K554" s="1569"/>
      <c r="L554" s="1569"/>
      <c r="M554" s="1569"/>
      <c r="N554" s="1554"/>
      <c r="O554" s="1555"/>
      <c r="P554" s="1555"/>
      <c r="Q554" s="1555"/>
      <c r="R554" s="1555"/>
      <c r="S554" s="1555"/>
      <c r="T554" s="1555"/>
      <c r="U554" s="1555"/>
      <c r="V554" s="1555"/>
      <c r="W554" s="1555"/>
      <c r="X554" s="1555"/>
      <c r="Y554" s="1555"/>
      <c r="Z554" s="1555"/>
      <c r="AA554" s="1555"/>
      <c r="AB554" s="1555"/>
      <c r="AC554" s="1555"/>
      <c r="AD554" s="1555"/>
      <c r="AE554" s="1555"/>
      <c r="AF554" s="1555"/>
      <c r="AG554" s="1555"/>
      <c r="AH554" s="1555"/>
      <c r="AI554" s="1555"/>
      <c r="AJ554" s="1555"/>
      <c r="AK554" s="1555"/>
    </row>
    <row r="555" spans="1:37" s="1373" customFormat="1">
      <c r="A555" s="1371"/>
      <c r="B555" s="1371"/>
      <c r="C555" s="75"/>
      <c r="D555" s="44"/>
      <c r="E555" s="1838"/>
      <c r="F555" s="44"/>
      <c r="G555" s="1478" t="s">
        <v>1328</v>
      </c>
      <c r="H555" s="23">
        <f>+H554+H548+H519</f>
        <v>206278685.94000003</v>
      </c>
      <c r="I555" s="23">
        <f>+I554+I548+I519</f>
        <v>182271652.99999997</v>
      </c>
      <c r="J555" s="1561"/>
      <c r="K555" s="1569"/>
      <c r="L555" s="1569"/>
      <c r="M555" s="1569"/>
      <c r="N555" s="1569"/>
      <c r="O555" s="1555"/>
      <c r="P555" s="1555"/>
      <c r="Q555" s="1555"/>
      <c r="R555" s="1555"/>
      <c r="S555" s="1555"/>
      <c r="T555" s="1555"/>
      <c r="U555" s="1555"/>
      <c r="V555" s="1555"/>
      <c r="W555" s="1555"/>
      <c r="X555" s="1555"/>
      <c r="Y555" s="1555"/>
      <c r="Z555" s="1555"/>
      <c r="AA555" s="1555"/>
      <c r="AB555" s="1555"/>
      <c r="AC555" s="1555"/>
      <c r="AD555" s="1555"/>
      <c r="AE555" s="1555"/>
      <c r="AF555" s="1555"/>
      <c r="AG555" s="1555"/>
      <c r="AH555" s="1555"/>
      <c r="AI555" s="1555"/>
      <c r="AJ555" s="1555"/>
      <c r="AK555" s="1555"/>
    </row>
    <row r="556" spans="1:37" s="1373" customFormat="1">
      <c r="A556" s="1371"/>
      <c r="B556" s="1371"/>
      <c r="C556" s="132" t="s">
        <v>1329</v>
      </c>
      <c r="D556" s="44"/>
      <c r="E556" s="1838"/>
      <c r="F556" s="44"/>
      <c r="G556" s="1388"/>
      <c r="H556" s="82"/>
      <c r="I556" s="143"/>
      <c r="J556" s="1561"/>
      <c r="K556" s="1562"/>
      <c r="L556" s="1562"/>
      <c r="M556" s="1562"/>
      <c r="N556" s="1562"/>
      <c r="O556" s="1555"/>
      <c r="P556" s="1555"/>
      <c r="Q556" s="1555"/>
      <c r="R556" s="1555"/>
      <c r="S556" s="1555"/>
      <c r="T556" s="1555"/>
      <c r="U556" s="1555"/>
      <c r="V556" s="1555"/>
      <c r="W556" s="1555"/>
      <c r="X556" s="1555"/>
      <c r="Y556" s="1555"/>
      <c r="Z556" s="1555"/>
      <c r="AA556" s="1555"/>
      <c r="AB556" s="1555"/>
      <c r="AC556" s="1555"/>
      <c r="AD556" s="1555"/>
      <c r="AE556" s="1555"/>
      <c r="AF556" s="1555"/>
      <c r="AG556" s="1555"/>
      <c r="AH556" s="1555"/>
      <c r="AI556" s="1555"/>
      <c r="AJ556" s="1555"/>
      <c r="AK556" s="1555"/>
    </row>
    <row r="557" spans="1:37" s="1373" customFormat="1">
      <c r="A557" s="1371"/>
      <c r="B557" s="1371"/>
      <c r="C557" s="74" t="s">
        <v>9</v>
      </c>
      <c r="D557" s="44"/>
      <c r="E557" s="1838"/>
      <c r="F557" s="44"/>
      <c r="G557" s="1388"/>
      <c r="H557" s="82"/>
      <c r="I557" s="21"/>
      <c r="J557" s="1561"/>
      <c r="K557" s="1562"/>
      <c r="L557" s="1562"/>
      <c r="M557" s="1562"/>
      <c r="N557" s="1562"/>
      <c r="O557" s="1555"/>
      <c r="P557" s="1555"/>
      <c r="Q557" s="1555"/>
      <c r="R557" s="1555"/>
      <c r="S557" s="1555"/>
      <c r="T557" s="1555"/>
      <c r="U557" s="1555"/>
      <c r="V557" s="1555"/>
      <c r="W557" s="1555"/>
      <c r="X557" s="1555"/>
      <c r="Y557" s="1555"/>
      <c r="Z557" s="1555"/>
      <c r="AA557" s="1555"/>
      <c r="AB557" s="1555"/>
      <c r="AC557" s="1555"/>
      <c r="AD557" s="1555"/>
      <c r="AE557" s="1555"/>
      <c r="AF557" s="1555"/>
      <c r="AG557" s="1555"/>
      <c r="AH557" s="1555"/>
      <c r="AI557" s="1555"/>
      <c r="AJ557" s="1555"/>
      <c r="AK557" s="1555"/>
    </row>
    <row r="558" spans="1:37" s="1373" customFormat="1">
      <c r="A558" s="1371"/>
      <c r="B558" s="1371"/>
      <c r="C558" s="74" t="s">
        <v>1330</v>
      </c>
      <c r="D558" s="44"/>
      <c r="E558" s="1838"/>
      <c r="F558" s="44"/>
      <c r="G558" s="1388"/>
      <c r="H558" s="82"/>
      <c r="I558" s="21"/>
      <c r="J558" s="1561"/>
      <c r="K558" s="1562"/>
      <c r="L558" s="1562"/>
      <c r="M558" s="1562"/>
      <c r="N558" s="1562"/>
      <c r="O558" s="1555"/>
      <c r="P558" s="1555"/>
      <c r="Q558" s="1555"/>
      <c r="R558" s="1555"/>
      <c r="S558" s="1555"/>
      <c r="T558" s="1555"/>
      <c r="U558" s="1555"/>
      <c r="V558" s="1555"/>
      <c r="W558" s="1555"/>
      <c r="X558" s="1555"/>
      <c r="Y558" s="1555"/>
      <c r="Z558" s="1555"/>
      <c r="AA558" s="1555"/>
      <c r="AB558" s="1555"/>
      <c r="AC558" s="1555"/>
      <c r="AD558" s="1555"/>
      <c r="AE558" s="1555"/>
      <c r="AF558" s="1555"/>
      <c r="AG558" s="1555"/>
      <c r="AH558" s="1555"/>
      <c r="AI558" s="1555"/>
      <c r="AJ558" s="1555"/>
      <c r="AK558" s="1555"/>
    </row>
    <row r="559" spans="1:37" s="1373" customFormat="1">
      <c r="A559" s="1371"/>
      <c r="B559" s="1371"/>
      <c r="C559" s="75" t="s">
        <v>1331</v>
      </c>
      <c r="D559" s="44"/>
      <c r="E559" s="1838"/>
      <c r="F559" s="44"/>
      <c r="G559" s="1388"/>
      <c r="H559" s="19">
        <f>-H711</f>
        <v>1104075</v>
      </c>
      <c r="I559" s="19">
        <f>-I711</f>
        <v>1129722</v>
      </c>
      <c r="J559" s="1566"/>
      <c r="K559" s="1567"/>
      <c r="L559" s="1567"/>
      <c r="M559" s="1567"/>
      <c r="N559" s="1562"/>
      <c r="O559" s="1555"/>
      <c r="P559" s="1555"/>
      <c r="Q559" s="1555"/>
      <c r="R559" s="1555"/>
      <c r="S559" s="1555"/>
      <c r="T559" s="1555"/>
      <c r="U559" s="1555"/>
      <c r="V559" s="1555"/>
      <c r="W559" s="1555"/>
      <c r="X559" s="1555"/>
      <c r="Y559" s="1555"/>
      <c r="Z559" s="1555"/>
      <c r="AA559" s="1555"/>
      <c r="AB559" s="1555"/>
      <c r="AC559" s="1555"/>
      <c r="AD559" s="1555"/>
      <c r="AE559" s="1555"/>
      <c r="AF559" s="1555"/>
      <c r="AG559" s="1555"/>
      <c r="AH559" s="1555"/>
      <c r="AI559" s="1555"/>
      <c r="AJ559" s="1555"/>
      <c r="AK559" s="1555"/>
    </row>
    <row r="560" spans="1:37" s="1373" customFormat="1">
      <c r="A560" s="1371"/>
      <c r="B560" s="1371"/>
      <c r="C560" s="75" t="s">
        <v>3540</v>
      </c>
      <c r="D560" s="44"/>
      <c r="E560" s="1838"/>
      <c r="F560" s="44"/>
      <c r="G560" s="1388"/>
      <c r="H560" s="82"/>
      <c r="I560" s="19">
        <v>0</v>
      </c>
      <c r="J560" s="1566"/>
      <c r="K560" s="1567"/>
      <c r="L560" s="1567"/>
      <c r="M560" s="1567"/>
      <c r="N560" s="1567"/>
      <c r="O560" s="1555"/>
      <c r="P560" s="1555"/>
      <c r="Q560" s="1555"/>
      <c r="R560" s="1555"/>
      <c r="S560" s="1555"/>
      <c r="T560" s="1555"/>
      <c r="U560" s="1555"/>
      <c r="V560" s="1555"/>
      <c r="W560" s="1555"/>
      <c r="X560" s="1555"/>
      <c r="Y560" s="1555"/>
      <c r="Z560" s="1555"/>
      <c r="AA560" s="1555"/>
      <c r="AB560" s="1555"/>
      <c r="AC560" s="1555"/>
      <c r="AD560" s="1555"/>
      <c r="AE560" s="1555"/>
      <c r="AF560" s="1555"/>
      <c r="AG560" s="1555"/>
      <c r="AH560" s="1555"/>
      <c r="AI560" s="1555"/>
      <c r="AJ560" s="1555"/>
      <c r="AK560" s="1555"/>
    </row>
    <row r="561" spans="1:37" s="1373" customFormat="1">
      <c r="A561" s="1371"/>
      <c r="B561" s="1371"/>
      <c r="C561" s="1409" t="s">
        <v>1150</v>
      </c>
      <c r="D561" s="44"/>
      <c r="E561" s="1838"/>
      <c r="F561" s="44"/>
      <c r="G561" s="1388"/>
      <c r="H561" s="82"/>
      <c r="I561" s="19"/>
      <c r="J561" s="1566"/>
      <c r="K561" s="1567"/>
      <c r="L561" s="1567"/>
      <c r="M561" s="1567"/>
      <c r="N561" s="1567"/>
      <c r="O561" s="1555"/>
      <c r="P561" s="1555"/>
      <c r="Q561" s="1555"/>
      <c r="R561" s="1555"/>
      <c r="S561" s="1555"/>
      <c r="T561" s="1555"/>
      <c r="U561" s="1555"/>
      <c r="V561" s="1555"/>
      <c r="W561" s="1555"/>
      <c r="X561" s="1555"/>
      <c r="Y561" s="1555"/>
      <c r="Z561" s="1555"/>
      <c r="AA561" s="1555"/>
      <c r="AB561" s="1555"/>
      <c r="AC561" s="1555"/>
      <c r="AD561" s="1555"/>
      <c r="AE561" s="1555"/>
      <c r="AF561" s="1555"/>
      <c r="AG561" s="1555"/>
      <c r="AH561" s="1555"/>
      <c r="AI561" s="1555"/>
      <c r="AJ561" s="1555"/>
      <c r="AK561" s="1555"/>
    </row>
    <row r="562" spans="1:37" s="1373" customFormat="1">
      <c r="A562" s="1371"/>
      <c r="B562" s="1371"/>
      <c r="C562" s="1409" t="s">
        <v>1126</v>
      </c>
      <c r="D562" s="44"/>
      <c r="E562" s="1838"/>
      <c r="F562" s="44"/>
      <c r="G562" s="1388"/>
      <c r="H562" s="82"/>
      <c r="I562" s="21"/>
      <c r="J562" s="1561"/>
      <c r="K562" s="1562"/>
      <c r="L562" s="1562"/>
      <c r="M562" s="1562"/>
      <c r="N562" s="1567"/>
      <c r="O562" s="1555"/>
      <c r="P562" s="1555"/>
      <c r="Q562" s="1555"/>
      <c r="R562" s="1555"/>
      <c r="S562" s="1555"/>
      <c r="T562" s="1555"/>
      <c r="U562" s="1555"/>
      <c r="V562" s="1555"/>
      <c r="W562" s="1555"/>
      <c r="X562" s="1555"/>
      <c r="Y562" s="1555"/>
      <c r="Z562" s="1555"/>
      <c r="AA562" s="1555"/>
      <c r="AB562" s="1555"/>
      <c r="AC562" s="1555"/>
      <c r="AD562" s="1555"/>
      <c r="AE562" s="1555"/>
      <c r="AF562" s="1555"/>
      <c r="AG562" s="1555"/>
      <c r="AH562" s="1555"/>
      <c r="AI562" s="1555"/>
      <c r="AJ562" s="1555"/>
      <c r="AK562" s="1555"/>
    </row>
    <row r="563" spans="1:37" s="1373" customFormat="1">
      <c r="A563" s="1371"/>
      <c r="B563" s="1371"/>
      <c r="C563" s="75"/>
      <c r="D563" s="44"/>
      <c r="E563" s="1838"/>
      <c r="F563" s="44"/>
      <c r="G563" s="1388"/>
      <c r="H563" s="144">
        <f>+SUM(H559:H561)</f>
        <v>1104075</v>
      </c>
      <c r="I563" s="144">
        <f>+SUM(I559:I561)</f>
        <v>1129722</v>
      </c>
      <c r="J563" s="1561"/>
      <c r="K563" s="1562"/>
      <c r="L563" s="1562"/>
      <c r="M563" s="1562"/>
      <c r="N563" s="1562"/>
      <c r="O563" s="1555"/>
      <c r="P563" s="1555"/>
      <c r="Q563" s="1555"/>
      <c r="R563" s="1555"/>
      <c r="S563" s="1555"/>
      <c r="T563" s="1555"/>
      <c r="U563" s="1555"/>
      <c r="V563" s="1555"/>
      <c r="W563" s="1555"/>
      <c r="X563" s="1555"/>
      <c r="Y563" s="1555"/>
      <c r="Z563" s="1555"/>
      <c r="AA563" s="1555"/>
      <c r="AB563" s="1555"/>
      <c r="AC563" s="1555"/>
      <c r="AD563" s="1555"/>
      <c r="AE563" s="1555"/>
      <c r="AF563" s="1555"/>
      <c r="AG563" s="1555"/>
      <c r="AH563" s="1555"/>
      <c r="AI563" s="1555"/>
      <c r="AJ563" s="1555"/>
      <c r="AK563" s="1555"/>
    </row>
    <row r="564" spans="1:37" s="1373" customFormat="1">
      <c r="A564" s="1371"/>
      <c r="B564" s="1371"/>
      <c r="C564" s="74" t="s">
        <v>1332</v>
      </c>
      <c r="D564" s="44"/>
      <c r="E564" s="1838"/>
      <c r="F564" s="44"/>
      <c r="G564" s="1388"/>
      <c r="H564" s="82"/>
      <c r="I564" s="21"/>
      <c r="J564" s="1561"/>
      <c r="K564" s="1562"/>
      <c r="L564" s="1562"/>
      <c r="M564" s="1562"/>
      <c r="N564" s="1562"/>
      <c r="O564" s="1555"/>
      <c r="P564" s="1555"/>
      <c r="Q564" s="1555"/>
      <c r="R564" s="1555"/>
      <c r="S564" s="1555"/>
      <c r="T564" s="1555"/>
      <c r="U564" s="1555"/>
      <c r="V564" s="1555"/>
      <c r="W564" s="1555"/>
      <c r="X564" s="1555"/>
      <c r="Y564" s="1555"/>
      <c r="Z564" s="1555"/>
      <c r="AA564" s="1555"/>
      <c r="AB564" s="1555"/>
      <c r="AC564" s="1555"/>
      <c r="AD564" s="1555"/>
      <c r="AE564" s="1555"/>
      <c r="AF564" s="1555"/>
      <c r="AG564" s="1555"/>
      <c r="AH564" s="1555"/>
      <c r="AI564" s="1555"/>
      <c r="AJ564" s="1555"/>
      <c r="AK564" s="1555"/>
    </row>
    <row r="565" spans="1:37" s="1373" customFormat="1">
      <c r="A565" s="1371"/>
      <c r="B565" s="1371"/>
      <c r="C565" s="1381" t="s">
        <v>1333</v>
      </c>
      <c r="D565" s="44"/>
      <c r="E565" s="1838"/>
      <c r="F565" s="44"/>
      <c r="G565" s="1388"/>
      <c r="H565" s="82">
        <v>0</v>
      </c>
      <c r="I565" s="19">
        <v>0</v>
      </c>
      <c r="J565" s="1566"/>
      <c r="K565" s="1567"/>
      <c r="L565" s="1567"/>
      <c r="M565" s="1567"/>
      <c r="N565" s="1562"/>
      <c r="O565" s="1555"/>
      <c r="P565" s="1555"/>
      <c r="Q565" s="1555"/>
      <c r="R565" s="1555"/>
      <c r="S565" s="1555"/>
      <c r="T565" s="1555"/>
      <c r="U565" s="1555"/>
      <c r="V565" s="1555"/>
      <c r="W565" s="1555"/>
      <c r="X565" s="1555"/>
      <c r="Y565" s="1555"/>
      <c r="Z565" s="1555"/>
      <c r="AA565" s="1555"/>
      <c r="AB565" s="1555"/>
      <c r="AC565" s="1555"/>
      <c r="AD565" s="1555"/>
      <c r="AE565" s="1555"/>
      <c r="AF565" s="1555"/>
      <c r="AG565" s="1555"/>
      <c r="AH565" s="1555"/>
      <c r="AI565" s="1555"/>
      <c r="AJ565" s="1555"/>
      <c r="AK565" s="1555"/>
    </row>
    <row r="566" spans="1:37" s="1373" customFormat="1">
      <c r="A566" s="1371"/>
      <c r="B566" s="1371"/>
      <c r="C566" s="74"/>
      <c r="D566" s="44"/>
      <c r="E566" s="1838"/>
      <c r="F566" s="44"/>
      <c r="G566" s="1388"/>
      <c r="H566" s="82"/>
      <c r="I566" s="21"/>
      <c r="J566" s="1561"/>
      <c r="K566" s="1562"/>
      <c r="L566" s="1562"/>
      <c r="M566" s="1562"/>
      <c r="N566" s="1567"/>
      <c r="O566" s="1555"/>
      <c r="P566" s="1555"/>
      <c r="Q566" s="1555"/>
      <c r="R566" s="1555"/>
      <c r="S566" s="1555"/>
      <c r="T566" s="1555"/>
      <c r="U566" s="1555"/>
      <c r="V566" s="1555"/>
      <c r="W566" s="1555"/>
      <c r="X566" s="1555"/>
      <c r="Y566" s="1555"/>
      <c r="Z566" s="1555"/>
      <c r="AA566" s="1555"/>
      <c r="AB566" s="1555"/>
      <c r="AC566" s="1555"/>
      <c r="AD566" s="1555"/>
      <c r="AE566" s="1555"/>
      <c r="AF566" s="1555"/>
      <c r="AG566" s="1555"/>
      <c r="AH566" s="1555"/>
      <c r="AI566" s="1555"/>
      <c r="AJ566" s="1555"/>
      <c r="AK566" s="1555"/>
    </row>
    <row r="567" spans="1:37" s="1373" customFormat="1">
      <c r="A567" s="1371"/>
      <c r="B567" s="1371"/>
      <c r="C567" s="75" t="s">
        <v>1278</v>
      </c>
      <c r="D567" s="44"/>
      <c r="E567" s="1838"/>
      <c r="F567" s="44"/>
      <c r="G567" s="1388"/>
      <c r="H567" s="144">
        <v>0</v>
      </c>
      <c r="I567" s="144">
        <v>0</v>
      </c>
      <c r="J567" s="1561"/>
      <c r="K567" s="1562"/>
      <c r="L567" s="1562"/>
      <c r="M567" s="1562"/>
      <c r="N567" s="1562"/>
      <c r="O567" s="1555"/>
      <c r="P567" s="1555"/>
      <c r="Q567" s="1555"/>
      <c r="R567" s="1555"/>
      <c r="S567" s="1555"/>
      <c r="T567" s="1555"/>
      <c r="U567" s="1555"/>
      <c r="V567" s="1555"/>
      <c r="W567" s="1555"/>
      <c r="X567" s="1555"/>
      <c r="Y567" s="1555"/>
      <c r="Z567" s="1555"/>
      <c r="AA567" s="1555"/>
      <c r="AB567" s="1555"/>
      <c r="AC567" s="1555"/>
      <c r="AD567" s="1555"/>
      <c r="AE567" s="1555"/>
      <c r="AF567" s="1555"/>
      <c r="AG567" s="1555"/>
      <c r="AH567" s="1555"/>
      <c r="AI567" s="1555"/>
      <c r="AJ567" s="1555"/>
      <c r="AK567" s="1555"/>
    </row>
    <row r="568" spans="1:37" s="1373" customFormat="1" ht="19.5" thickBot="1">
      <c r="A568" s="1371"/>
      <c r="B568" s="1371"/>
      <c r="C568" s="74" t="s">
        <v>1334</v>
      </c>
      <c r="D568" s="44"/>
      <c r="E568" s="1838"/>
      <c r="F568" s="44"/>
      <c r="G568" s="1388"/>
      <c r="H568" s="145">
        <f>H567+H563</f>
        <v>1104075</v>
      </c>
      <c r="I568" s="145">
        <f>I567+I563</f>
        <v>1129722</v>
      </c>
      <c r="J568" s="1561"/>
      <c r="K568" s="1562"/>
      <c r="L568" s="1562"/>
      <c r="M568" s="1562"/>
      <c r="N568" s="1562"/>
      <c r="O568" s="1555"/>
      <c r="P568" s="1555"/>
      <c r="Q568" s="1555"/>
      <c r="R568" s="1555"/>
      <c r="S568" s="1555"/>
      <c r="T568" s="1555"/>
      <c r="U568" s="1555"/>
      <c r="V568" s="1555"/>
      <c r="W568" s="1555"/>
      <c r="X568" s="1555"/>
      <c r="Y568" s="1555"/>
      <c r="Z568" s="1555"/>
      <c r="AA568" s="1555"/>
      <c r="AB568" s="1555"/>
      <c r="AC568" s="1555"/>
      <c r="AD568" s="1555"/>
      <c r="AE568" s="1555"/>
      <c r="AF568" s="1555"/>
      <c r="AG568" s="1555"/>
      <c r="AH568" s="1555"/>
      <c r="AI568" s="1555"/>
      <c r="AJ568" s="1555"/>
      <c r="AK568" s="1555"/>
    </row>
    <row r="569" spans="1:37" s="1373" customFormat="1" ht="19.5" thickTop="1">
      <c r="A569" s="1371"/>
      <c r="B569" s="1371"/>
      <c r="C569" s="74"/>
      <c r="D569" s="44"/>
      <c r="E569" s="1838"/>
      <c r="F569" s="44"/>
      <c r="G569" s="1388"/>
      <c r="H569" s="21"/>
      <c r="I569" s="21"/>
      <c r="J569" s="1561"/>
      <c r="K569" s="1562"/>
      <c r="L569" s="1562"/>
      <c r="M569" s="1562"/>
      <c r="N569" s="1562"/>
      <c r="O569" s="1555"/>
      <c r="P569" s="1555"/>
      <c r="Q569" s="1555"/>
      <c r="R569" s="1555"/>
      <c r="S569" s="1555"/>
      <c r="T569" s="1555"/>
      <c r="U569" s="1555"/>
      <c r="V569" s="1555"/>
      <c r="W569" s="1555"/>
      <c r="X569" s="1555"/>
      <c r="Y569" s="1555"/>
      <c r="Z569" s="1555"/>
      <c r="AA569" s="1555"/>
      <c r="AB569" s="1555"/>
      <c r="AC569" s="1555"/>
      <c r="AD569" s="1555"/>
      <c r="AE569" s="1555"/>
      <c r="AF569" s="1555"/>
      <c r="AG569" s="1555"/>
      <c r="AH569" s="1555"/>
      <c r="AI569" s="1555"/>
      <c r="AJ569" s="1555"/>
      <c r="AK569" s="1555"/>
    </row>
    <row r="570" spans="1:37" s="1373" customFormat="1">
      <c r="A570" s="1371"/>
      <c r="B570" s="1371"/>
      <c r="C570" s="132" t="s">
        <v>1335</v>
      </c>
      <c r="D570" s="44"/>
      <c r="E570" s="1838"/>
      <c r="F570" s="44"/>
      <c r="G570" s="1388"/>
      <c r="H570" s="21"/>
      <c r="I570" s="21"/>
      <c r="J570" s="1561"/>
      <c r="K570" s="1562"/>
      <c r="L570" s="1562"/>
      <c r="M570" s="1562"/>
      <c r="N570" s="1562"/>
      <c r="O570" s="1555"/>
      <c r="P570" s="1555"/>
      <c r="Q570" s="1555"/>
      <c r="R570" s="1555"/>
      <c r="S570" s="1555"/>
      <c r="T570" s="1555"/>
      <c r="U570" s="1555"/>
      <c r="V570" s="1555"/>
      <c r="W570" s="1555"/>
      <c r="X570" s="1555"/>
      <c r="Y570" s="1555"/>
      <c r="Z570" s="1555"/>
      <c r="AA570" s="1555"/>
      <c r="AB570" s="1555"/>
      <c r="AC570" s="1555"/>
      <c r="AD570" s="1555"/>
      <c r="AE570" s="1555"/>
      <c r="AF570" s="1555"/>
      <c r="AG570" s="1555"/>
      <c r="AH570" s="1555"/>
      <c r="AI570" s="1555"/>
      <c r="AJ570" s="1555"/>
      <c r="AK570" s="1555"/>
    </row>
    <row r="571" spans="1:37" s="1373" customFormat="1">
      <c r="A571" s="1371"/>
      <c r="B571" s="1371"/>
      <c r="C571" s="75" t="s">
        <v>1336</v>
      </c>
      <c r="D571" s="44"/>
      <c r="E571" s="1838"/>
      <c r="F571" s="44"/>
      <c r="G571" s="1388"/>
      <c r="H571" s="19">
        <f>+H100</f>
        <v>3825288.9905461473</v>
      </c>
      <c r="I571" s="19">
        <f>+I100</f>
        <v>34273275.17420686</v>
      </c>
      <c r="J571" s="1566"/>
      <c r="K571" s="1567"/>
      <c r="L571" s="1567"/>
      <c r="M571" s="1567"/>
      <c r="N571" s="1562"/>
      <c r="O571" s="1555"/>
      <c r="P571" s="1555"/>
      <c r="Q571" s="1555"/>
      <c r="R571" s="1555"/>
      <c r="S571" s="1555"/>
      <c r="T571" s="1555"/>
      <c r="U571" s="1555"/>
      <c r="V571" s="1555"/>
      <c r="W571" s="1555"/>
      <c r="X571" s="1555"/>
      <c r="Y571" s="1555"/>
      <c r="Z571" s="1555"/>
      <c r="AA571" s="1555"/>
      <c r="AB571" s="1555"/>
      <c r="AC571" s="1555"/>
      <c r="AD571" s="1555"/>
      <c r="AE571" s="1555"/>
      <c r="AF571" s="1555"/>
      <c r="AG571" s="1555"/>
      <c r="AH571" s="1555"/>
      <c r="AI571" s="1555"/>
      <c r="AJ571" s="1555"/>
      <c r="AK571" s="1555"/>
    </row>
    <row r="572" spans="1:37" s="1373" customFormat="1">
      <c r="A572" s="1371"/>
      <c r="B572" s="1371"/>
      <c r="C572" s="2157" t="s">
        <v>1337</v>
      </c>
      <c r="D572" s="2158"/>
      <c r="E572" s="2158"/>
      <c r="F572" s="2158"/>
      <c r="G572" s="2159"/>
      <c r="H572" s="19">
        <f>+H327</f>
        <v>2692265</v>
      </c>
      <c r="I572" s="19">
        <f>+I327</f>
        <v>2692265</v>
      </c>
      <c r="J572" s="1566"/>
      <c r="K572" s="1567"/>
      <c r="L572" s="1567"/>
      <c r="M572" s="1567"/>
      <c r="N572" s="1562"/>
      <c r="O572" s="1555"/>
      <c r="P572" s="1555"/>
      <c r="Q572" s="1555"/>
      <c r="R572" s="1555"/>
      <c r="S572" s="1555"/>
      <c r="T572" s="1555"/>
      <c r="U572" s="1555"/>
      <c r="V572" s="1555"/>
      <c r="W572" s="1555"/>
      <c r="X572" s="1555"/>
      <c r="Y572" s="1555"/>
      <c r="Z572" s="1555"/>
      <c r="AA572" s="1555"/>
      <c r="AB572" s="1555"/>
      <c r="AC572" s="1555"/>
      <c r="AD572" s="1555"/>
      <c r="AE572" s="1555"/>
      <c r="AF572" s="1555"/>
      <c r="AG572" s="1555"/>
      <c r="AH572" s="1555"/>
      <c r="AI572" s="1555"/>
      <c r="AJ572" s="1555"/>
      <c r="AK572" s="1555"/>
    </row>
    <row r="573" spans="1:37" s="1373" customFormat="1">
      <c r="A573" s="1371"/>
      <c r="B573" s="1371"/>
      <c r="C573" s="75" t="s">
        <v>1338</v>
      </c>
      <c r="D573" s="44"/>
      <c r="E573" s="1838"/>
      <c r="F573" s="44"/>
      <c r="G573" s="146"/>
      <c r="H573" s="147">
        <f>+H571/H572</f>
        <v>1.4208441555887505</v>
      </c>
      <c r="I573" s="147">
        <f>+I571/I572</f>
        <v>12.730275501931221</v>
      </c>
      <c r="J573" s="1552"/>
      <c r="K573" s="1568"/>
      <c r="L573" s="1568"/>
      <c r="M573" s="1568"/>
      <c r="N573" s="1562"/>
      <c r="O573" s="1555"/>
      <c r="P573" s="1555"/>
      <c r="Q573" s="1555"/>
      <c r="R573" s="1555"/>
      <c r="S573" s="1555"/>
      <c r="T573" s="1555"/>
      <c r="U573" s="1555"/>
      <c r="V573" s="1555"/>
      <c r="W573" s="1555"/>
      <c r="X573" s="1555"/>
      <c r="Y573" s="1555"/>
      <c r="Z573" s="1555"/>
      <c r="AA573" s="1555"/>
      <c r="AB573" s="1555"/>
      <c r="AC573" s="1555"/>
      <c r="AD573" s="1555"/>
      <c r="AE573" s="1555"/>
      <c r="AF573" s="1555"/>
      <c r="AG573" s="1555"/>
      <c r="AH573" s="1555"/>
      <c r="AI573" s="1555"/>
      <c r="AJ573" s="1555"/>
      <c r="AK573" s="1555"/>
    </row>
    <row r="574" spans="1:37" s="1373" customFormat="1">
      <c r="A574" s="1371"/>
      <c r="B574" s="1371"/>
      <c r="C574" s="75" t="s">
        <v>1339</v>
      </c>
      <c r="D574" s="44"/>
      <c r="E574" s="1838"/>
      <c r="F574" s="44"/>
      <c r="G574" s="148"/>
      <c r="H574" s="147">
        <f>+H571/H572</f>
        <v>1.4208441555887505</v>
      </c>
      <c r="I574" s="147">
        <f>+I571/I572</f>
        <v>12.730275501931221</v>
      </c>
      <c r="J574" s="1552"/>
      <c r="K574" s="1568"/>
      <c r="L574" s="1568"/>
      <c r="M574" s="1568"/>
      <c r="N574" s="1673"/>
      <c r="O574" s="1555"/>
      <c r="P574" s="1555"/>
      <c r="Q574" s="1555"/>
      <c r="R574" s="1555"/>
      <c r="S574" s="1555"/>
      <c r="T574" s="1555"/>
      <c r="U574" s="1555"/>
      <c r="V574" s="1555"/>
      <c r="W574" s="1555"/>
      <c r="X574" s="1555"/>
      <c r="Y574" s="1555"/>
      <c r="Z574" s="1555"/>
      <c r="AA574" s="1555"/>
      <c r="AB574" s="1555"/>
      <c r="AC574" s="1555"/>
      <c r="AD574" s="1555"/>
      <c r="AE574" s="1555"/>
      <c r="AF574" s="1555"/>
      <c r="AG574" s="1555"/>
      <c r="AH574" s="1555"/>
      <c r="AI574" s="1555"/>
      <c r="AJ574" s="1555"/>
      <c r="AK574" s="1555"/>
    </row>
    <row r="575" spans="1:37" s="1373" customFormat="1">
      <c r="A575" s="1371"/>
      <c r="B575" s="1371"/>
      <c r="C575" s="74"/>
      <c r="D575" s="44"/>
      <c r="E575" s="1838"/>
      <c r="F575" s="44"/>
      <c r="G575" s="1388"/>
      <c r="H575" s="149"/>
      <c r="I575" s="149"/>
      <c r="J575" s="1552"/>
      <c r="K575" s="1568"/>
      <c r="L575" s="1568"/>
      <c r="M575" s="1568"/>
      <c r="N575" s="1674"/>
      <c r="O575" s="1555"/>
      <c r="P575" s="1555"/>
      <c r="Q575" s="1555"/>
      <c r="R575" s="1555"/>
      <c r="S575" s="1555"/>
      <c r="T575" s="1555"/>
      <c r="U575" s="1555"/>
      <c r="V575" s="1555"/>
      <c r="W575" s="1555"/>
      <c r="X575" s="1555"/>
      <c r="Y575" s="1555"/>
      <c r="Z575" s="1555"/>
      <c r="AA575" s="1555"/>
      <c r="AB575" s="1555"/>
      <c r="AC575" s="1555"/>
      <c r="AD575" s="1555"/>
      <c r="AE575" s="1555"/>
      <c r="AF575" s="1555"/>
      <c r="AG575" s="1555"/>
      <c r="AH575" s="1555"/>
      <c r="AI575" s="1555"/>
      <c r="AJ575" s="1555"/>
      <c r="AK575" s="1555"/>
    </row>
    <row r="576" spans="1:37" s="1373" customFormat="1">
      <c r="A576" s="1371"/>
      <c r="B576" s="1371"/>
      <c r="C576" s="132" t="s">
        <v>1340</v>
      </c>
      <c r="D576" s="44"/>
      <c r="E576" s="1838"/>
      <c r="F576" s="44"/>
      <c r="G576" s="1388"/>
      <c r="H576" s="40"/>
      <c r="I576" s="21"/>
      <c r="J576" s="1561"/>
      <c r="K576" s="1562"/>
      <c r="L576" s="1562"/>
      <c r="M576" s="1562"/>
      <c r="N576" s="1562"/>
      <c r="O576" s="1555"/>
      <c r="P576" s="1555"/>
      <c r="Q576" s="1555"/>
      <c r="R576" s="1555"/>
      <c r="S576" s="1555"/>
      <c r="T576" s="1555"/>
      <c r="U576" s="1555"/>
      <c r="V576" s="1555"/>
      <c r="W576" s="1555"/>
      <c r="X576" s="1555"/>
      <c r="Y576" s="1555"/>
      <c r="Z576" s="1555"/>
      <c r="AA576" s="1555"/>
      <c r="AB576" s="1555"/>
      <c r="AC576" s="1555"/>
      <c r="AD576" s="1555"/>
      <c r="AE576" s="1555"/>
      <c r="AF576" s="1555"/>
      <c r="AG576" s="1555"/>
      <c r="AH576" s="1555"/>
      <c r="AI576" s="1555"/>
      <c r="AJ576" s="1555"/>
      <c r="AK576" s="1555"/>
    </row>
    <row r="577" spans="1:37" s="1373" customFormat="1" ht="13.5" customHeight="1">
      <c r="A577" s="1371"/>
      <c r="B577" s="1371"/>
      <c r="C577" s="74"/>
      <c r="D577" s="44"/>
      <c r="E577" s="1838"/>
      <c r="F577" s="44"/>
      <c r="G577" s="1388"/>
      <c r="H577" s="40"/>
      <c r="I577" s="21"/>
      <c r="J577" s="1561"/>
      <c r="K577" s="1562"/>
      <c r="L577" s="1562"/>
      <c r="M577" s="1562"/>
      <c r="N577" s="1562"/>
      <c r="O577" s="1555"/>
      <c r="P577" s="1555"/>
      <c r="Q577" s="1555"/>
      <c r="R577" s="1555"/>
      <c r="S577" s="1555"/>
      <c r="T577" s="1555"/>
      <c r="U577" s="1555"/>
      <c r="V577" s="1555"/>
      <c r="W577" s="1555"/>
      <c r="X577" s="1555"/>
      <c r="Y577" s="1555"/>
      <c r="Z577" s="1555"/>
      <c r="AA577" s="1555"/>
      <c r="AB577" s="1555"/>
      <c r="AC577" s="1555"/>
      <c r="AD577" s="1555"/>
      <c r="AE577" s="1555"/>
      <c r="AF577" s="1555"/>
      <c r="AG577" s="1555"/>
      <c r="AH577" s="1555"/>
      <c r="AI577" s="1555"/>
      <c r="AJ577" s="1555"/>
      <c r="AK577" s="1555"/>
    </row>
    <row r="578" spans="1:37" s="1373" customFormat="1">
      <c r="A578" s="1371"/>
      <c r="B578" s="1371"/>
      <c r="C578" s="74" t="s">
        <v>1341</v>
      </c>
      <c r="D578" s="44"/>
      <c r="E578" s="1838"/>
      <c r="F578" s="44"/>
      <c r="G578" s="1388"/>
      <c r="H578" s="40"/>
      <c r="I578" s="21"/>
      <c r="J578" s="1561"/>
      <c r="K578" s="1562"/>
      <c r="L578" s="1562"/>
      <c r="M578" s="1562"/>
      <c r="N578" s="1562"/>
      <c r="O578" s="1555"/>
      <c r="P578" s="1555"/>
      <c r="Q578" s="1555"/>
      <c r="R578" s="1555"/>
      <c r="S578" s="1555"/>
      <c r="T578" s="1555"/>
      <c r="U578" s="1555"/>
      <c r="V578" s="1555"/>
      <c r="W578" s="1555"/>
      <c r="X578" s="1555"/>
      <c r="Y578" s="1555"/>
      <c r="Z578" s="1555"/>
      <c r="AA578" s="1555"/>
      <c r="AB578" s="1555"/>
      <c r="AC578" s="1555"/>
      <c r="AD578" s="1555"/>
      <c r="AE578" s="1555"/>
      <c r="AF578" s="1555"/>
      <c r="AG578" s="1555"/>
      <c r="AH578" s="1555"/>
      <c r="AI578" s="1555"/>
      <c r="AJ578" s="1555"/>
      <c r="AK578" s="1555"/>
    </row>
    <row r="579" spans="1:37" s="1373" customFormat="1">
      <c r="A579" s="1371"/>
      <c r="B579" s="1371"/>
      <c r="C579" s="75" t="s">
        <v>1342</v>
      </c>
      <c r="D579" s="44"/>
      <c r="E579" s="1838"/>
      <c r="F579" s="44"/>
      <c r="G579" s="1388"/>
      <c r="H579" s="40">
        <f>+'CLOSING STOCK21-22'!J26</f>
        <v>160474427</v>
      </c>
      <c r="I579" s="19">
        <v>101798866</v>
      </c>
      <c r="J579" s="1566"/>
      <c r="K579" s="1567"/>
      <c r="L579" s="1567"/>
      <c r="M579" s="1567"/>
      <c r="N579" s="1562"/>
      <c r="O579" s="1555"/>
      <c r="P579" s="1555"/>
      <c r="Q579" s="1555"/>
      <c r="R579" s="1555"/>
      <c r="S579" s="1555"/>
      <c r="T579" s="1555"/>
      <c r="U579" s="1555"/>
      <c r="V579" s="1555"/>
      <c r="W579" s="1555"/>
      <c r="X579" s="1555"/>
      <c r="Y579" s="1555"/>
      <c r="Z579" s="1555"/>
      <c r="AA579" s="1555"/>
      <c r="AB579" s="1555"/>
      <c r="AC579" s="1555"/>
      <c r="AD579" s="1555"/>
      <c r="AE579" s="1555"/>
      <c r="AF579" s="1555"/>
      <c r="AG579" s="1555"/>
      <c r="AH579" s="1555"/>
      <c r="AI579" s="1555"/>
      <c r="AJ579" s="1555"/>
      <c r="AK579" s="1555"/>
    </row>
    <row r="580" spans="1:37" s="1373" customFormat="1">
      <c r="A580" s="1371"/>
      <c r="B580" s="1371"/>
      <c r="C580" s="75" t="s">
        <v>3391</v>
      </c>
      <c r="D580" s="44"/>
      <c r="E580" s="1838"/>
      <c r="F580" s="44"/>
      <c r="G580" s="1388"/>
      <c r="H580" s="40">
        <v>4814932</v>
      </c>
      <c r="I580" s="19">
        <v>526167</v>
      </c>
      <c r="J580" s="1566"/>
      <c r="K580" s="1567"/>
      <c r="L580" s="1567"/>
      <c r="M580" s="1567"/>
      <c r="N580" s="1567"/>
      <c r="O580" s="1555"/>
      <c r="P580" s="1555"/>
      <c r="Q580" s="1555"/>
      <c r="R580" s="1555"/>
      <c r="S580" s="1555"/>
      <c r="T580" s="1555"/>
      <c r="U580" s="1555"/>
      <c r="V580" s="1555"/>
      <c r="W580" s="1555"/>
      <c r="X580" s="1555"/>
      <c r="Y580" s="1555"/>
      <c r="Z580" s="1555"/>
      <c r="AA580" s="1555"/>
      <c r="AB580" s="1555"/>
      <c r="AC580" s="1555"/>
      <c r="AD580" s="1555"/>
      <c r="AE580" s="1555"/>
      <c r="AF580" s="1555"/>
      <c r="AG580" s="1555"/>
      <c r="AH580" s="1555"/>
      <c r="AI580" s="1555"/>
      <c r="AJ580" s="1555"/>
      <c r="AK580" s="1555"/>
    </row>
    <row r="581" spans="1:37" s="1373" customFormat="1">
      <c r="A581" s="1371"/>
      <c r="B581" s="1371"/>
      <c r="C581" s="75" t="s">
        <v>1343</v>
      </c>
      <c r="D581" s="44"/>
      <c r="E581" s="1838"/>
      <c r="F581" s="44"/>
      <c r="G581" s="1388"/>
      <c r="H581" s="40">
        <v>586974</v>
      </c>
      <c r="I581" s="19">
        <v>981985</v>
      </c>
      <c r="J581" s="1566"/>
      <c r="K581" s="1567"/>
      <c r="L581" s="1567"/>
      <c r="M581" s="1567"/>
      <c r="N581" s="1567"/>
      <c r="O581" s="1555"/>
      <c r="P581" s="1555"/>
      <c r="Q581" s="1555"/>
      <c r="R581" s="1555"/>
      <c r="S581" s="1555"/>
      <c r="T581" s="1555"/>
      <c r="U581" s="1555"/>
      <c r="V581" s="1555"/>
      <c r="W581" s="1555"/>
      <c r="X581" s="1555"/>
      <c r="Y581" s="1555"/>
      <c r="Z581" s="1555"/>
      <c r="AA581" s="1555"/>
      <c r="AB581" s="1555"/>
      <c r="AC581" s="1555"/>
      <c r="AD581" s="1555"/>
      <c r="AE581" s="1555"/>
      <c r="AF581" s="1555"/>
      <c r="AG581" s="1555"/>
      <c r="AH581" s="1555"/>
      <c r="AI581" s="1555"/>
      <c r="AJ581" s="1555"/>
      <c r="AK581" s="1555"/>
    </row>
    <row r="582" spans="1:37" s="1373" customFormat="1" ht="11.25" customHeight="1">
      <c r="A582" s="1371"/>
      <c r="B582" s="1371"/>
      <c r="C582" s="74"/>
      <c r="D582" s="44"/>
      <c r="E582" s="1838"/>
      <c r="F582" s="44"/>
      <c r="G582" s="1388"/>
      <c r="H582" s="40"/>
      <c r="I582" s="21"/>
      <c r="J582" s="1561"/>
      <c r="K582" s="1562"/>
      <c r="L582" s="1562"/>
      <c r="M582" s="1562"/>
      <c r="N582" s="1567"/>
      <c r="O582" s="1555"/>
      <c r="P582" s="1555"/>
      <c r="Q582" s="1555"/>
      <c r="R582" s="1555"/>
      <c r="S582" s="1555"/>
      <c r="T582" s="1555"/>
      <c r="U582" s="1555"/>
      <c r="V582" s="1555"/>
      <c r="W582" s="1555"/>
      <c r="X582" s="1555"/>
      <c r="Y582" s="1555"/>
      <c r="Z582" s="1555"/>
      <c r="AA582" s="1555"/>
      <c r="AB582" s="1555"/>
      <c r="AC582" s="1555"/>
      <c r="AD582" s="1555"/>
      <c r="AE582" s="1555"/>
      <c r="AF582" s="1555"/>
      <c r="AG582" s="1555"/>
      <c r="AH582" s="1555"/>
      <c r="AI582" s="1555"/>
      <c r="AJ582" s="1555"/>
      <c r="AK582" s="1555"/>
    </row>
    <row r="583" spans="1:37" s="1373" customFormat="1">
      <c r="A583" s="1371"/>
      <c r="B583" s="1371"/>
      <c r="C583" s="74" t="s">
        <v>1344</v>
      </c>
      <c r="D583" s="44"/>
      <c r="E583" s="1838"/>
      <c r="F583" s="44"/>
      <c r="G583" s="1388"/>
      <c r="H583" s="40"/>
      <c r="I583" s="21"/>
      <c r="J583" s="1561"/>
      <c r="K583" s="1562"/>
      <c r="L583" s="1562"/>
      <c r="M583" s="1562"/>
      <c r="N583" s="1562"/>
      <c r="O583" s="1555"/>
      <c r="P583" s="1555"/>
      <c r="Q583" s="1555"/>
      <c r="R583" s="1555"/>
      <c r="S583" s="1555"/>
      <c r="T583" s="1555"/>
      <c r="U583" s="1555"/>
      <c r="V583" s="1555"/>
      <c r="W583" s="1555"/>
      <c r="X583" s="1555"/>
      <c r="Y583" s="1555"/>
      <c r="Z583" s="1555"/>
      <c r="AA583" s="1555"/>
      <c r="AB583" s="1555"/>
      <c r="AC583" s="1555"/>
      <c r="AD583" s="1555"/>
      <c r="AE583" s="1555"/>
      <c r="AF583" s="1555"/>
      <c r="AG583" s="1555"/>
      <c r="AH583" s="1555"/>
      <c r="AI583" s="1555"/>
      <c r="AJ583" s="1555"/>
      <c r="AK583" s="1555"/>
    </row>
    <row r="584" spans="1:37" s="1373" customFormat="1">
      <c r="A584" s="1371"/>
      <c r="B584" s="1371"/>
      <c r="C584" s="74" t="s">
        <v>1345</v>
      </c>
      <c r="D584" s="44"/>
      <c r="E584" s="1838"/>
      <c r="F584" s="44"/>
      <c r="G584" s="1388"/>
      <c r="H584" s="40"/>
      <c r="I584" s="21"/>
      <c r="J584" s="1561"/>
      <c r="K584" s="1562"/>
      <c r="L584" s="1562"/>
      <c r="M584" s="1562"/>
      <c r="N584" s="1562"/>
      <c r="O584" s="1555"/>
      <c r="P584" s="1555"/>
      <c r="Q584" s="1555"/>
      <c r="R584" s="1555"/>
      <c r="S584" s="1555"/>
      <c r="T584" s="1555"/>
      <c r="U584" s="1555"/>
      <c r="V584" s="1555"/>
      <c r="W584" s="1555"/>
      <c r="X584" s="1555"/>
      <c r="Y584" s="1555"/>
      <c r="Z584" s="1555"/>
      <c r="AA584" s="1555"/>
      <c r="AB584" s="1555"/>
      <c r="AC584" s="1555"/>
      <c r="AD584" s="1555"/>
      <c r="AE584" s="1555"/>
      <c r="AF584" s="1555"/>
      <c r="AG584" s="1555"/>
      <c r="AH584" s="1555"/>
      <c r="AI584" s="1555"/>
      <c r="AJ584" s="1555"/>
      <c r="AK584" s="1555"/>
    </row>
    <row r="585" spans="1:37" s="1373" customFormat="1">
      <c r="A585" s="1371"/>
      <c r="B585" s="1371"/>
      <c r="C585" s="75" t="s">
        <v>1346</v>
      </c>
      <c r="D585" s="44"/>
      <c r="E585" s="1838"/>
      <c r="F585" s="44"/>
      <c r="G585" s="1388"/>
      <c r="H585" s="40">
        <f>+'CLOSING STOCK21-22'!P28</f>
        <v>20524475</v>
      </c>
      <c r="I585" s="19">
        <v>39601793</v>
      </c>
      <c r="J585" s="1566"/>
      <c r="K585" s="1567"/>
      <c r="L585" s="1567"/>
      <c r="M585" s="1567"/>
      <c r="N585" s="1562"/>
      <c r="O585" s="1555"/>
      <c r="P585" s="1555"/>
      <c r="Q585" s="1555"/>
      <c r="R585" s="1555"/>
      <c r="S585" s="1555"/>
      <c r="T585" s="1555"/>
      <c r="U585" s="1555"/>
      <c r="V585" s="1555"/>
      <c r="W585" s="1555"/>
      <c r="X585" s="1555"/>
      <c r="Y585" s="1555"/>
      <c r="Z585" s="1555"/>
      <c r="AA585" s="1555"/>
      <c r="AB585" s="1555"/>
      <c r="AC585" s="1555"/>
      <c r="AD585" s="1555"/>
      <c r="AE585" s="1555"/>
      <c r="AF585" s="1555"/>
      <c r="AG585" s="1555"/>
      <c r="AH585" s="1555"/>
      <c r="AI585" s="1555"/>
      <c r="AJ585" s="1555"/>
      <c r="AK585" s="1555"/>
    </row>
    <row r="586" spans="1:37" s="1373" customFormat="1">
      <c r="A586" s="1371"/>
      <c r="B586" s="1371"/>
      <c r="C586" s="75" t="s">
        <v>1347</v>
      </c>
      <c r="D586" s="44"/>
      <c r="E586" s="1838"/>
      <c r="F586" s="44"/>
      <c r="G586" s="1388"/>
      <c r="H586" s="40">
        <f>+'CLOSING STOCK21-22'!P32</f>
        <v>2975248</v>
      </c>
      <c r="I586" s="19">
        <v>2369793</v>
      </c>
      <c r="J586" s="1566"/>
      <c r="K586" s="1567"/>
      <c r="L586" s="1567"/>
      <c r="M586" s="1567"/>
      <c r="N586" s="1567"/>
      <c r="O586" s="1555"/>
      <c r="P586" s="1555"/>
      <c r="Q586" s="1555"/>
      <c r="R586" s="1555"/>
      <c r="S586" s="1555"/>
      <c r="T586" s="1555"/>
      <c r="U586" s="1555"/>
      <c r="V586" s="1555"/>
      <c r="W586" s="1555"/>
      <c r="X586" s="1555"/>
      <c r="Y586" s="1555"/>
      <c r="Z586" s="1555"/>
      <c r="AA586" s="1555"/>
      <c r="AB586" s="1555"/>
      <c r="AC586" s="1555"/>
      <c r="AD586" s="1555"/>
      <c r="AE586" s="1555"/>
      <c r="AF586" s="1555"/>
      <c r="AG586" s="1555"/>
      <c r="AH586" s="1555"/>
      <c r="AI586" s="1555"/>
      <c r="AJ586" s="1555"/>
      <c r="AK586" s="1555"/>
    </row>
    <row r="587" spans="1:37" s="1373" customFormat="1" ht="12.75" customHeight="1">
      <c r="A587" s="1371"/>
      <c r="B587" s="1371"/>
      <c r="C587" s="74"/>
      <c r="D587" s="44"/>
      <c r="E587" s="1838"/>
      <c r="F587" s="44"/>
      <c r="G587" s="1388"/>
      <c r="H587" s="40"/>
      <c r="I587" s="21"/>
      <c r="J587" s="1561"/>
      <c r="K587" s="1562"/>
      <c r="L587" s="1562"/>
      <c r="M587" s="1562"/>
      <c r="N587" s="1567"/>
      <c r="O587" s="1555"/>
      <c r="P587" s="1555"/>
      <c r="Q587" s="1555"/>
      <c r="R587" s="1555"/>
      <c r="S587" s="1555"/>
      <c r="T587" s="1555"/>
      <c r="U587" s="1555"/>
      <c r="V587" s="1555"/>
      <c r="W587" s="1555"/>
      <c r="X587" s="1555"/>
      <c r="Y587" s="1555"/>
      <c r="Z587" s="1555"/>
      <c r="AA587" s="1555"/>
      <c r="AB587" s="1555"/>
      <c r="AC587" s="1555"/>
      <c r="AD587" s="1555"/>
      <c r="AE587" s="1555"/>
      <c r="AF587" s="1555"/>
      <c r="AG587" s="1555"/>
      <c r="AH587" s="1555"/>
      <c r="AI587" s="1555"/>
      <c r="AJ587" s="1555"/>
      <c r="AK587" s="1555"/>
    </row>
    <row r="588" spans="1:37" s="1373" customFormat="1">
      <c r="A588" s="1371"/>
      <c r="B588" s="1371"/>
      <c r="C588" s="74" t="s">
        <v>1348</v>
      </c>
      <c r="D588" s="44"/>
      <c r="E588" s="1838"/>
      <c r="F588" s="44"/>
      <c r="G588" s="1388"/>
      <c r="H588" s="40"/>
      <c r="I588" s="21"/>
      <c r="J588" s="1561"/>
      <c r="K588" s="1562"/>
      <c r="L588" s="1562"/>
      <c r="M588" s="1562"/>
      <c r="N588" s="1562"/>
      <c r="O588" s="1555"/>
      <c r="P588" s="1555"/>
      <c r="Q588" s="1555"/>
      <c r="R588" s="1555"/>
      <c r="S588" s="1555"/>
      <c r="T588" s="1555"/>
      <c r="U588" s="1555"/>
      <c r="V588" s="1555"/>
      <c r="W588" s="1555"/>
      <c r="X588" s="1555"/>
      <c r="Y588" s="1555"/>
      <c r="Z588" s="1555"/>
      <c r="AA588" s="1555"/>
      <c r="AB588" s="1555"/>
      <c r="AC588" s="1555"/>
      <c r="AD588" s="1555"/>
      <c r="AE588" s="1555"/>
      <c r="AF588" s="1555"/>
      <c r="AG588" s="1555"/>
      <c r="AH588" s="1555"/>
      <c r="AI588" s="1555"/>
      <c r="AJ588" s="1555"/>
      <c r="AK588" s="1555"/>
    </row>
    <row r="589" spans="1:37" s="1373" customFormat="1">
      <c r="A589" s="1371"/>
      <c r="B589" s="1371"/>
      <c r="C589" s="75" t="s">
        <v>1349</v>
      </c>
      <c r="D589" s="44"/>
      <c r="E589" s="1838"/>
      <c r="F589" s="44"/>
      <c r="G589" s="1388"/>
      <c r="H589" s="40">
        <f>+'FG Valuation'!G35</f>
        <v>17088292</v>
      </c>
      <c r="I589" s="19">
        <v>8237782</v>
      </c>
      <c r="J589" s="1566"/>
      <c r="K589" s="1567"/>
      <c r="L589" s="1567"/>
      <c r="M589" s="1567"/>
      <c r="N589" s="1562"/>
      <c r="O589" s="1555"/>
      <c r="P589" s="1555"/>
      <c r="Q589" s="1555"/>
      <c r="R589" s="1555"/>
      <c r="S589" s="1555"/>
      <c r="T589" s="1555"/>
      <c r="U589" s="1555"/>
      <c r="V589" s="1555"/>
      <c r="W589" s="1555"/>
      <c r="X589" s="1555"/>
      <c r="Y589" s="1555"/>
      <c r="Z589" s="1555"/>
      <c r="AA589" s="1555"/>
      <c r="AB589" s="1555"/>
      <c r="AC589" s="1555"/>
      <c r="AD589" s="1555"/>
      <c r="AE589" s="1555"/>
      <c r="AF589" s="1555"/>
      <c r="AG589" s="1555"/>
      <c r="AH589" s="1555"/>
      <c r="AI589" s="1555"/>
      <c r="AJ589" s="1555"/>
      <c r="AK589" s="1555"/>
    </row>
    <row r="590" spans="1:37" s="1373" customFormat="1">
      <c r="A590" s="1371"/>
      <c r="B590" s="1371"/>
      <c r="C590" s="75" t="s">
        <v>1350</v>
      </c>
      <c r="D590" s="44"/>
      <c r="E590" s="1838"/>
      <c r="F590" s="44"/>
      <c r="G590" s="1388"/>
      <c r="H590" s="40">
        <v>0</v>
      </c>
      <c r="I590" s="19">
        <v>7862030</v>
      </c>
      <c r="J590" s="1566"/>
      <c r="K590" s="1567"/>
      <c r="L590" s="1567"/>
      <c r="M590" s="1567"/>
      <c r="N590" s="1562"/>
      <c r="O590" s="1555"/>
      <c r="P590" s="1555"/>
      <c r="Q590" s="1555"/>
      <c r="R590" s="1555"/>
      <c r="S590" s="1555"/>
      <c r="T590" s="1555"/>
      <c r="U590" s="1555"/>
      <c r="V590" s="1555"/>
      <c r="W590" s="1555"/>
      <c r="X590" s="1555"/>
      <c r="Y590" s="1555"/>
      <c r="Z590" s="1555"/>
      <c r="AA590" s="1555"/>
      <c r="AB590" s="1555"/>
      <c r="AC590" s="1555"/>
      <c r="AD590" s="1555"/>
      <c r="AE590" s="1555"/>
      <c r="AF590" s="1555"/>
      <c r="AG590" s="1555"/>
      <c r="AH590" s="1555"/>
      <c r="AI590" s="1555"/>
      <c r="AJ590" s="1555"/>
      <c r="AK590" s="1555"/>
    </row>
    <row r="591" spans="1:37" s="1373" customFormat="1" ht="9" customHeight="1">
      <c r="A591" s="1371"/>
      <c r="B591" s="1371"/>
      <c r="C591" s="74"/>
      <c r="D591" s="44"/>
      <c r="E591" s="1838"/>
      <c r="F591" s="44"/>
      <c r="G591" s="1388"/>
      <c r="H591" s="40"/>
      <c r="I591" s="21"/>
      <c r="J591" s="1561"/>
      <c r="K591" s="1562"/>
      <c r="L591" s="1562"/>
      <c r="M591" s="1562"/>
      <c r="N591" s="1567"/>
      <c r="O591" s="1555"/>
      <c r="P591" s="1555"/>
      <c r="Q591" s="1555"/>
      <c r="R591" s="1555"/>
      <c r="S591" s="1555"/>
      <c r="T591" s="1555"/>
      <c r="U591" s="1555"/>
      <c r="V591" s="1555"/>
      <c r="W591" s="1555"/>
      <c r="X591" s="1555"/>
      <c r="Y591" s="1555"/>
      <c r="Z591" s="1555"/>
      <c r="AA591" s="1555"/>
      <c r="AB591" s="1555"/>
      <c r="AC591" s="1555"/>
      <c r="AD591" s="1555"/>
      <c r="AE591" s="1555"/>
      <c r="AF591" s="1555"/>
      <c r="AG591" s="1555"/>
      <c r="AH591" s="1555"/>
      <c r="AI591" s="1555"/>
      <c r="AJ591" s="1555"/>
      <c r="AK591" s="1555"/>
    </row>
    <row r="592" spans="1:37" s="1373" customFormat="1">
      <c r="A592" s="1371"/>
      <c r="B592" s="1371"/>
      <c r="C592" s="2163" t="s">
        <v>1351</v>
      </c>
      <c r="D592" s="2164"/>
      <c r="E592" s="2164"/>
      <c r="F592" s="2164"/>
      <c r="G592" s="2165"/>
      <c r="H592" s="150"/>
      <c r="I592" s="21"/>
      <c r="J592" s="1561"/>
      <c r="K592" s="1562"/>
      <c r="L592" s="1562"/>
      <c r="M592" s="1562"/>
      <c r="N592" s="1562"/>
      <c r="O592" s="1555"/>
      <c r="P592" s="1555"/>
      <c r="Q592" s="1555"/>
      <c r="R592" s="1555"/>
      <c r="S592" s="1555"/>
      <c r="T592" s="1555"/>
      <c r="U592" s="1555"/>
      <c r="V592" s="1555"/>
      <c r="W592" s="1555"/>
      <c r="X592" s="1555"/>
      <c r="Y592" s="1555"/>
      <c r="Z592" s="1555"/>
      <c r="AA592" s="1555"/>
      <c r="AB592" s="1555"/>
      <c r="AC592" s="1555"/>
      <c r="AD592" s="1555"/>
      <c r="AE592" s="1555"/>
      <c r="AF592" s="1555"/>
      <c r="AG592" s="1555"/>
      <c r="AH592" s="1555"/>
      <c r="AI592" s="1555"/>
      <c r="AJ592" s="1555"/>
      <c r="AK592" s="1555"/>
    </row>
    <row r="593" spans="1:37" s="1373" customFormat="1">
      <c r="A593" s="1371"/>
      <c r="B593" s="1371"/>
      <c r="C593" s="1089" t="s">
        <v>1352</v>
      </c>
      <c r="D593" s="1090"/>
      <c r="E593" s="1876"/>
      <c r="F593" s="1090"/>
      <c r="G593" s="1091"/>
      <c r="H593" s="150"/>
      <c r="I593" s="21"/>
      <c r="J593" s="1561"/>
      <c r="K593" s="1562"/>
      <c r="L593" s="1562"/>
      <c r="M593" s="1562"/>
      <c r="N593" s="1562"/>
      <c r="O593" s="1555"/>
      <c r="P593" s="1555"/>
      <c r="Q593" s="1555"/>
      <c r="R593" s="1555"/>
      <c r="S593" s="1555"/>
      <c r="T593" s="1555"/>
      <c r="U593" s="1555"/>
      <c r="V593" s="1555"/>
      <c r="W593" s="1555"/>
      <c r="X593" s="1555"/>
      <c r="Y593" s="1555"/>
      <c r="Z593" s="1555"/>
      <c r="AA593" s="1555"/>
      <c r="AB593" s="1555"/>
      <c r="AC593" s="1555"/>
      <c r="AD593" s="1555"/>
      <c r="AE593" s="1555"/>
      <c r="AF593" s="1555"/>
      <c r="AG593" s="1555"/>
      <c r="AH593" s="1555"/>
      <c r="AI593" s="1555"/>
      <c r="AJ593" s="1555"/>
      <c r="AK593" s="1555"/>
    </row>
    <row r="594" spans="1:37" s="1373" customFormat="1">
      <c r="A594" s="1371"/>
      <c r="B594" s="1371"/>
      <c r="C594" s="1089" t="s">
        <v>1353</v>
      </c>
      <c r="D594" s="1090"/>
      <c r="E594" s="1876"/>
      <c r="F594" s="1090"/>
      <c r="G594" s="1091"/>
      <c r="H594" s="150"/>
      <c r="I594" s="21"/>
      <c r="J594" s="1561"/>
      <c r="K594" s="1562"/>
      <c r="L594" s="1562"/>
      <c r="M594" s="1562"/>
      <c r="N594" s="1562"/>
      <c r="O594" s="1555"/>
      <c r="P594" s="1555"/>
      <c r="Q594" s="1555"/>
      <c r="R594" s="1555"/>
      <c r="S594" s="1555"/>
      <c r="T594" s="1555"/>
      <c r="U594" s="1555"/>
      <c r="V594" s="1555"/>
      <c r="W594" s="1555"/>
      <c r="X594" s="1555"/>
      <c r="Y594" s="1555"/>
      <c r="Z594" s="1555"/>
      <c r="AA594" s="1555"/>
      <c r="AB594" s="1555"/>
      <c r="AC594" s="1555"/>
      <c r="AD594" s="1555"/>
      <c r="AE594" s="1555"/>
      <c r="AF594" s="1555"/>
      <c r="AG594" s="1555"/>
      <c r="AH594" s="1555"/>
      <c r="AI594" s="1555"/>
      <c r="AJ594" s="1555"/>
      <c r="AK594" s="1555"/>
    </row>
    <row r="595" spans="1:37" s="1373" customFormat="1">
      <c r="A595" s="1371"/>
      <c r="B595" s="1371"/>
      <c r="C595" s="141" t="s">
        <v>1346</v>
      </c>
      <c r="D595" s="44"/>
      <c r="E595" s="1838"/>
      <c r="F595" s="44"/>
      <c r="G595" s="1388"/>
      <c r="H595" s="40"/>
      <c r="I595" s="21"/>
      <c r="J595" s="1561"/>
      <c r="K595" s="1562"/>
      <c r="L595" s="1562"/>
      <c r="M595" s="1562"/>
      <c r="N595" s="1562"/>
      <c r="O595" s="1555"/>
      <c r="P595" s="1555"/>
      <c r="Q595" s="1555"/>
      <c r="R595" s="1555"/>
      <c r="S595" s="1555"/>
      <c r="T595" s="1555"/>
      <c r="U595" s="1555"/>
      <c r="V595" s="1555"/>
      <c r="W595" s="1555"/>
      <c r="X595" s="1555"/>
      <c r="Y595" s="1555"/>
      <c r="Z595" s="1555"/>
      <c r="AA595" s="1555"/>
      <c r="AB595" s="1555"/>
      <c r="AC595" s="1555"/>
      <c r="AD595" s="1555"/>
      <c r="AE595" s="1555"/>
      <c r="AF595" s="1555"/>
      <c r="AG595" s="1555"/>
      <c r="AH595" s="1555"/>
      <c r="AI595" s="1555"/>
      <c r="AJ595" s="1555"/>
      <c r="AK595" s="1555"/>
    </row>
    <row r="596" spans="1:37" s="1373" customFormat="1">
      <c r="A596" s="1371"/>
      <c r="B596" s="1371"/>
      <c r="C596" s="75" t="s">
        <v>1354</v>
      </c>
      <c r="D596" s="44"/>
      <c r="E596" s="1838"/>
      <c r="F596" s="44"/>
      <c r="G596" s="1388"/>
      <c r="H596" s="40">
        <f>+'CLOSING STOCK21-22'!M26</f>
        <v>183418092</v>
      </c>
      <c r="I596" s="19">
        <v>129943471</v>
      </c>
      <c r="J596" s="1566"/>
      <c r="K596" s="1567"/>
      <c r="L596" s="1567"/>
      <c r="M596" s="1567"/>
      <c r="N596" s="1562"/>
      <c r="O596" s="1555"/>
      <c r="P596" s="1555"/>
      <c r="Q596" s="1555"/>
      <c r="R596" s="1555"/>
      <c r="S596" s="1555"/>
      <c r="T596" s="1555"/>
      <c r="U596" s="1555"/>
      <c r="V596" s="1555"/>
      <c r="W596" s="1555"/>
      <c r="X596" s="1555"/>
      <c r="Y596" s="1555"/>
      <c r="Z596" s="1555"/>
      <c r="AA596" s="1555"/>
      <c r="AB596" s="1555"/>
      <c r="AC596" s="1555"/>
      <c r="AD596" s="1555"/>
      <c r="AE596" s="1555"/>
      <c r="AF596" s="1555"/>
      <c r="AG596" s="1555"/>
      <c r="AH596" s="1555"/>
      <c r="AI596" s="1555"/>
      <c r="AJ596" s="1555"/>
      <c r="AK596" s="1555"/>
    </row>
    <row r="597" spans="1:37" s="1373" customFormat="1">
      <c r="A597" s="1371"/>
      <c r="B597" s="1371"/>
      <c r="C597" s="75" t="s">
        <v>1355</v>
      </c>
      <c r="D597" s="44"/>
      <c r="E597" s="1838"/>
      <c r="F597" s="44"/>
      <c r="G597" s="1388"/>
      <c r="H597" s="151">
        <f>+H596/(H596+H606)</f>
        <v>0.22408172870255044</v>
      </c>
      <c r="I597" s="151">
        <f>+I596/(I596+I606)</f>
        <v>0.25075396552104656</v>
      </c>
      <c r="J597" s="1675"/>
      <c r="K597" s="1676"/>
      <c r="L597" s="1676"/>
      <c r="M597" s="1676"/>
      <c r="N597" s="1567"/>
      <c r="O597" s="1555"/>
      <c r="P597" s="1555"/>
      <c r="Q597" s="1555"/>
      <c r="R597" s="1555"/>
      <c r="S597" s="1555"/>
      <c r="T597" s="1555"/>
      <c r="U597" s="1555"/>
      <c r="V597" s="1555"/>
      <c r="W597" s="1555"/>
      <c r="X597" s="1555"/>
      <c r="Y597" s="1555"/>
      <c r="Z597" s="1555"/>
      <c r="AA597" s="1555"/>
      <c r="AB597" s="1555"/>
      <c r="AC597" s="1555"/>
      <c r="AD597" s="1555"/>
      <c r="AE597" s="1555"/>
      <c r="AF597" s="1555"/>
      <c r="AG597" s="1555"/>
      <c r="AH597" s="1555"/>
      <c r="AI597" s="1555"/>
      <c r="AJ597" s="1555"/>
      <c r="AK597" s="1555"/>
    </row>
    <row r="598" spans="1:37" s="1373" customFormat="1" ht="13.5" customHeight="1">
      <c r="A598" s="1371"/>
      <c r="B598" s="1371"/>
      <c r="C598" s="74"/>
      <c r="D598" s="44"/>
      <c r="E598" s="1838"/>
      <c r="F598" s="44"/>
      <c r="G598" s="1388"/>
      <c r="H598" s="40"/>
      <c r="I598" s="21"/>
      <c r="J598" s="1561"/>
      <c r="K598" s="1562"/>
      <c r="L598" s="1562"/>
      <c r="M598" s="1562"/>
      <c r="N598" s="1676"/>
      <c r="O598" s="1555"/>
      <c r="P598" s="1555"/>
      <c r="Q598" s="1555"/>
      <c r="R598" s="1555"/>
      <c r="S598" s="1555"/>
      <c r="T598" s="1555"/>
      <c r="U598" s="1555"/>
      <c r="V598" s="1555"/>
      <c r="W598" s="1555"/>
      <c r="X598" s="1555"/>
      <c r="Y598" s="1555"/>
      <c r="Z598" s="1555"/>
      <c r="AA598" s="1555"/>
      <c r="AB598" s="1555"/>
      <c r="AC598" s="1555"/>
      <c r="AD598" s="1555"/>
      <c r="AE598" s="1555"/>
      <c r="AF598" s="1555"/>
      <c r="AG598" s="1555"/>
      <c r="AH598" s="1555"/>
      <c r="AI598" s="1555"/>
      <c r="AJ598" s="1555"/>
      <c r="AK598" s="1555"/>
    </row>
    <row r="599" spans="1:37" s="1373" customFormat="1">
      <c r="A599" s="1371"/>
      <c r="B599" s="1371"/>
      <c r="C599" s="141" t="s">
        <v>1343</v>
      </c>
      <c r="D599" s="44"/>
      <c r="E599" s="1838"/>
      <c r="F599" s="44"/>
      <c r="G599" s="1388"/>
      <c r="H599" s="40"/>
      <c r="I599" s="21"/>
      <c r="J599" s="1561"/>
      <c r="K599" s="1562"/>
      <c r="L599" s="1562"/>
      <c r="M599" s="1562"/>
      <c r="N599" s="1562"/>
      <c r="O599" s="1555"/>
      <c r="P599" s="1555"/>
      <c r="Q599" s="1555"/>
      <c r="R599" s="1555"/>
      <c r="S599" s="1555"/>
      <c r="T599" s="1555"/>
      <c r="U599" s="1555"/>
      <c r="V599" s="1555"/>
      <c r="W599" s="1555"/>
      <c r="X599" s="1555"/>
      <c r="Y599" s="1555"/>
      <c r="Z599" s="1555"/>
      <c r="AA599" s="1555"/>
      <c r="AB599" s="1555"/>
      <c r="AC599" s="1555"/>
      <c r="AD599" s="1555"/>
      <c r="AE599" s="1555"/>
      <c r="AF599" s="1555"/>
      <c r="AG599" s="1555"/>
      <c r="AH599" s="1555"/>
      <c r="AI599" s="1555"/>
      <c r="AJ599" s="1555"/>
      <c r="AK599" s="1555"/>
    </row>
    <row r="600" spans="1:37" s="1373" customFormat="1">
      <c r="A600" s="1371"/>
      <c r="B600" s="1371"/>
      <c r="C600" s="75" t="s">
        <v>1354</v>
      </c>
      <c r="D600" s="44"/>
      <c r="E600" s="1838"/>
      <c r="F600" s="44"/>
      <c r="G600" s="1388"/>
      <c r="H600" s="40">
        <f>+H581</f>
        <v>586974</v>
      </c>
      <c r="I600" s="19">
        <f>+I581</f>
        <v>981985</v>
      </c>
      <c r="J600" s="1566"/>
      <c r="K600" s="1567"/>
      <c r="L600" s="1567"/>
      <c r="M600" s="1567"/>
      <c r="N600" s="1562"/>
      <c r="O600" s="1555"/>
      <c r="P600" s="1555"/>
      <c r="Q600" s="1555"/>
      <c r="R600" s="1555"/>
      <c r="S600" s="1555"/>
      <c r="T600" s="1555"/>
      <c r="U600" s="1555"/>
      <c r="V600" s="1555"/>
      <c r="W600" s="1555"/>
      <c r="X600" s="1555"/>
      <c r="Y600" s="1555"/>
      <c r="Z600" s="1555"/>
      <c r="AA600" s="1555"/>
      <c r="AB600" s="1555"/>
      <c r="AC600" s="1555"/>
      <c r="AD600" s="1555"/>
      <c r="AE600" s="1555"/>
      <c r="AF600" s="1555"/>
      <c r="AG600" s="1555"/>
      <c r="AH600" s="1555"/>
      <c r="AI600" s="1555"/>
      <c r="AJ600" s="1555"/>
      <c r="AK600" s="1555"/>
    </row>
    <row r="601" spans="1:37" s="1373" customFormat="1">
      <c r="A601" s="1371"/>
      <c r="B601" s="1371"/>
      <c r="C601" s="75" t="s">
        <v>1355</v>
      </c>
      <c r="D601" s="44"/>
      <c r="E601" s="1838"/>
      <c r="F601" s="44"/>
      <c r="G601" s="1388"/>
      <c r="H601" s="151">
        <f>+H600/(H600+H614)</f>
        <v>3.3177325789623804E-2</v>
      </c>
      <c r="I601" s="151">
        <f>+I600/(I600+I614)</f>
        <v>0.10687852342352194</v>
      </c>
      <c r="J601" s="1675"/>
      <c r="K601" s="1676"/>
      <c r="L601" s="1676"/>
      <c r="M601" s="1676"/>
      <c r="N601" s="1567"/>
      <c r="O601" s="1555"/>
      <c r="P601" s="1555"/>
      <c r="Q601" s="1555"/>
      <c r="R601" s="1555"/>
      <c r="S601" s="1555"/>
      <c r="T601" s="1555"/>
      <c r="U601" s="1555"/>
      <c r="V601" s="1555"/>
      <c r="W601" s="1555"/>
      <c r="X601" s="1555"/>
      <c r="Y601" s="1555"/>
      <c r="Z601" s="1555"/>
      <c r="AA601" s="1555"/>
      <c r="AB601" s="1555"/>
      <c r="AC601" s="1555"/>
      <c r="AD601" s="1555"/>
      <c r="AE601" s="1555"/>
      <c r="AF601" s="1555"/>
      <c r="AG601" s="1555"/>
      <c r="AH601" s="1555"/>
      <c r="AI601" s="1555"/>
      <c r="AJ601" s="1555"/>
      <c r="AK601" s="1555"/>
    </row>
    <row r="602" spans="1:37" s="1373" customFormat="1" ht="9.75" customHeight="1">
      <c r="A602" s="1371"/>
      <c r="B602" s="1371"/>
      <c r="C602" s="74"/>
      <c r="D602" s="44"/>
      <c r="E602" s="1838"/>
      <c r="F602" s="44"/>
      <c r="G602" s="1388"/>
      <c r="H602" s="40"/>
      <c r="I602" s="21"/>
      <c r="J602" s="1561"/>
      <c r="K602" s="1562"/>
      <c r="L602" s="1562"/>
      <c r="M602" s="1562"/>
      <c r="N602" s="1676"/>
      <c r="O602" s="1555"/>
      <c r="P602" s="1555"/>
      <c r="Q602" s="1555"/>
      <c r="R602" s="1555"/>
      <c r="S602" s="1555"/>
      <c r="T602" s="1555"/>
      <c r="U602" s="1555"/>
      <c r="V602" s="1555"/>
      <c r="W602" s="1555"/>
      <c r="X602" s="1555"/>
      <c r="Y602" s="1555"/>
      <c r="Z602" s="1555"/>
      <c r="AA602" s="1555"/>
      <c r="AB602" s="1555"/>
      <c r="AC602" s="1555"/>
      <c r="AD602" s="1555"/>
      <c r="AE602" s="1555"/>
      <c r="AF602" s="1555"/>
      <c r="AG602" s="1555"/>
      <c r="AH602" s="1555"/>
      <c r="AI602" s="1555"/>
      <c r="AJ602" s="1555"/>
      <c r="AK602" s="1555"/>
    </row>
    <row r="603" spans="1:37" s="1373" customFormat="1">
      <c r="A603" s="1371"/>
      <c r="B603" s="1371"/>
      <c r="C603" s="1089" t="s">
        <v>1356</v>
      </c>
      <c r="D603" s="1090"/>
      <c r="E603" s="1876"/>
      <c r="F603" s="1090"/>
      <c r="G603" s="1091"/>
      <c r="H603" s="150"/>
      <c r="I603" s="21"/>
      <c r="J603" s="1561"/>
      <c r="K603" s="1562"/>
      <c r="L603" s="1562"/>
      <c r="M603" s="1562"/>
      <c r="N603" s="1562"/>
      <c r="O603" s="1555"/>
      <c r="P603" s="1555"/>
      <c r="Q603" s="1555"/>
      <c r="R603" s="1555"/>
      <c r="S603" s="1555"/>
      <c r="T603" s="1555"/>
      <c r="U603" s="1555"/>
      <c r="V603" s="1555"/>
      <c r="W603" s="1555"/>
      <c r="X603" s="1555"/>
      <c r="Y603" s="1555"/>
      <c r="Z603" s="1555"/>
      <c r="AA603" s="1555"/>
      <c r="AB603" s="1555"/>
      <c r="AC603" s="1555"/>
      <c r="AD603" s="1555"/>
      <c r="AE603" s="1555"/>
      <c r="AF603" s="1555"/>
      <c r="AG603" s="1555"/>
      <c r="AH603" s="1555"/>
      <c r="AI603" s="1555"/>
      <c r="AJ603" s="1555"/>
      <c r="AK603" s="1555"/>
    </row>
    <row r="604" spans="1:37" s="1373" customFormat="1">
      <c r="A604" s="1371"/>
      <c r="B604" s="1371"/>
      <c r="C604" s="1089" t="s">
        <v>1353</v>
      </c>
      <c r="D604" s="1090"/>
      <c r="E604" s="1876"/>
      <c r="F604" s="1090"/>
      <c r="G604" s="1091"/>
      <c r="H604" s="150"/>
      <c r="I604" s="21"/>
      <c r="J604" s="1561"/>
      <c r="K604" s="1562"/>
      <c r="L604" s="1562"/>
      <c r="M604" s="1562"/>
      <c r="N604" s="1562"/>
      <c r="O604" s="1555"/>
      <c r="P604" s="1555"/>
      <c r="Q604" s="1555"/>
      <c r="R604" s="1555"/>
      <c r="S604" s="1555"/>
      <c r="T604" s="1555"/>
      <c r="U604" s="1555"/>
      <c r="V604" s="1555"/>
      <c r="W604" s="1555"/>
      <c r="X604" s="1555"/>
      <c r="Y604" s="1555"/>
      <c r="Z604" s="1555"/>
      <c r="AA604" s="1555"/>
      <c r="AB604" s="1555"/>
      <c r="AC604" s="1555"/>
      <c r="AD604" s="1555"/>
      <c r="AE604" s="1555"/>
      <c r="AF604" s="1555"/>
      <c r="AG604" s="1555"/>
      <c r="AH604" s="1555"/>
      <c r="AI604" s="1555"/>
      <c r="AJ604" s="1555"/>
      <c r="AK604" s="1555"/>
    </row>
    <row r="605" spans="1:37" s="1373" customFormat="1">
      <c r="A605" s="1371"/>
      <c r="B605" s="1371"/>
      <c r="C605" s="141" t="s">
        <v>1346</v>
      </c>
      <c r="D605" s="44"/>
      <c r="E605" s="1838"/>
      <c r="F605" s="44"/>
      <c r="G605" s="1388"/>
      <c r="H605" s="40"/>
      <c r="I605" s="21"/>
      <c r="J605" s="1561"/>
      <c r="K605" s="1562"/>
      <c r="L605" s="1562"/>
      <c r="M605" s="1562"/>
      <c r="N605" s="1562"/>
      <c r="O605" s="1555"/>
      <c r="P605" s="1555"/>
      <c r="Q605" s="1555"/>
      <c r="R605" s="1555"/>
      <c r="S605" s="1555"/>
      <c r="T605" s="1555"/>
      <c r="U605" s="1555"/>
      <c r="V605" s="1555"/>
      <c r="W605" s="1555"/>
      <c r="X605" s="1555"/>
      <c r="Y605" s="1555"/>
      <c r="Z605" s="1555"/>
      <c r="AA605" s="1555"/>
      <c r="AB605" s="1555"/>
      <c r="AC605" s="1555"/>
      <c r="AD605" s="1555"/>
      <c r="AE605" s="1555"/>
      <c r="AF605" s="1555"/>
      <c r="AG605" s="1555"/>
      <c r="AH605" s="1555"/>
      <c r="AI605" s="1555"/>
      <c r="AJ605" s="1555"/>
      <c r="AK605" s="1555"/>
    </row>
    <row r="606" spans="1:37" s="1373" customFormat="1">
      <c r="A606" s="1371"/>
      <c r="B606" s="1371"/>
      <c r="C606" s="75" t="s">
        <v>1354</v>
      </c>
      <c r="D606" s="44"/>
      <c r="E606" s="1838"/>
      <c r="F606" s="44"/>
      <c r="G606" s="1388"/>
      <c r="H606" s="40">
        <f>+'CLOSING STOCK21-22'!M9</f>
        <v>635114026</v>
      </c>
      <c r="I606" s="19">
        <v>388267560</v>
      </c>
      <c r="J606" s="1566"/>
      <c r="K606" s="1567"/>
      <c r="L606" s="1567"/>
      <c r="M606" s="1567"/>
      <c r="N606" s="1562"/>
      <c r="O606" s="1555"/>
      <c r="P606" s="1555"/>
      <c r="Q606" s="1555"/>
      <c r="R606" s="1555"/>
      <c r="S606" s="1555"/>
      <c r="T606" s="1555"/>
      <c r="U606" s="1555"/>
      <c r="V606" s="1555"/>
      <c r="W606" s="1555"/>
      <c r="X606" s="1555"/>
      <c r="Y606" s="1555"/>
      <c r="Z606" s="1555"/>
      <c r="AA606" s="1555"/>
      <c r="AB606" s="1555"/>
      <c r="AC606" s="1555"/>
      <c r="AD606" s="1555"/>
      <c r="AE606" s="1555"/>
      <c r="AF606" s="1555"/>
      <c r="AG606" s="1555"/>
      <c r="AH606" s="1555"/>
      <c r="AI606" s="1555"/>
      <c r="AJ606" s="1555"/>
      <c r="AK606" s="1555"/>
    </row>
    <row r="607" spans="1:37" s="1373" customFormat="1">
      <c r="A607" s="1371"/>
      <c r="B607" s="1371"/>
      <c r="C607" s="75" t="s">
        <v>1355</v>
      </c>
      <c r="D607" s="44"/>
      <c r="E607" s="1838"/>
      <c r="F607" s="44"/>
      <c r="G607" s="1388"/>
      <c r="H607" s="151">
        <f>+H606/(H596+H606)</f>
        <v>0.77591827129744961</v>
      </c>
      <c r="I607" s="151">
        <f>+I606/(I596+I606)</f>
        <v>0.74924603447895344</v>
      </c>
      <c r="J607" s="1675"/>
      <c r="K607" s="1676"/>
      <c r="L607" s="1676"/>
      <c r="M607" s="1676"/>
      <c r="N607" s="1567"/>
      <c r="O607" s="1555"/>
      <c r="P607" s="1555"/>
      <c r="Q607" s="1555"/>
      <c r="R607" s="1555"/>
      <c r="S607" s="1555"/>
      <c r="T607" s="1555"/>
      <c r="U607" s="1555"/>
      <c r="V607" s="1555"/>
      <c r="W607" s="1555"/>
      <c r="X607" s="1555"/>
      <c r="Y607" s="1555"/>
      <c r="Z607" s="1555"/>
      <c r="AA607" s="1555"/>
      <c r="AB607" s="1555"/>
      <c r="AC607" s="1555"/>
      <c r="AD607" s="1555"/>
      <c r="AE607" s="1555"/>
      <c r="AF607" s="1555"/>
      <c r="AG607" s="1555"/>
      <c r="AH607" s="1555"/>
      <c r="AI607" s="1555"/>
      <c r="AJ607" s="1555"/>
      <c r="AK607" s="1555"/>
    </row>
    <row r="608" spans="1:37" s="1373" customFormat="1" ht="11.25" customHeight="1">
      <c r="A608" s="1371"/>
      <c r="B608" s="1371"/>
      <c r="C608" s="74"/>
      <c r="D608" s="44"/>
      <c r="E608" s="1838"/>
      <c r="F608" s="44"/>
      <c r="G608" s="1388"/>
      <c r="H608" s="40"/>
      <c r="I608" s="21"/>
      <c r="J608" s="1561"/>
      <c r="K608" s="1562"/>
      <c r="L608" s="1562"/>
      <c r="M608" s="1562"/>
      <c r="N608" s="1676"/>
      <c r="O608" s="1555"/>
      <c r="P608" s="1555"/>
      <c r="Q608" s="1555"/>
      <c r="R608" s="1555"/>
      <c r="S608" s="1555"/>
      <c r="T608" s="1555"/>
      <c r="U608" s="1555"/>
      <c r="V608" s="1555"/>
      <c r="W608" s="1555"/>
      <c r="X608" s="1555"/>
      <c r="Y608" s="1555"/>
      <c r="Z608" s="1555"/>
      <c r="AA608" s="1555"/>
      <c r="AB608" s="1555"/>
      <c r="AC608" s="1555"/>
      <c r="AD608" s="1555"/>
      <c r="AE608" s="1555"/>
      <c r="AF608" s="1555"/>
      <c r="AG608" s="1555"/>
      <c r="AH608" s="1555"/>
      <c r="AI608" s="1555"/>
      <c r="AJ608" s="1555"/>
      <c r="AK608" s="1555"/>
    </row>
    <row r="609" spans="1:61" s="1373" customFormat="1">
      <c r="A609" s="1371"/>
      <c r="B609" s="1371"/>
      <c r="C609" s="141" t="s">
        <v>1347</v>
      </c>
      <c r="D609" s="44"/>
      <c r="E609" s="1838"/>
      <c r="F609" s="44"/>
      <c r="G609" s="1388"/>
      <c r="H609" s="40"/>
      <c r="I609" s="21"/>
      <c r="J609" s="1561"/>
      <c r="K609" s="1562"/>
      <c r="L609" s="1562"/>
      <c r="M609" s="1562"/>
      <c r="N609" s="1562"/>
      <c r="O609" s="1555"/>
      <c r="P609" s="1555"/>
      <c r="Q609" s="1555"/>
      <c r="R609" s="1555"/>
      <c r="S609" s="1555"/>
      <c r="T609" s="1555"/>
      <c r="U609" s="1555"/>
      <c r="V609" s="1555"/>
      <c r="W609" s="1555"/>
      <c r="X609" s="1555"/>
      <c r="Y609" s="1555"/>
      <c r="Z609" s="1555"/>
      <c r="AA609" s="1555"/>
      <c r="AB609" s="1555"/>
      <c r="AC609" s="1555"/>
      <c r="AD609" s="1555"/>
      <c r="AE609" s="1555"/>
      <c r="AF609" s="1555"/>
      <c r="AG609" s="1555"/>
      <c r="AH609" s="1555"/>
      <c r="AI609" s="1555"/>
      <c r="AJ609" s="1555"/>
      <c r="AK609" s="1555"/>
    </row>
    <row r="610" spans="1:61" s="1373" customFormat="1">
      <c r="A610" s="1371"/>
      <c r="B610" s="1371"/>
      <c r="C610" s="75" t="s">
        <v>1354</v>
      </c>
      <c r="D610" s="44"/>
      <c r="E610" s="1838"/>
      <c r="F610" s="44"/>
      <c r="G610" s="1388"/>
      <c r="H610" s="19">
        <f>+'CLOSING STOCK21-22'!M32</f>
        <v>48552016</v>
      </c>
      <c r="I610" s="19">
        <v>35517322</v>
      </c>
      <c r="J610" s="1566"/>
      <c r="K610" s="1567"/>
      <c r="L610" s="1567"/>
      <c r="M610" s="1567"/>
      <c r="N610" s="1562"/>
      <c r="O610" s="1555"/>
      <c r="P610" s="1555"/>
      <c r="Q610" s="1555"/>
      <c r="R610" s="1555"/>
      <c r="S610" s="1555"/>
      <c r="T610" s="1555"/>
      <c r="U610" s="1555"/>
      <c r="V610" s="1555"/>
      <c r="W610" s="1555"/>
      <c r="X610" s="1555"/>
      <c r="Y610" s="1555"/>
      <c r="Z610" s="1555"/>
      <c r="AA610" s="1555"/>
      <c r="AB610" s="1555"/>
      <c r="AC610" s="1555"/>
      <c r="AD610" s="1555"/>
      <c r="AE610" s="1555"/>
      <c r="AF610" s="1555"/>
      <c r="AG610" s="1555"/>
      <c r="AH610" s="1555"/>
      <c r="AI610" s="1555"/>
      <c r="AJ610" s="1555"/>
      <c r="AK610" s="1555"/>
    </row>
    <row r="611" spans="1:61" s="1373" customFormat="1">
      <c r="A611" s="1371"/>
      <c r="B611" s="1371"/>
      <c r="C611" s="75" t="s">
        <v>1355</v>
      </c>
      <c r="D611" s="44"/>
      <c r="E611" s="1838"/>
      <c r="F611" s="44"/>
      <c r="G611" s="1388"/>
      <c r="H611" s="151">
        <v>1</v>
      </c>
      <c r="I611" s="151">
        <v>1</v>
      </c>
      <c r="J611" s="1675"/>
      <c r="K611" s="1676"/>
      <c r="L611" s="1676"/>
      <c r="M611" s="1676"/>
      <c r="N611" s="1567"/>
      <c r="O611" s="1555"/>
      <c r="P611" s="1555"/>
      <c r="Q611" s="1555"/>
      <c r="R611" s="1555"/>
      <c r="S611" s="1555"/>
      <c r="T611" s="1555"/>
      <c r="U611" s="1555"/>
      <c r="V611" s="1555"/>
      <c r="W611" s="1555"/>
      <c r="X611" s="1555"/>
      <c r="Y611" s="1555"/>
      <c r="Z611" s="1555"/>
      <c r="AA611" s="1555"/>
      <c r="AB611" s="1555"/>
      <c r="AC611" s="1555"/>
      <c r="AD611" s="1555"/>
      <c r="AE611" s="1555"/>
      <c r="AF611" s="1555"/>
      <c r="AG611" s="1555"/>
      <c r="AH611" s="1555"/>
      <c r="AI611" s="1555"/>
      <c r="AJ611" s="1555"/>
      <c r="AK611" s="1555"/>
    </row>
    <row r="612" spans="1:61" s="1373" customFormat="1" ht="8.25" customHeight="1">
      <c r="A612" s="1371"/>
      <c r="B612" s="1371"/>
      <c r="C612" s="74"/>
      <c r="D612" s="44"/>
      <c r="E612" s="1838"/>
      <c r="F612" s="44"/>
      <c r="G612" s="1388"/>
      <c r="H612" s="40"/>
      <c r="I612" s="21"/>
      <c r="J612" s="1561"/>
      <c r="K612" s="1562"/>
      <c r="L612" s="1562"/>
      <c r="M612" s="1562"/>
      <c r="N612" s="1676"/>
      <c r="O612" s="1555"/>
      <c r="P612" s="1555"/>
      <c r="Q612" s="1555"/>
      <c r="R612" s="1555"/>
      <c r="S612" s="1555"/>
      <c r="T612" s="1555"/>
      <c r="U612" s="1555"/>
      <c r="V612" s="1555"/>
      <c r="W612" s="1555"/>
      <c r="X612" s="1555"/>
      <c r="Y612" s="1555"/>
      <c r="Z612" s="1555"/>
      <c r="AA612" s="1555"/>
      <c r="AB612" s="1555"/>
      <c r="AC612" s="1555"/>
      <c r="AD612" s="1555"/>
      <c r="AE612" s="1555"/>
      <c r="AF612" s="1555"/>
      <c r="AG612" s="1555"/>
      <c r="AH612" s="1555"/>
      <c r="AI612" s="1555"/>
      <c r="AJ612" s="1555"/>
      <c r="AK612" s="1555"/>
    </row>
    <row r="613" spans="1:61" s="1373" customFormat="1">
      <c r="A613" s="1371"/>
      <c r="B613" s="1371"/>
      <c r="C613" s="141" t="s">
        <v>1343</v>
      </c>
      <c r="D613" s="44"/>
      <c r="E613" s="1838"/>
      <c r="F613" s="44"/>
      <c r="G613" s="1388"/>
      <c r="H613" s="40"/>
      <c r="I613" s="21"/>
      <c r="J613" s="1561"/>
      <c r="K613" s="1562"/>
      <c r="L613" s="1562"/>
      <c r="M613" s="1562"/>
      <c r="N613" s="1562"/>
      <c r="O613" s="1555"/>
      <c r="P613" s="1555"/>
      <c r="Q613" s="1555"/>
      <c r="R613" s="1555"/>
      <c r="S613" s="1555"/>
      <c r="T613" s="1555"/>
      <c r="U613" s="1555"/>
      <c r="V613" s="1555"/>
      <c r="W613" s="1555"/>
      <c r="X613" s="1555"/>
      <c r="Y613" s="1555"/>
      <c r="Z613" s="1555"/>
      <c r="AA613" s="1555"/>
      <c r="AB613" s="1555"/>
      <c r="AC613" s="1555"/>
      <c r="AD613" s="1555"/>
      <c r="AE613" s="1555"/>
      <c r="AF613" s="1555"/>
      <c r="AG613" s="1555"/>
      <c r="AH613" s="1555"/>
      <c r="AI613" s="1555"/>
      <c r="AJ613" s="1555"/>
      <c r="AK613" s="1555"/>
    </row>
    <row r="614" spans="1:61" s="1373" customFormat="1">
      <c r="A614" s="1371"/>
      <c r="B614" s="1371"/>
      <c r="C614" s="75" t="s">
        <v>1354</v>
      </c>
      <c r="D614" s="44"/>
      <c r="E614" s="1838"/>
      <c r="F614" s="44"/>
      <c r="G614" s="1388"/>
      <c r="H614" s="19">
        <f>+H517</f>
        <v>17105048.670000002</v>
      </c>
      <c r="I614" s="19">
        <f>+I517</f>
        <v>8205875.8399999999</v>
      </c>
      <c r="J614" s="1566"/>
      <c r="K614" s="1567"/>
      <c r="L614" s="1567"/>
      <c r="M614" s="1567"/>
      <c r="N614" s="1562">
        <f>+H606+H610+H614</f>
        <v>700771090.66999996</v>
      </c>
      <c r="O614" s="1555"/>
      <c r="P614" s="1555"/>
      <c r="Q614" s="1555"/>
      <c r="R614" s="1555"/>
      <c r="S614" s="1555"/>
      <c r="T614" s="1555"/>
      <c r="U614" s="1555"/>
      <c r="V614" s="1555"/>
      <c r="W614" s="1555"/>
      <c r="X614" s="1555"/>
      <c r="Y614" s="1555"/>
      <c r="Z614" s="1555"/>
      <c r="AA614" s="1555"/>
      <c r="AB614" s="1555"/>
      <c r="AC614" s="1555"/>
      <c r="AD614" s="1555"/>
      <c r="AE614" s="1555"/>
      <c r="AF614" s="1555"/>
      <c r="AG614" s="1555"/>
      <c r="AH614" s="1555"/>
      <c r="AI614" s="1555"/>
      <c r="AJ614" s="1555"/>
      <c r="AK614" s="1555"/>
    </row>
    <row r="615" spans="1:61" s="1373" customFormat="1">
      <c r="A615" s="1371"/>
      <c r="B615" s="1371"/>
      <c r="C615" s="75" t="s">
        <v>1355</v>
      </c>
      <c r="D615" s="44"/>
      <c r="E615" s="1838"/>
      <c r="F615" s="44"/>
      <c r="G615" s="1388"/>
      <c r="H615" s="151">
        <f>+H614/(H614+H600)</f>
        <v>0.96682267421037615</v>
      </c>
      <c r="I615" s="151">
        <f>+I614/(I614+I600)</f>
        <v>0.893121476576478</v>
      </c>
      <c r="J615" s="1675"/>
      <c r="K615" s="1676"/>
      <c r="L615" s="1676"/>
      <c r="M615" s="1676"/>
      <c r="N615" s="1567"/>
      <c r="O615" s="1555"/>
      <c r="P615" s="1555"/>
      <c r="Q615" s="1555"/>
      <c r="R615" s="1555"/>
      <c r="S615" s="1555"/>
      <c r="T615" s="1555"/>
      <c r="U615" s="1555"/>
      <c r="V615" s="1555"/>
      <c r="W615" s="1555"/>
      <c r="X615" s="1555"/>
      <c r="Y615" s="1555"/>
      <c r="Z615" s="1555"/>
      <c r="AA615" s="1555"/>
      <c r="AB615" s="1555"/>
      <c r="AC615" s="1555"/>
      <c r="AD615" s="1555"/>
      <c r="AE615" s="1555"/>
      <c r="AF615" s="1555"/>
      <c r="AG615" s="1555"/>
      <c r="AH615" s="1555"/>
      <c r="AI615" s="1555"/>
      <c r="AJ615" s="1555"/>
      <c r="AK615" s="1555"/>
    </row>
    <row r="616" spans="1:61" s="1373" customFormat="1" ht="11.25" customHeight="1">
      <c r="A616" s="1371"/>
      <c r="B616" s="1371"/>
      <c r="C616" s="74"/>
      <c r="D616" s="44"/>
      <c r="E616" s="1838"/>
      <c r="F616" s="44"/>
      <c r="G616" s="1388"/>
      <c r="H616" s="40"/>
      <c r="I616" s="21"/>
      <c r="J616" s="1561"/>
      <c r="K616" s="1562"/>
      <c r="L616" s="1562"/>
      <c r="M616" s="1562"/>
      <c r="N616" s="1676"/>
      <c r="O616" s="1555"/>
      <c r="P616" s="1555"/>
      <c r="Q616" s="1555"/>
      <c r="R616" s="1555"/>
      <c r="S616" s="1555"/>
      <c r="T616" s="1555"/>
      <c r="U616" s="1555"/>
      <c r="V616" s="1555"/>
      <c r="W616" s="1555"/>
      <c r="X616" s="1555"/>
      <c r="Y616" s="1555"/>
      <c r="Z616" s="1555"/>
      <c r="AA616" s="1555"/>
      <c r="AB616" s="1555"/>
      <c r="AC616" s="1555"/>
      <c r="AD616" s="1555"/>
      <c r="AE616" s="1555"/>
      <c r="AF616" s="1555"/>
      <c r="AG616" s="1555"/>
      <c r="AH616" s="1555"/>
      <c r="AI616" s="1555"/>
      <c r="AJ616" s="1555"/>
      <c r="AK616" s="1555"/>
    </row>
    <row r="617" spans="1:61" s="1373" customFormat="1">
      <c r="A617" s="1371"/>
      <c r="B617" s="1371"/>
      <c r="C617" s="74" t="s">
        <v>1357</v>
      </c>
      <c r="D617" s="44"/>
      <c r="E617" s="1838"/>
      <c r="F617" s="44"/>
      <c r="G617" s="1388"/>
      <c r="H617" s="40"/>
      <c r="I617" s="21"/>
      <c r="J617" s="1561"/>
      <c r="K617" s="1562"/>
      <c r="L617" s="1562"/>
      <c r="M617" s="1562"/>
      <c r="N617" s="1562"/>
      <c r="O617" s="1555"/>
      <c r="P617" s="1555"/>
      <c r="Q617" s="1555"/>
      <c r="R617" s="1555"/>
      <c r="S617" s="1555"/>
      <c r="T617" s="1555"/>
      <c r="U617" s="1555"/>
      <c r="V617" s="1555"/>
      <c r="W617" s="1555"/>
      <c r="X617" s="1555"/>
      <c r="Y617" s="1555"/>
      <c r="Z617" s="1555"/>
      <c r="AA617" s="1555"/>
      <c r="AB617" s="1555"/>
      <c r="AC617" s="1555"/>
      <c r="AD617" s="1555"/>
      <c r="AE617" s="1555"/>
      <c r="AF617" s="1555"/>
      <c r="AG617" s="1555"/>
      <c r="AH617" s="1555"/>
      <c r="AI617" s="1555"/>
      <c r="AJ617" s="1555"/>
      <c r="AK617" s="1555"/>
    </row>
    <row r="618" spans="1:61" s="1373" customFormat="1">
      <c r="A618" s="1371"/>
      <c r="B618" s="1371"/>
      <c r="C618" s="74" t="s">
        <v>1349</v>
      </c>
      <c r="D618" s="44"/>
      <c r="E618" s="1838"/>
      <c r="F618" s="44"/>
      <c r="G618" s="1388"/>
      <c r="H618" s="40"/>
      <c r="I618" s="21"/>
      <c r="J618" s="1561"/>
      <c r="K618" s="1562"/>
      <c r="L618" s="1562"/>
      <c r="M618" s="1562"/>
      <c r="N618" s="1562"/>
      <c r="O618" s="1555"/>
      <c r="P618" s="1555"/>
      <c r="Q618" s="1555"/>
      <c r="R618" s="1555"/>
      <c r="S618" s="1555"/>
      <c r="T618" s="1555"/>
      <c r="U618" s="1555"/>
      <c r="V618" s="1555"/>
      <c r="W618" s="1555"/>
      <c r="X618" s="1555"/>
      <c r="Y618" s="1555"/>
      <c r="Z618" s="1555"/>
      <c r="AA618" s="1555"/>
      <c r="AB618" s="1555"/>
      <c r="AC618" s="1555"/>
      <c r="AD618" s="1555"/>
      <c r="AE618" s="1555"/>
      <c r="AF618" s="1555"/>
      <c r="AG618" s="1555"/>
      <c r="AH618" s="1555"/>
      <c r="AI618" s="1555"/>
      <c r="AJ618" s="1555"/>
      <c r="AK618" s="1555"/>
    </row>
    <row r="619" spans="1:61" s="1373" customFormat="1">
      <c r="A619" s="1371"/>
      <c r="B619" s="1371"/>
      <c r="C619" s="141" t="s">
        <v>1358</v>
      </c>
      <c r="D619" s="44"/>
      <c r="E619" s="1838"/>
      <c r="F619" s="44"/>
      <c r="G619" s="1388"/>
      <c r="H619" s="40"/>
      <c r="I619" s="21"/>
      <c r="J619" s="1561"/>
      <c r="K619" s="1562"/>
      <c r="L619" s="1562"/>
      <c r="M619" s="1562"/>
      <c r="N619" s="1562"/>
      <c r="O619" s="1555"/>
      <c r="P619" s="1555"/>
      <c r="Q619" s="1555"/>
      <c r="R619" s="1555"/>
      <c r="S619" s="1555"/>
      <c r="T619" s="1555"/>
      <c r="U619" s="1555"/>
      <c r="V619" s="1555"/>
      <c r="W619" s="1555"/>
      <c r="X619" s="1555"/>
      <c r="Y619" s="1555"/>
      <c r="Z619" s="1555"/>
      <c r="AA619" s="1555"/>
      <c r="AB619" s="1555"/>
      <c r="AC619" s="1555"/>
      <c r="AD619" s="1555"/>
      <c r="AE619" s="1555"/>
      <c r="AF619" s="1555"/>
      <c r="AG619" s="1555"/>
      <c r="AH619" s="1555"/>
      <c r="AI619" s="1555"/>
      <c r="AJ619" s="1555"/>
      <c r="AK619" s="1555"/>
    </row>
    <row r="620" spans="1:61">
      <c r="C620" s="75" t="s">
        <v>1349</v>
      </c>
      <c r="D620" s="44"/>
      <c r="E620" s="1838"/>
      <c r="F620" s="44"/>
      <c r="G620" s="1388"/>
      <c r="H620" s="19">
        <f>+H476</f>
        <v>1124021510.75</v>
      </c>
      <c r="I620" s="19">
        <f>+I476</f>
        <v>819759041.19999993</v>
      </c>
      <c r="J620" s="1566"/>
      <c r="K620" s="1567"/>
      <c r="L620" s="1567"/>
      <c r="M620" s="1567"/>
      <c r="N620" s="1562"/>
    </row>
    <row r="621" spans="1:61" ht="11.25" customHeight="1">
      <c r="C621" s="152"/>
      <c r="D621" s="79"/>
      <c r="E621" s="1844"/>
      <c r="F621" s="79"/>
      <c r="G621" s="1406"/>
      <c r="H621" s="55"/>
      <c r="I621" s="16"/>
      <c r="J621" s="1561"/>
      <c r="K621" s="1562"/>
      <c r="L621" s="1562"/>
      <c r="M621" s="1562"/>
      <c r="N621" s="1567"/>
    </row>
    <row r="622" spans="1:61">
      <c r="A622" s="1473"/>
      <c r="B622" s="1473"/>
      <c r="C622" s="2148" t="s">
        <v>1065</v>
      </c>
      <c r="D622" s="2150"/>
      <c r="E622" s="2150"/>
      <c r="F622" s="2150"/>
      <c r="G622" s="2150"/>
      <c r="H622" s="2150"/>
      <c r="I622" s="2151"/>
      <c r="J622" s="1677"/>
      <c r="K622" s="1678"/>
      <c r="L622" s="1678"/>
      <c r="M622" s="1678"/>
      <c r="N622" s="1554"/>
    </row>
    <row r="623" spans="1:61" s="1375" customFormat="1">
      <c r="A623" s="1401"/>
      <c r="B623" s="1401"/>
      <c r="C623" s="2152" t="s">
        <v>1546</v>
      </c>
      <c r="D623" s="2153"/>
      <c r="E623" s="2153"/>
      <c r="F623" s="2153"/>
      <c r="G623" s="2153"/>
      <c r="H623" s="2153"/>
      <c r="I623" s="2154"/>
      <c r="J623" s="1677"/>
      <c r="K623" s="1678"/>
      <c r="L623" s="1678"/>
      <c r="M623" s="1678"/>
      <c r="N623" s="1679"/>
      <c r="O623" s="1608"/>
      <c r="P623" s="1608"/>
      <c r="Q623" s="1608"/>
      <c r="R623" s="1608"/>
      <c r="S623" s="1608"/>
      <c r="T623" s="1608"/>
      <c r="U623" s="1608"/>
      <c r="V623" s="1608"/>
      <c r="W623" s="1608"/>
      <c r="X623" s="1608"/>
      <c r="Y623" s="1608"/>
      <c r="Z623" s="1608"/>
      <c r="AA623" s="1608"/>
      <c r="AB623" s="1608"/>
      <c r="AC623" s="1608"/>
      <c r="AD623" s="1608"/>
      <c r="AE623" s="1608"/>
      <c r="AF623" s="1608"/>
      <c r="AG623" s="1608"/>
      <c r="AH623" s="1608"/>
      <c r="AI623" s="1608"/>
      <c r="AJ623" s="1608"/>
      <c r="AK623" s="1608"/>
      <c r="AL623" s="1425"/>
      <c r="AM623" s="1425"/>
      <c r="AN623" s="1425"/>
      <c r="AO623" s="1425"/>
      <c r="AP623" s="1425"/>
      <c r="AQ623" s="1425"/>
      <c r="AR623" s="1425"/>
      <c r="AS623" s="1425"/>
      <c r="AT623" s="1425"/>
      <c r="AU623" s="1425"/>
      <c r="AV623" s="1425"/>
      <c r="AW623" s="1425"/>
      <c r="AX623" s="1425"/>
      <c r="AY623" s="1425"/>
      <c r="AZ623" s="1425"/>
      <c r="BA623" s="1425"/>
      <c r="BB623" s="1425"/>
      <c r="BC623" s="1425"/>
      <c r="BD623" s="1425"/>
      <c r="BE623" s="1425"/>
      <c r="BF623" s="1425"/>
      <c r="BG623" s="1425"/>
      <c r="BH623" s="1425"/>
      <c r="BI623" s="1425"/>
    </row>
    <row r="624" spans="1:61">
      <c r="C624" s="1401"/>
      <c r="D624" s="1838"/>
      <c r="E624" s="1838"/>
      <c r="F624" s="1838"/>
      <c r="G624" s="133"/>
      <c r="H624" s="15" t="str">
        <f>+H538</f>
        <v xml:space="preserve">As At </v>
      </c>
      <c r="I624" s="15" t="str">
        <f>+I538</f>
        <v xml:space="preserve"> As At</v>
      </c>
      <c r="J624" s="1558"/>
      <c r="K624" s="1559"/>
      <c r="L624" s="1559"/>
      <c r="M624" s="1559"/>
      <c r="N624" s="1678"/>
    </row>
    <row r="625" spans="1:37">
      <c r="C625" s="1847" t="s">
        <v>1359</v>
      </c>
      <c r="D625" s="1838"/>
      <c r="E625" s="1838"/>
      <c r="F625" s="1838"/>
      <c r="G625" s="1388"/>
      <c r="H625" s="16" t="str">
        <f>+H5</f>
        <v>March 31, 2022 (₹)</v>
      </c>
      <c r="I625" s="16" t="s">
        <v>1069</v>
      </c>
      <c r="J625" s="1561"/>
      <c r="K625" s="1562"/>
      <c r="L625" s="1562"/>
      <c r="M625" s="1562"/>
      <c r="N625" s="1587"/>
    </row>
    <row r="626" spans="1:37">
      <c r="C626" s="75" t="s">
        <v>1360</v>
      </c>
      <c r="D626" s="1838"/>
      <c r="E626" s="1838"/>
      <c r="F626" s="1838"/>
      <c r="G626" s="1388"/>
      <c r="H626" s="22">
        <f>+H522</f>
        <v>275000</v>
      </c>
      <c r="I626" s="22">
        <f>+I522</f>
        <v>275000</v>
      </c>
      <c r="J626" s="1566"/>
      <c r="K626" s="1554"/>
      <c r="L626" s="1554"/>
      <c r="M626" s="1554"/>
      <c r="N626" s="1569"/>
    </row>
    <row r="627" spans="1:37">
      <c r="C627" s="75" t="s">
        <v>1308</v>
      </c>
      <c r="D627" s="1838"/>
      <c r="E627" s="1838"/>
      <c r="F627" s="1838"/>
      <c r="G627" s="1388"/>
      <c r="H627" s="118">
        <f>+H524</f>
        <v>762</v>
      </c>
      <c r="I627" s="118">
        <f>+I524</f>
        <v>4000</v>
      </c>
      <c r="J627" s="1566"/>
      <c r="K627" s="1554"/>
      <c r="L627" s="1554"/>
      <c r="M627" s="1554"/>
      <c r="N627" s="1554"/>
    </row>
    <row r="628" spans="1:37">
      <c r="C628" s="75"/>
      <c r="D628" s="1838"/>
      <c r="E628" s="1838"/>
      <c r="F628" s="1838"/>
      <c r="G628" s="1388"/>
      <c r="H628" s="118">
        <f>+H626+H627</f>
        <v>275762</v>
      </c>
      <c r="I628" s="118">
        <f>+I626+I627</f>
        <v>279000</v>
      </c>
      <c r="J628" s="1566"/>
      <c r="K628" s="1554"/>
      <c r="L628" s="1554"/>
      <c r="M628" s="1554"/>
      <c r="N628" s="1554"/>
    </row>
    <row r="629" spans="1:37">
      <c r="C629" s="75"/>
      <c r="D629" s="1838"/>
      <c r="E629" s="1838"/>
      <c r="F629" s="1838"/>
      <c r="G629" s="1856"/>
      <c r="H629" s="122"/>
      <c r="I629" s="57"/>
      <c r="J629" s="1566"/>
      <c r="K629" s="1554"/>
      <c r="L629" s="1554"/>
      <c r="M629" s="1554"/>
      <c r="N629" s="1554"/>
    </row>
    <row r="630" spans="1:37">
      <c r="C630" s="132" t="s">
        <v>1361</v>
      </c>
      <c r="D630" s="1838"/>
      <c r="E630" s="1838"/>
      <c r="F630" s="1838"/>
      <c r="G630" s="1856"/>
      <c r="H630" s="111"/>
      <c r="I630" s="118"/>
      <c r="J630" s="1566"/>
      <c r="K630" s="1554"/>
      <c r="L630" s="1554"/>
      <c r="M630" s="1554"/>
      <c r="N630" s="1554"/>
    </row>
    <row r="631" spans="1:37">
      <c r="C631" s="75" t="s">
        <v>3541</v>
      </c>
      <c r="D631" s="1838"/>
      <c r="E631" s="1838"/>
      <c r="F631" s="1838"/>
      <c r="G631" s="1856"/>
      <c r="H631" s="15" t="str">
        <f>+H624</f>
        <v xml:space="preserve">As At </v>
      </c>
      <c r="I631" s="15" t="str">
        <f>+I624</f>
        <v xml:space="preserve"> As At</v>
      </c>
      <c r="J631" s="1558"/>
      <c r="K631" s="1559"/>
      <c r="L631" s="1559"/>
      <c r="M631" s="1559"/>
      <c r="N631" s="1554"/>
    </row>
    <row r="632" spans="1:37">
      <c r="C632" s="153" t="s">
        <v>9</v>
      </c>
      <c r="D632" s="1884"/>
      <c r="E632" s="1884"/>
      <c r="F632" s="155"/>
      <c r="G632" s="1479" t="s">
        <v>1362</v>
      </c>
      <c r="H632" s="16" t="str">
        <f>+H625</f>
        <v>March 31, 2022 (₹)</v>
      </c>
      <c r="I632" s="16" t="str">
        <f>+I625</f>
        <v>March 31, 2021 (₹)</v>
      </c>
      <c r="J632" s="1561"/>
      <c r="K632" s="1562"/>
      <c r="L632" s="1562"/>
      <c r="M632" s="1562"/>
      <c r="N632" s="1554"/>
    </row>
    <row r="633" spans="1:37">
      <c r="C633" s="74" t="s">
        <v>1074</v>
      </c>
      <c r="D633" s="1838"/>
      <c r="E633" s="1838"/>
      <c r="F633" s="1838"/>
      <c r="G633" s="1480"/>
      <c r="H633" s="21"/>
      <c r="I633" s="21"/>
      <c r="J633" s="1561"/>
      <c r="K633" s="1562"/>
      <c r="L633" s="1562"/>
      <c r="M633" s="1562"/>
      <c r="N633" s="1554"/>
    </row>
    <row r="634" spans="1:37">
      <c r="C634" s="75" t="s">
        <v>1363</v>
      </c>
      <c r="D634" s="1838"/>
      <c r="E634" s="1838"/>
      <c r="F634" s="1838"/>
      <c r="G634" s="1481">
        <v>6</v>
      </c>
      <c r="H634" s="19">
        <f t="shared" ref="H634:I637" si="9">+H17</f>
        <v>166554746.43000001</v>
      </c>
      <c r="I634" s="26">
        <f t="shared" si="9"/>
        <v>155760049.43000001</v>
      </c>
      <c r="J634" s="1566"/>
      <c r="K634" s="1567"/>
      <c r="L634" s="1567"/>
      <c r="M634" s="1567"/>
      <c r="N634" s="1554"/>
    </row>
    <row r="635" spans="1:37">
      <c r="C635" s="75" t="s">
        <v>1364</v>
      </c>
      <c r="D635" s="1838"/>
      <c r="E635" s="1838"/>
      <c r="F635" s="1838"/>
      <c r="G635" s="1481">
        <v>7</v>
      </c>
      <c r="H635" s="19">
        <f t="shared" si="9"/>
        <v>79146.64</v>
      </c>
      <c r="I635" s="26">
        <f t="shared" si="9"/>
        <v>333868.40000000002</v>
      </c>
      <c r="J635" s="1566"/>
      <c r="K635" s="1567"/>
      <c r="L635" s="1567"/>
      <c r="M635" s="1567"/>
      <c r="N635" s="1554"/>
    </row>
    <row r="636" spans="1:37" s="1373" customFormat="1">
      <c r="A636" s="1371"/>
      <c r="B636" s="1371"/>
      <c r="C636" s="75" t="s">
        <v>1365</v>
      </c>
      <c r="D636" s="1838"/>
      <c r="E636" s="1838"/>
      <c r="F636" s="1838"/>
      <c r="G636" s="1383">
        <v>8</v>
      </c>
      <c r="H636" s="19">
        <f t="shared" si="9"/>
        <v>0</v>
      </c>
      <c r="I636" s="26">
        <f t="shared" si="9"/>
        <v>0</v>
      </c>
      <c r="J636" s="1566"/>
      <c r="K636" s="1567"/>
      <c r="L636" s="1567"/>
      <c r="M636" s="1567"/>
      <c r="N636" s="1554"/>
      <c r="O636" s="1555"/>
      <c r="P636" s="1555"/>
      <c r="Q636" s="1555"/>
      <c r="R636" s="1555"/>
      <c r="S636" s="1555"/>
      <c r="T636" s="1555"/>
      <c r="U636" s="1555"/>
      <c r="V636" s="1555"/>
      <c r="W636" s="1555"/>
      <c r="X636" s="1555"/>
      <c r="Y636" s="1555"/>
      <c r="Z636" s="1555"/>
      <c r="AA636" s="1555"/>
      <c r="AB636" s="1555"/>
      <c r="AC636" s="1555"/>
      <c r="AD636" s="1555"/>
      <c r="AE636" s="1555"/>
      <c r="AF636" s="1555"/>
      <c r="AG636" s="1555"/>
      <c r="AH636" s="1555"/>
      <c r="AI636" s="1555"/>
      <c r="AJ636" s="1555"/>
      <c r="AK636" s="1555"/>
    </row>
    <row r="637" spans="1:37" s="1373" customFormat="1">
      <c r="A637" s="1371"/>
      <c r="B637" s="1371"/>
      <c r="C637" s="75" t="s">
        <v>1366</v>
      </c>
      <c r="D637" s="1838"/>
      <c r="E637" s="1838"/>
      <c r="F637" s="1838"/>
      <c r="G637" s="1481">
        <v>9</v>
      </c>
      <c r="H637" s="82">
        <f t="shared" si="9"/>
        <v>8362500</v>
      </c>
      <c r="I637" s="40">
        <f t="shared" si="9"/>
        <v>7281000</v>
      </c>
      <c r="J637" s="1566"/>
      <c r="K637" s="1578"/>
      <c r="L637" s="1578"/>
      <c r="M637" s="1578"/>
      <c r="N637" s="1554"/>
      <c r="O637" s="1555"/>
      <c r="P637" s="1555"/>
      <c r="Q637" s="1555"/>
      <c r="R637" s="1555"/>
      <c r="S637" s="1555"/>
      <c r="T637" s="1555"/>
      <c r="U637" s="1555"/>
      <c r="V637" s="1555"/>
      <c r="W637" s="1555"/>
      <c r="X637" s="1555"/>
      <c r="Y637" s="1555"/>
      <c r="Z637" s="1555"/>
      <c r="AA637" s="1555"/>
      <c r="AB637" s="1555"/>
      <c r="AC637" s="1555"/>
      <c r="AD637" s="1555"/>
      <c r="AE637" s="1555"/>
      <c r="AF637" s="1555"/>
      <c r="AG637" s="1555"/>
      <c r="AH637" s="1555"/>
      <c r="AI637" s="1555"/>
      <c r="AJ637" s="1555"/>
      <c r="AK637" s="1555"/>
    </row>
    <row r="638" spans="1:37" s="1373" customFormat="1">
      <c r="A638" s="1371"/>
      <c r="B638" s="1371"/>
      <c r="C638" s="75"/>
      <c r="D638" s="1838"/>
      <c r="E638" s="1838"/>
      <c r="F638" s="1838"/>
      <c r="G638" s="1481"/>
      <c r="H638" s="131">
        <f>+SUM(H634:H637)</f>
        <v>174996393.06999999</v>
      </c>
      <c r="I638" s="156">
        <f>+SUM(I634:I637)</f>
        <v>163374917.83000001</v>
      </c>
      <c r="J638" s="1561"/>
      <c r="K638" s="1582"/>
      <c r="L638" s="1582"/>
      <c r="M638" s="1582"/>
      <c r="N638" s="1554"/>
      <c r="O638" s="1555"/>
      <c r="P638" s="1555"/>
      <c r="Q638" s="1555"/>
      <c r="R638" s="1555"/>
      <c r="S638" s="1555"/>
      <c r="T638" s="1555"/>
      <c r="U638" s="1555"/>
      <c r="V638" s="1555"/>
      <c r="W638" s="1555"/>
      <c r="X638" s="1555"/>
      <c r="Y638" s="1555"/>
      <c r="Z638" s="1555"/>
      <c r="AA638" s="1555"/>
      <c r="AB638" s="1555"/>
      <c r="AC638" s="1555"/>
      <c r="AD638" s="1555"/>
      <c r="AE638" s="1555"/>
      <c r="AF638" s="1555"/>
      <c r="AG638" s="1555"/>
      <c r="AH638" s="1555"/>
      <c r="AI638" s="1555"/>
      <c r="AJ638" s="1555"/>
      <c r="AK638" s="1555"/>
    </row>
    <row r="639" spans="1:37" s="1373" customFormat="1">
      <c r="A639" s="1371"/>
      <c r="B639" s="1371"/>
      <c r="C639" s="74" t="s">
        <v>1093</v>
      </c>
      <c r="D639" s="1838"/>
      <c r="E639" s="1838"/>
      <c r="F639" s="1838"/>
      <c r="G639" s="1481"/>
      <c r="H639" s="115"/>
      <c r="I639" s="49"/>
      <c r="J639" s="1561"/>
      <c r="K639" s="1582"/>
      <c r="L639" s="1582"/>
      <c r="M639" s="1582"/>
      <c r="N639" s="1554"/>
      <c r="O639" s="1555"/>
      <c r="P639" s="1555"/>
      <c r="Q639" s="1555"/>
      <c r="R639" s="1555"/>
      <c r="S639" s="1555"/>
      <c r="T639" s="1555"/>
      <c r="U639" s="1555"/>
      <c r="V639" s="1555"/>
      <c r="W639" s="1555"/>
      <c r="X639" s="1555"/>
      <c r="Y639" s="1555"/>
      <c r="Z639" s="1555"/>
      <c r="AA639" s="1555"/>
      <c r="AB639" s="1555"/>
      <c r="AC639" s="1555"/>
      <c r="AD639" s="1555"/>
      <c r="AE639" s="1555"/>
      <c r="AF639" s="1555"/>
      <c r="AG639" s="1555"/>
      <c r="AH639" s="1555"/>
      <c r="AI639" s="1555"/>
      <c r="AJ639" s="1555"/>
      <c r="AK639" s="1555"/>
    </row>
    <row r="640" spans="1:37" s="1373" customFormat="1">
      <c r="A640" s="1371"/>
      <c r="B640" s="1371"/>
      <c r="C640" s="75" t="s">
        <v>1367</v>
      </c>
      <c r="D640" s="1838"/>
      <c r="E640" s="1838"/>
      <c r="F640" s="1838"/>
      <c r="G640" s="1481">
        <v>16</v>
      </c>
      <c r="H640" s="82">
        <f t="shared" ref="H640:I642" si="10">+H40</f>
        <v>56842407.57</v>
      </c>
      <c r="I640" s="40">
        <f t="shared" si="10"/>
        <v>43576042.979999997</v>
      </c>
      <c r="J640" s="1566"/>
      <c r="K640" s="1578"/>
      <c r="L640" s="1578"/>
      <c r="M640" s="1578"/>
      <c r="N640" s="1554"/>
      <c r="O640" s="1555"/>
      <c r="P640" s="1555"/>
      <c r="Q640" s="1555"/>
      <c r="R640" s="1555"/>
      <c r="S640" s="1555"/>
      <c r="T640" s="1555"/>
      <c r="U640" s="1555"/>
      <c r="V640" s="1555"/>
      <c r="W640" s="1555"/>
      <c r="X640" s="1555"/>
      <c r="Y640" s="1555"/>
      <c r="Z640" s="1555"/>
      <c r="AA640" s="1555"/>
      <c r="AB640" s="1555"/>
      <c r="AC640" s="1555"/>
      <c r="AD640" s="1555"/>
      <c r="AE640" s="1555"/>
      <c r="AF640" s="1555"/>
      <c r="AG640" s="1555"/>
      <c r="AH640" s="1555"/>
      <c r="AI640" s="1555"/>
      <c r="AJ640" s="1555"/>
      <c r="AK640" s="1555"/>
    </row>
    <row r="641" spans="1:37" s="1373" customFormat="1">
      <c r="A641" s="1371"/>
      <c r="B641" s="1371"/>
      <c r="C641" s="75" t="s">
        <v>1368</v>
      </c>
      <c r="D641" s="1838"/>
      <c r="E641" s="1838"/>
      <c r="F641" s="1838"/>
      <c r="G641" s="1481">
        <v>17</v>
      </c>
      <c r="H641" s="82">
        <f t="shared" si="10"/>
        <v>87356478.839999989</v>
      </c>
      <c r="I641" s="40">
        <f t="shared" si="10"/>
        <v>79627699.75999999</v>
      </c>
      <c r="J641" s="1566"/>
      <c r="K641" s="1578"/>
      <c r="L641" s="1578"/>
      <c r="M641" s="1578"/>
      <c r="N641" s="1554"/>
      <c r="O641" s="1555"/>
      <c r="P641" s="1555"/>
      <c r="Q641" s="1555"/>
      <c r="R641" s="1555"/>
      <c r="S641" s="1555"/>
      <c r="T641" s="1555"/>
      <c r="U641" s="1555"/>
      <c r="V641" s="1555"/>
      <c r="W641" s="1555"/>
      <c r="X641" s="1555"/>
      <c r="Y641" s="1555"/>
      <c r="Z641" s="1555"/>
      <c r="AA641" s="1555"/>
      <c r="AB641" s="1555"/>
      <c r="AC641" s="1555"/>
      <c r="AD641" s="1555"/>
      <c r="AE641" s="1555"/>
      <c r="AF641" s="1555"/>
      <c r="AG641" s="1555"/>
      <c r="AH641" s="1555"/>
      <c r="AI641" s="1555"/>
      <c r="AJ641" s="1555"/>
      <c r="AK641" s="1555"/>
    </row>
    <row r="642" spans="1:37" s="1373" customFormat="1">
      <c r="A642" s="1371"/>
      <c r="B642" s="1371"/>
      <c r="C642" s="75" t="s">
        <v>1369</v>
      </c>
      <c r="D642" s="1838"/>
      <c r="E642" s="1838"/>
      <c r="F642" s="1838"/>
      <c r="G642" s="1481">
        <v>18</v>
      </c>
      <c r="H642" s="82">
        <f t="shared" si="10"/>
        <v>21518901</v>
      </c>
      <c r="I642" s="40">
        <f t="shared" si="10"/>
        <v>11141021</v>
      </c>
      <c r="J642" s="1566"/>
      <c r="K642" s="1578"/>
      <c r="L642" s="1578"/>
      <c r="M642" s="1578"/>
      <c r="N642" s="1554"/>
      <c r="O642" s="1555"/>
      <c r="P642" s="1555"/>
      <c r="Q642" s="1555"/>
      <c r="R642" s="1555"/>
      <c r="S642" s="1555"/>
      <c r="T642" s="1555"/>
      <c r="U642" s="1555"/>
      <c r="V642" s="1555"/>
      <c r="W642" s="1555"/>
      <c r="X642" s="1555"/>
      <c r="Y642" s="1555"/>
      <c r="Z642" s="1555"/>
      <c r="AA642" s="1555"/>
      <c r="AB642" s="1555"/>
      <c r="AC642" s="1555"/>
      <c r="AD642" s="1555"/>
      <c r="AE642" s="1555"/>
      <c r="AF642" s="1555"/>
      <c r="AG642" s="1555"/>
      <c r="AH642" s="1555"/>
      <c r="AI642" s="1555"/>
      <c r="AJ642" s="1555"/>
      <c r="AK642" s="1555"/>
    </row>
    <row r="643" spans="1:37" s="1373" customFormat="1">
      <c r="A643" s="1371"/>
      <c r="B643" s="1371"/>
      <c r="C643" s="2178" t="s">
        <v>1249</v>
      </c>
      <c r="D643" s="2179"/>
      <c r="E643" s="2179"/>
      <c r="F643" s="2179"/>
      <c r="G643" s="2180"/>
      <c r="H643" s="131">
        <f>+SUM(H640:H642)</f>
        <v>165717787.41</v>
      </c>
      <c r="I643" s="156">
        <f>+SUM(I640:I642)</f>
        <v>134344763.73999998</v>
      </c>
      <c r="J643" s="1561"/>
      <c r="K643" s="1582"/>
      <c r="L643" s="1582"/>
      <c r="M643" s="1582"/>
      <c r="N643" s="1554"/>
      <c r="O643" s="1555"/>
      <c r="P643" s="1555"/>
      <c r="Q643" s="1555"/>
      <c r="R643" s="1555"/>
      <c r="S643" s="1555"/>
      <c r="T643" s="1555"/>
      <c r="U643" s="1555"/>
      <c r="V643" s="1555"/>
      <c r="W643" s="1555"/>
      <c r="X643" s="1555"/>
      <c r="Y643" s="1555"/>
      <c r="Z643" s="1555"/>
      <c r="AA643" s="1555"/>
      <c r="AB643" s="1555"/>
      <c r="AC643" s="1555"/>
      <c r="AD643" s="1555"/>
      <c r="AE643" s="1555"/>
      <c r="AF643" s="1555"/>
      <c r="AG643" s="1555"/>
      <c r="AH643" s="1555"/>
      <c r="AI643" s="1555"/>
      <c r="AJ643" s="1555"/>
      <c r="AK643" s="1555"/>
    </row>
    <row r="644" spans="1:37" s="1373" customFormat="1">
      <c r="A644" s="1371"/>
      <c r="B644" s="1371"/>
      <c r="C644" s="74" t="s">
        <v>1370</v>
      </c>
      <c r="D644" s="1838"/>
      <c r="E644" s="1838"/>
      <c r="F644" s="1838"/>
      <c r="G644" s="2065"/>
      <c r="H644" s="48"/>
      <c r="I644" s="49"/>
      <c r="J644" s="1561"/>
      <c r="K644" s="1582"/>
      <c r="L644" s="1582"/>
      <c r="M644" s="1582"/>
      <c r="N644" s="1554"/>
      <c r="O644" s="1555"/>
      <c r="P644" s="1555"/>
      <c r="Q644" s="1555"/>
      <c r="R644" s="1555"/>
      <c r="S644" s="1555"/>
      <c r="T644" s="1555"/>
      <c r="U644" s="1555"/>
      <c r="V644" s="1555"/>
      <c r="W644" s="1555"/>
      <c r="X644" s="1555"/>
      <c r="Y644" s="1555"/>
      <c r="Z644" s="1555"/>
      <c r="AA644" s="1555"/>
      <c r="AB644" s="1555"/>
      <c r="AC644" s="1555"/>
      <c r="AD644" s="1555"/>
      <c r="AE644" s="1555"/>
      <c r="AF644" s="1555"/>
      <c r="AG644" s="1555"/>
      <c r="AH644" s="1555"/>
      <c r="AI644" s="1555"/>
      <c r="AJ644" s="1555"/>
      <c r="AK644" s="1555"/>
    </row>
    <row r="645" spans="1:37" s="1373" customFormat="1" ht="37.9" customHeight="1">
      <c r="A645" s="1371"/>
      <c r="B645" s="1371"/>
      <c r="C645" s="2157" t="s">
        <v>3542</v>
      </c>
      <c r="D645" s="2158"/>
      <c r="E645" s="2158"/>
      <c r="F645" s="2158"/>
      <c r="G645" s="2158"/>
      <c r="H645" s="2158"/>
      <c r="I645" s="2159"/>
      <c r="J645" s="1680"/>
      <c r="K645" s="1680"/>
      <c r="L645" s="1680"/>
      <c r="M645" s="1680"/>
      <c r="N645" s="1554"/>
      <c r="O645" s="1555"/>
      <c r="P645" s="1555"/>
      <c r="Q645" s="1555"/>
      <c r="R645" s="1555"/>
      <c r="S645" s="1555"/>
      <c r="T645" s="1555"/>
      <c r="U645" s="1555"/>
      <c r="V645" s="1555"/>
      <c r="W645" s="1555"/>
      <c r="X645" s="1555"/>
      <c r="Y645" s="1555"/>
      <c r="Z645" s="1555"/>
      <c r="AA645" s="1555"/>
      <c r="AB645" s="1555"/>
      <c r="AC645" s="1555"/>
      <c r="AD645" s="1555"/>
      <c r="AE645" s="1555"/>
      <c r="AF645" s="1555"/>
      <c r="AG645" s="1555"/>
      <c r="AH645" s="1555"/>
      <c r="AI645" s="1555"/>
      <c r="AJ645" s="1555"/>
      <c r="AK645" s="1555"/>
    </row>
    <row r="646" spans="1:37" s="1373" customFormat="1" ht="20.25" customHeight="1">
      <c r="A646" s="1371"/>
      <c r="B646" s="1371"/>
      <c r="C646" s="74" t="s">
        <v>1371</v>
      </c>
      <c r="D646" s="1838"/>
      <c r="E646" s="1838"/>
      <c r="F646" s="1838"/>
      <c r="G646" s="2065"/>
      <c r="H646" s="48"/>
      <c r="I646" s="49"/>
      <c r="J646" s="1561"/>
      <c r="K646" s="1582"/>
      <c r="L646" s="1582"/>
      <c r="M646" s="1582"/>
      <c r="N646" s="1554"/>
      <c r="O646" s="1555"/>
      <c r="P646" s="1555"/>
      <c r="Q646" s="1555"/>
      <c r="R646" s="1555"/>
      <c r="S646" s="1555"/>
      <c r="T646" s="1555"/>
      <c r="U646" s="1555"/>
      <c r="V646" s="1555"/>
      <c r="W646" s="1555"/>
      <c r="X646" s="1555"/>
      <c r="Y646" s="1555"/>
      <c r="Z646" s="1555"/>
      <c r="AA646" s="1555"/>
      <c r="AB646" s="1555"/>
      <c r="AC646" s="1555"/>
      <c r="AD646" s="1555"/>
      <c r="AE646" s="1555"/>
      <c r="AF646" s="1555"/>
      <c r="AG646" s="1555"/>
      <c r="AH646" s="1555"/>
      <c r="AI646" s="1555"/>
      <c r="AJ646" s="1555"/>
      <c r="AK646" s="1555"/>
    </row>
    <row r="647" spans="1:37" s="1373" customFormat="1" ht="95.25" customHeight="1">
      <c r="A647" s="1371"/>
      <c r="B647" s="1371"/>
      <c r="C647" s="2157" t="s">
        <v>3543</v>
      </c>
      <c r="D647" s="2158"/>
      <c r="E647" s="2158"/>
      <c r="F647" s="2158"/>
      <c r="G647" s="2158"/>
      <c r="H647" s="2158"/>
      <c r="I647" s="2159"/>
      <c r="J647" s="1680"/>
      <c r="K647" s="1680"/>
      <c r="L647" s="1680"/>
      <c r="M647" s="1680"/>
      <c r="N647" s="1554"/>
      <c r="O647" s="1555"/>
      <c r="P647" s="1555"/>
      <c r="Q647" s="1555"/>
      <c r="R647" s="1555"/>
      <c r="S647" s="1555"/>
      <c r="T647" s="1555"/>
      <c r="U647" s="1555"/>
      <c r="V647" s="1555"/>
      <c r="W647" s="1555"/>
      <c r="X647" s="1555"/>
      <c r="Y647" s="1555"/>
      <c r="Z647" s="1555"/>
      <c r="AA647" s="1555"/>
      <c r="AB647" s="1555"/>
      <c r="AC647" s="1555"/>
      <c r="AD647" s="1555"/>
      <c r="AE647" s="1555"/>
      <c r="AF647" s="1555"/>
      <c r="AG647" s="1555"/>
      <c r="AH647" s="1555"/>
      <c r="AI647" s="1555"/>
      <c r="AJ647" s="1555"/>
      <c r="AK647" s="1555"/>
    </row>
    <row r="648" spans="1:37" s="1373" customFormat="1">
      <c r="A648" s="1371"/>
      <c r="B648" s="1371"/>
      <c r="C648" s="74" t="s">
        <v>1372</v>
      </c>
      <c r="D648" s="1838"/>
      <c r="E648" s="1838"/>
      <c r="F648" s="1838"/>
      <c r="G648" s="2065"/>
      <c r="H648" s="48"/>
      <c r="I648" s="49"/>
      <c r="J648" s="1561"/>
      <c r="K648" s="1582"/>
      <c r="L648" s="1582"/>
      <c r="M648" s="1582"/>
      <c r="N648" s="1554"/>
      <c r="O648" s="1555"/>
      <c r="P648" s="1555"/>
      <c r="Q648" s="1555"/>
      <c r="R648" s="1555"/>
      <c r="S648" s="1555"/>
      <c r="T648" s="1555"/>
      <c r="U648" s="1555"/>
      <c r="V648" s="1555"/>
      <c r="W648" s="1555"/>
      <c r="X648" s="1555"/>
      <c r="Y648" s="1555"/>
      <c r="Z648" s="1555"/>
      <c r="AA648" s="1555"/>
      <c r="AB648" s="1555"/>
      <c r="AC648" s="1555"/>
      <c r="AD648" s="1555"/>
      <c r="AE648" s="1555"/>
      <c r="AF648" s="1555"/>
      <c r="AG648" s="1555"/>
      <c r="AH648" s="1555"/>
      <c r="AI648" s="1555"/>
      <c r="AJ648" s="1555"/>
      <c r="AK648" s="1555"/>
    </row>
    <row r="649" spans="1:37" s="1373" customFormat="1" ht="18" customHeight="1">
      <c r="A649" s="1371"/>
      <c r="B649" s="1371"/>
      <c r="C649" s="75" t="s">
        <v>1373</v>
      </c>
      <c r="D649" s="1838"/>
      <c r="E649" s="1838"/>
      <c r="F649" s="1838"/>
      <c r="G649" s="2065"/>
      <c r="H649" s="48"/>
      <c r="I649" s="49"/>
      <c r="J649" s="1561"/>
      <c r="K649" s="1582"/>
      <c r="L649" s="1582"/>
      <c r="M649" s="1582"/>
      <c r="N649" s="1554"/>
      <c r="O649" s="1555"/>
      <c r="P649" s="1555"/>
      <c r="Q649" s="1555"/>
      <c r="R649" s="1555"/>
      <c r="S649" s="1555"/>
      <c r="T649" s="1555"/>
      <c r="U649" s="1555"/>
      <c r="V649" s="1555"/>
      <c r="W649" s="1555"/>
      <c r="X649" s="1555"/>
      <c r="Y649" s="1555"/>
      <c r="Z649" s="1555"/>
      <c r="AA649" s="1555"/>
      <c r="AB649" s="1555"/>
      <c r="AC649" s="1555"/>
      <c r="AD649" s="1555"/>
      <c r="AE649" s="1555"/>
      <c r="AF649" s="1555"/>
      <c r="AG649" s="1555"/>
      <c r="AH649" s="1555"/>
      <c r="AI649" s="1555"/>
      <c r="AJ649" s="1555"/>
      <c r="AK649" s="1555"/>
    </row>
    <row r="650" spans="1:37" s="1373" customFormat="1" ht="53.45" customHeight="1">
      <c r="A650" s="1371"/>
      <c r="B650" s="1371"/>
      <c r="C650" s="2157" t="s">
        <v>1374</v>
      </c>
      <c r="D650" s="2158"/>
      <c r="E650" s="2158"/>
      <c r="F650" s="2158"/>
      <c r="G650" s="2158"/>
      <c r="H650" s="2158"/>
      <c r="I650" s="2159"/>
      <c r="J650" s="1680"/>
      <c r="K650" s="1680"/>
      <c r="L650" s="1680"/>
      <c r="M650" s="1680"/>
      <c r="N650" s="1554"/>
      <c r="O650" s="1555"/>
      <c r="P650" s="1555"/>
      <c r="Q650" s="1555"/>
      <c r="R650" s="1555"/>
      <c r="S650" s="1555"/>
      <c r="T650" s="1555"/>
      <c r="U650" s="1555"/>
      <c r="V650" s="1555"/>
      <c r="W650" s="1555"/>
      <c r="X650" s="1555"/>
      <c r="Y650" s="1555"/>
      <c r="Z650" s="1555"/>
      <c r="AA650" s="1555"/>
      <c r="AB650" s="1555"/>
      <c r="AC650" s="1555"/>
      <c r="AD650" s="1555"/>
      <c r="AE650" s="1555"/>
      <c r="AF650" s="1555"/>
      <c r="AG650" s="1555"/>
      <c r="AH650" s="1555"/>
      <c r="AI650" s="1555"/>
      <c r="AJ650" s="1555"/>
      <c r="AK650" s="1555"/>
    </row>
    <row r="651" spans="1:37" s="1373" customFormat="1">
      <c r="A651" s="1371"/>
      <c r="B651" s="1371"/>
      <c r="C651" s="2016" t="s">
        <v>1375</v>
      </c>
      <c r="D651" s="2008"/>
      <c r="E651" s="2008"/>
      <c r="F651" s="2008"/>
      <c r="G651" s="2008"/>
      <c r="H651" s="2008"/>
      <c r="I651" s="2009"/>
      <c r="J651" s="1680"/>
      <c r="K651" s="1680"/>
      <c r="L651" s="1680"/>
      <c r="M651" s="1680"/>
      <c r="N651" s="1554"/>
      <c r="O651" s="1555"/>
      <c r="P651" s="1555"/>
      <c r="Q651" s="1555"/>
      <c r="R651" s="1555"/>
      <c r="S651" s="1555"/>
      <c r="T651" s="1555"/>
      <c r="U651" s="1555"/>
      <c r="V651" s="1555"/>
      <c r="W651" s="1555"/>
      <c r="X651" s="1555"/>
      <c r="Y651" s="1555"/>
      <c r="Z651" s="1555"/>
      <c r="AA651" s="1555"/>
      <c r="AB651" s="1555"/>
      <c r="AC651" s="1555"/>
      <c r="AD651" s="1555"/>
      <c r="AE651" s="1555"/>
      <c r="AF651" s="1555"/>
      <c r="AG651" s="1555"/>
      <c r="AH651" s="1555"/>
      <c r="AI651" s="1555"/>
      <c r="AJ651" s="1555"/>
      <c r="AK651" s="1555"/>
    </row>
    <row r="652" spans="1:37" s="1373" customFormat="1" ht="56.25" customHeight="1">
      <c r="A652" s="1371"/>
      <c r="B652" s="1371"/>
      <c r="C652" s="2163" t="s">
        <v>3544</v>
      </c>
      <c r="D652" s="2164"/>
      <c r="E652" s="2164"/>
      <c r="F652" s="2164"/>
      <c r="G652" s="2164"/>
      <c r="H652" s="2164"/>
      <c r="I652" s="2165"/>
      <c r="J652" s="1681"/>
      <c r="K652" s="1681"/>
      <c r="L652" s="1681"/>
      <c r="M652" s="1681"/>
      <c r="N652" s="1554"/>
      <c r="O652" s="1555"/>
      <c r="P652" s="1555"/>
      <c r="Q652" s="1555"/>
      <c r="R652" s="1555"/>
      <c r="S652" s="1555"/>
      <c r="T652" s="1555"/>
      <c r="U652" s="1555"/>
      <c r="V652" s="1555"/>
      <c r="W652" s="1555"/>
      <c r="X652" s="1555"/>
      <c r="Y652" s="1555"/>
      <c r="Z652" s="1555"/>
      <c r="AA652" s="1555"/>
      <c r="AB652" s="1555"/>
      <c r="AC652" s="1555"/>
      <c r="AD652" s="1555"/>
      <c r="AE652" s="1555"/>
      <c r="AF652" s="1555"/>
      <c r="AG652" s="1555"/>
      <c r="AH652" s="1555"/>
      <c r="AI652" s="1555"/>
      <c r="AJ652" s="1555"/>
      <c r="AK652" s="1555"/>
    </row>
    <row r="653" spans="1:37" s="1373" customFormat="1" ht="40.15" customHeight="1">
      <c r="A653" s="1371"/>
      <c r="B653" s="1371"/>
      <c r="C653" s="2163" t="s">
        <v>1376</v>
      </c>
      <c r="D653" s="2164"/>
      <c r="E653" s="2164"/>
      <c r="F653" s="2164"/>
      <c r="G653" s="2164"/>
      <c r="H653" s="2164"/>
      <c r="I653" s="2165"/>
      <c r="J653" s="1681"/>
      <c r="K653" s="1681"/>
      <c r="L653" s="1681"/>
      <c r="M653" s="1681"/>
      <c r="N653" s="1554"/>
      <c r="O653" s="1555"/>
      <c r="P653" s="1555"/>
      <c r="Q653" s="1555"/>
      <c r="R653" s="1555"/>
      <c r="S653" s="1555"/>
      <c r="T653" s="1555"/>
      <c r="U653" s="1555"/>
      <c r="V653" s="1555"/>
      <c r="W653" s="1555"/>
      <c r="X653" s="1555"/>
      <c r="Y653" s="1555"/>
      <c r="Z653" s="1555"/>
      <c r="AA653" s="1555"/>
      <c r="AB653" s="1555"/>
      <c r="AC653" s="1555"/>
      <c r="AD653" s="1555"/>
      <c r="AE653" s="1555"/>
      <c r="AF653" s="1555"/>
      <c r="AG653" s="1555"/>
      <c r="AH653" s="1555"/>
      <c r="AI653" s="1555"/>
      <c r="AJ653" s="1555"/>
      <c r="AK653" s="1555"/>
    </row>
    <row r="654" spans="1:37" s="1373" customFormat="1" ht="81" customHeight="1">
      <c r="A654" s="1371"/>
      <c r="B654" s="1371"/>
      <c r="C654" s="2157" t="s">
        <v>1377</v>
      </c>
      <c r="D654" s="2158"/>
      <c r="E654" s="2158"/>
      <c r="F654" s="2158"/>
      <c r="G654" s="2158"/>
      <c r="H654" s="2158"/>
      <c r="I654" s="2159"/>
      <c r="J654" s="1680"/>
      <c r="K654" s="1680"/>
      <c r="L654" s="1680"/>
      <c r="M654" s="1680"/>
      <c r="N654" s="1554"/>
      <c r="O654" s="1555"/>
      <c r="P654" s="1555"/>
      <c r="Q654" s="1555"/>
      <c r="R654" s="1555"/>
      <c r="S654" s="1555"/>
      <c r="T654" s="1555"/>
      <c r="U654" s="1555"/>
      <c r="V654" s="1555"/>
      <c r="W654" s="1555"/>
      <c r="X654" s="1555"/>
      <c r="Y654" s="1555"/>
      <c r="Z654" s="1555"/>
      <c r="AA654" s="1555"/>
      <c r="AB654" s="1555"/>
      <c r="AC654" s="1555"/>
      <c r="AD654" s="1555"/>
      <c r="AE654" s="1555"/>
      <c r="AF654" s="1555"/>
      <c r="AG654" s="1555"/>
      <c r="AH654" s="1555"/>
      <c r="AI654" s="1555"/>
      <c r="AJ654" s="1555"/>
      <c r="AK654" s="1555"/>
    </row>
    <row r="655" spans="1:37" s="1373" customFormat="1" ht="41.25" customHeight="1">
      <c r="A655" s="1371"/>
      <c r="B655" s="1371"/>
      <c r="C655" s="2157" t="s">
        <v>1378</v>
      </c>
      <c r="D655" s="2158"/>
      <c r="E655" s="2158"/>
      <c r="F655" s="2158"/>
      <c r="G655" s="2158"/>
      <c r="H655" s="2158"/>
      <c r="I655" s="2159"/>
      <c r="J655" s="1680"/>
      <c r="K655" s="1680"/>
      <c r="L655" s="1680"/>
      <c r="M655" s="1680"/>
      <c r="N655" s="1554"/>
      <c r="O655" s="1555"/>
      <c r="P655" s="1555"/>
      <c r="Q655" s="1555"/>
      <c r="R655" s="1555"/>
      <c r="S655" s="1555"/>
      <c r="T655" s="1555"/>
      <c r="U655" s="1555"/>
      <c r="V655" s="1555"/>
      <c r="W655" s="1555"/>
      <c r="X655" s="1555"/>
      <c r="Y655" s="1555"/>
      <c r="Z655" s="1555"/>
      <c r="AA655" s="1555"/>
      <c r="AB655" s="1555"/>
      <c r="AC655" s="1555"/>
      <c r="AD655" s="1555"/>
      <c r="AE655" s="1555"/>
      <c r="AF655" s="1555"/>
      <c r="AG655" s="1555"/>
      <c r="AH655" s="1555"/>
      <c r="AI655" s="1555"/>
      <c r="AJ655" s="1555"/>
      <c r="AK655" s="1555"/>
    </row>
    <row r="656" spans="1:37" s="1373" customFormat="1" ht="53.45" customHeight="1">
      <c r="A656" s="1371"/>
      <c r="B656" s="1371"/>
      <c r="C656" s="2157" t="s">
        <v>1379</v>
      </c>
      <c r="D656" s="2158"/>
      <c r="E656" s="2158"/>
      <c r="F656" s="2158"/>
      <c r="G656" s="2158"/>
      <c r="H656" s="2158"/>
      <c r="I656" s="2159"/>
      <c r="J656" s="1680"/>
      <c r="K656" s="1680"/>
      <c r="L656" s="1680"/>
      <c r="M656" s="1680"/>
      <c r="N656" s="1554"/>
      <c r="O656" s="1555"/>
      <c r="P656" s="1555"/>
      <c r="Q656" s="1555"/>
      <c r="R656" s="1555"/>
      <c r="S656" s="1555"/>
      <c r="T656" s="1555"/>
      <c r="U656" s="1555"/>
      <c r="V656" s="1555"/>
      <c r="W656" s="1555"/>
      <c r="X656" s="1555"/>
      <c r="Y656" s="1555"/>
      <c r="Z656" s="1555"/>
      <c r="AA656" s="1555"/>
      <c r="AB656" s="1555"/>
      <c r="AC656" s="1555"/>
      <c r="AD656" s="1555"/>
      <c r="AE656" s="1555"/>
      <c r="AF656" s="1555"/>
      <c r="AG656" s="1555"/>
      <c r="AH656" s="1555"/>
      <c r="AI656" s="1555"/>
      <c r="AJ656" s="1555"/>
      <c r="AK656" s="1555"/>
    </row>
    <row r="657" spans="1:37" s="1373" customFormat="1" ht="35.450000000000003" customHeight="1">
      <c r="A657" s="1371"/>
      <c r="B657" s="1371"/>
      <c r="C657" s="2157" t="s">
        <v>1380</v>
      </c>
      <c r="D657" s="2158"/>
      <c r="E657" s="2158"/>
      <c r="F657" s="2158"/>
      <c r="G657" s="2158"/>
      <c r="H657" s="2158"/>
      <c r="I657" s="2159"/>
      <c r="J657" s="1680"/>
      <c r="K657" s="1680"/>
      <c r="L657" s="1680"/>
      <c r="M657" s="1680"/>
      <c r="N657" s="1554"/>
      <c r="O657" s="1555"/>
      <c r="P657" s="1555"/>
      <c r="Q657" s="1555"/>
      <c r="R657" s="1555"/>
      <c r="S657" s="1555"/>
      <c r="T657" s="1555"/>
      <c r="U657" s="1555"/>
      <c r="V657" s="1555"/>
      <c r="W657" s="1555"/>
      <c r="X657" s="1555"/>
      <c r="Y657" s="1555"/>
      <c r="Z657" s="1555"/>
      <c r="AA657" s="1555"/>
      <c r="AB657" s="1555"/>
      <c r="AC657" s="1555"/>
      <c r="AD657" s="1555"/>
      <c r="AE657" s="1555"/>
      <c r="AF657" s="1555"/>
      <c r="AG657" s="1555"/>
      <c r="AH657" s="1555"/>
      <c r="AI657" s="1555"/>
      <c r="AJ657" s="1555"/>
      <c r="AK657" s="1555"/>
    </row>
    <row r="658" spans="1:37" s="1373" customFormat="1" ht="57.6" customHeight="1">
      <c r="A658" s="1371"/>
      <c r="B658" s="1371"/>
      <c r="C658" s="2157" t="s">
        <v>3545</v>
      </c>
      <c r="D658" s="2158"/>
      <c r="E658" s="2158"/>
      <c r="F658" s="2158"/>
      <c r="G658" s="2158"/>
      <c r="H658" s="2158"/>
      <c r="I658" s="2159"/>
      <c r="J658" s="1680"/>
      <c r="K658" s="1680"/>
      <c r="L658" s="1680"/>
      <c r="M658" s="1680"/>
      <c r="N658" s="1554"/>
      <c r="O658" s="1555"/>
      <c r="P658" s="1555"/>
      <c r="Q658" s="1555"/>
      <c r="R658" s="1555"/>
      <c r="S658" s="1555"/>
      <c r="T658" s="1555"/>
      <c r="U658" s="1555"/>
      <c r="V658" s="1555"/>
      <c r="W658" s="1555"/>
      <c r="X658" s="1555"/>
      <c r="Y658" s="1555"/>
      <c r="Z658" s="1555"/>
      <c r="AA658" s="1555"/>
      <c r="AB658" s="1555"/>
      <c r="AC658" s="1555"/>
      <c r="AD658" s="1555"/>
      <c r="AE658" s="1555"/>
      <c r="AF658" s="1555"/>
      <c r="AG658" s="1555"/>
      <c r="AH658" s="1555"/>
      <c r="AI658" s="1555"/>
      <c r="AJ658" s="1555"/>
      <c r="AK658" s="1555"/>
    </row>
    <row r="659" spans="1:37" s="1373" customFormat="1">
      <c r="A659" s="1371"/>
      <c r="B659" s="1371"/>
      <c r="C659" s="2010" t="s">
        <v>1381</v>
      </c>
      <c r="D659" s="2008"/>
      <c r="E659" s="2008"/>
      <c r="F659" s="2008"/>
      <c r="G659" s="2008"/>
      <c r="H659" s="2008"/>
      <c r="I659" s="2009"/>
      <c r="J659" s="1680"/>
      <c r="K659" s="1680"/>
      <c r="L659" s="1680"/>
      <c r="M659" s="1680"/>
      <c r="N659" s="1554"/>
      <c r="O659" s="1555"/>
      <c r="P659" s="1555"/>
      <c r="Q659" s="1555"/>
      <c r="R659" s="1555"/>
      <c r="S659" s="1555"/>
      <c r="T659" s="1555"/>
      <c r="U659" s="1555"/>
      <c r="V659" s="1555"/>
      <c r="W659" s="1555"/>
      <c r="X659" s="1555"/>
      <c r="Y659" s="1555"/>
      <c r="Z659" s="1555"/>
      <c r="AA659" s="1555"/>
      <c r="AB659" s="1555"/>
      <c r="AC659" s="1555"/>
      <c r="AD659" s="1555"/>
      <c r="AE659" s="1555"/>
      <c r="AF659" s="1555"/>
      <c r="AG659" s="1555"/>
      <c r="AH659" s="1555"/>
      <c r="AI659" s="1555"/>
      <c r="AJ659" s="1555"/>
      <c r="AK659" s="1555"/>
    </row>
    <row r="660" spans="1:37" s="1373" customFormat="1" ht="57.6" customHeight="1">
      <c r="A660" s="1371"/>
      <c r="B660" s="1371"/>
      <c r="C660" s="2157" t="s">
        <v>1382</v>
      </c>
      <c r="D660" s="2158"/>
      <c r="E660" s="2158"/>
      <c r="F660" s="2158"/>
      <c r="G660" s="2158"/>
      <c r="H660" s="2158"/>
      <c r="I660" s="2159"/>
      <c r="J660" s="1680"/>
      <c r="K660" s="1680"/>
      <c r="L660" s="1680"/>
      <c r="M660" s="1680"/>
      <c r="N660" s="1554"/>
      <c r="O660" s="1555"/>
      <c r="P660" s="1555"/>
      <c r="Q660" s="1555"/>
      <c r="R660" s="1555"/>
      <c r="S660" s="1555"/>
      <c r="T660" s="1555"/>
      <c r="U660" s="1555"/>
      <c r="V660" s="1555"/>
      <c r="W660" s="1555"/>
      <c r="X660" s="1555"/>
      <c r="Y660" s="1555"/>
      <c r="Z660" s="1555"/>
      <c r="AA660" s="1555"/>
      <c r="AB660" s="1555"/>
      <c r="AC660" s="1555"/>
      <c r="AD660" s="1555"/>
      <c r="AE660" s="1555"/>
      <c r="AF660" s="1555"/>
      <c r="AG660" s="1555"/>
      <c r="AH660" s="1555"/>
      <c r="AI660" s="1555"/>
      <c r="AJ660" s="1555"/>
      <c r="AK660" s="1555"/>
    </row>
    <row r="661" spans="1:37" s="1373" customFormat="1" ht="37.5">
      <c r="A661" s="1371"/>
      <c r="B661" s="1371"/>
      <c r="C661" s="157" t="s">
        <v>1383</v>
      </c>
      <c r="D661" s="1895"/>
      <c r="E661" s="1895"/>
      <c r="F661" s="1895"/>
      <c r="G661" s="158"/>
      <c r="H661" s="15" t="s">
        <v>1125</v>
      </c>
      <c r="I661" s="15" t="s">
        <v>1125</v>
      </c>
      <c r="J661" s="1558"/>
      <c r="K661" s="1559"/>
      <c r="L661" s="1559"/>
      <c r="M661" s="1559"/>
      <c r="N661" s="1554"/>
      <c r="O661" s="1555"/>
      <c r="P661" s="1555"/>
      <c r="Q661" s="1555"/>
      <c r="R661" s="1555"/>
      <c r="S661" s="1555"/>
      <c r="T661" s="1555"/>
      <c r="U661" s="1555"/>
      <c r="V661" s="1555"/>
      <c r="W661" s="1555"/>
      <c r="X661" s="1555"/>
      <c r="Y661" s="1555"/>
      <c r="Z661" s="1555"/>
      <c r="AA661" s="1555"/>
      <c r="AB661" s="1555"/>
      <c r="AC661" s="1555"/>
      <c r="AD661" s="1555"/>
      <c r="AE661" s="1555"/>
      <c r="AF661" s="1555"/>
      <c r="AG661" s="1555"/>
      <c r="AH661" s="1555"/>
      <c r="AI661" s="1555"/>
      <c r="AJ661" s="1555"/>
      <c r="AK661" s="1555"/>
    </row>
    <row r="662" spans="1:37" s="1373" customFormat="1">
      <c r="A662" s="1371"/>
      <c r="B662" s="1371"/>
      <c r="C662" s="52"/>
      <c r="D662" s="1844"/>
      <c r="E662" s="1844"/>
      <c r="F662" s="1844"/>
      <c r="G662" s="1482"/>
      <c r="H662" s="16" t="str">
        <f>+H632</f>
        <v>March 31, 2022 (₹)</v>
      </c>
      <c r="I662" s="16" t="str">
        <f>+I632</f>
        <v>March 31, 2021 (₹)</v>
      </c>
      <c r="J662" s="1561"/>
      <c r="K662" s="1562"/>
      <c r="L662" s="1562"/>
      <c r="M662" s="1562"/>
      <c r="N662" s="1554"/>
      <c r="O662" s="1555"/>
      <c r="P662" s="1555"/>
      <c r="Q662" s="1555"/>
      <c r="R662" s="1555"/>
      <c r="S662" s="1555"/>
      <c r="T662" s="1555"/>
      <c r="U662" s="1555"/>
      <c r="V662" s="1555"/>
      <c r="W662" s="1555"/>
      <c r="X662" s="1555"/>
      <c r="Y662" s="1555"/>
      <c r="Z662" s="1555"/>
      <c r="AA662" s="1555"/>
      <c r="AB662" s="1555"/>
      <c r="AC662" s="1555"/>
      <c r="AD662" s="1555"/>
      <c r="AE662" s="1555"/>
      <c r="AF662" s="1555"/>
      <c r="AG662" s="1555"/>
      <c r="AH662" s="1555"/>
      <c r="AI662" s="1555"/>
      <c r="AJ662" s="1555"/>
      <c r="AK662" s="1555"/>
    </row>
    <row r="663" spans="1:37" s="1373" customFormat="1">
      <c r="A663" s="1371"/>
      <c r="B663" s="1371"/>
      <c r="C663" s="75" t="s">
        <v>1384</v>
      </c>
      <c r="D663" s="1838"/>
      <c r="E663" s="1838"/>
      <c r="F663" s="1838"/>
      <c r="G663" s="1483"/>
      <c r="H663" s="19">
        <f>+H368+H373</f>
        <v>19045133</v>
      </c>
      <c r="I663" s="26">
        <f>+I368+I373</f>
        <v>11836631</v>
      </c>
      <c r="J663" s="1566"/>
      <c r="K663" s="1567"/>
      <c r="L663" s="1567"/>
      <c r="M663" s="1567"/>
      <c r="N663" s="1554"/>
      <c r="O663" s="1555"/>
      <c r="P663" s="1555"/>
      <c r="Q663" s="1555"/>
      <c r="R663" s="1555"/>
      <c r="S663" s="1555"/>
      <c r="T663" s="1555"/>
      <c r="U663" s="1555"/>
      <c r="V663" s="1555"/>
      <c r="W663" s="1555"/>
      <c r="X663" s="1555"/>
      <c r="Y663" s="1555"/>
      <c r="Z663" s="1555"/>
      <c r="AA663" s="1555"/>
      <c r="AB663" s="1555"/>
      <c r="AC663" s="1555"/>
      <c r="AD663" s="1555"/>
      <c r="AE663" s="1555"/>
      <c r="AF663" s="1555"/>
      <c r="AG663" s="1555"/>
      <c r="AH663" s="1555"/>
      <c r="AI663" s="1555"/>
      <c r="AJ663" s="1555"/>
      <c r="AK663" s="1555"/>
    </row>
    <row r="664" spans="1:37" s="1373" customFormat="1">
      <c r="A664" s="1371"/>
      <c r="B664" s="1371"/>
      <c r="C664" s="75" t="s">
        <v>1385</v>
      </c>
      <c r="D664" s="1838"/>
      <c r="E664" s="1838"/>
      <c r="F664" s="1838"/>
      <c r="G664" s="1483"/>
      <c r="H664" s="19">
        <f>+H407</f>
        <v>56842407.57</v>
      </c>
      <c r="I664" s="26">
        <f>+I407</f>
        <v>43576042.979999997</v>
      </c>
      <c r="J664" s="1566"/>
      <c r="K664" s="1567"/>
      <c r="L664" s="1567"/>
      <c r="M664" s="1567"/>
      <c r="N664" s="1554"/>
      <c r="O664" s="1555"/>
      <c r="P664" s="1555"/>
      <c r="Q664" s="1555"/>
      <c r="R664" s="1555"/>
      <c r="S664" s="1555"/>
      <c r="T664" s="1555"/>
      <c r="U664" s="1555"/>
      <c r="V664" s="1555"/>
      <c r="W664" s="1555"/>
      <c r="X664" s="1555"/>
      <c r="Y664" s="1555"/>
      <c r="Z664" s="1555"/>
      <c r="AA664" s="1555"/>
      <c r="AB664" s="1555"/>
      <c r="AC664" s="1555"/>
      <c r="AD664" s="1555"/>
      <c r="AE664" s="1555"/>
      <c r="AF664" s="1555"/>
      <c r="AG664" s="1555"/>
      <c r="AH664" s="1555"/>
      <c r="AI664" s="1555"/>
      <c r="AJ664" s="1555"/>
      <c r="AK664" s="1555"/>
    </row>
    <row r="665" spans="1:37" s="1373" customFormat="1">
      <c r="A665" s="1371"/>
      <c r="B665" s="1371"/>
      <c r="C665" s="52" t="s">
        <v>1386</v>
      </c>
      <c r="D665" s="1844"/>
      <c r="E665" s="1844"/>
      <c r="F665" s="1844"/>
      <c r="G665" s="1482"/>
      <c r="H665" s="19">
        <f>+H448+H449</f>
        <v>20366672</v>
      </c>
      <c r="I665" s="26">
        <f>+I448+I449</f>
        <v>9755560</v>
      </c>
      <c r="J665" s="1566"/>
      <c r="K665" s="1567"/>
      <c r="L665" s="1567"/>
      <c r="M665" s="1567"/>
      <c r="N665" s="1554"/>
      <c r="O665" s="1555"/>
      <c r="P665" s="1555"/>
      <c r="Q665" s="1555"/>
      <c r="R665" s="1555"/>
      <c r="S665" s="1555"/>
      <c r="T665" s="1555"/>
      <c r="U665" s="1555"/>
      <c r="V665" s="1555"/>
      <c r="W665" s="1555"/>
      <c r="X665" s="1555"/>
      <c r="Y665" s="1555"/>
      <c r="Z665" s="1555"/>
      <c r="AA665" s="1555"/>
      <c r="AB665" s="1555"/>
      <c r="AC665" s="1555"/>
      <c r="AD665" s="1555"/>
      <c r="AE665" s="1555"/>
      <c r="AF665" s="1555"/>
      <c r="AG665" s="1555"/>
      <c r="AH665" s="1555"/>
      <c r="AI665" s="1555"/>
      <c r="AJ665" s="1555"/>
      <c r="AK665" s="1555"/>
    </row>
    <row r="666" spans="1:37" s="1373" customFormat="1">
      <c r="A666" s="1371"/>
      <c r="B666" s="1371"/>
      <c r="C666" s="2160" t="s">
        <v>1249</v>
      </c>
      <c r="D666" s="2161"/>
      <c r="E666" s="2161"/>
      <c r="F666" s="2161"/>
      <c r="G666" s="2162"/>
      <c r="H666" s="144">
        <f>+SUM(H663:H665)</f>
        <v>96254212.569999993</v>
      </c>
      <c r="I666" s="159">
        <f>+SUM(I663:I665)</f>
        <v>65168233.979999997</v>
      </c>
      <c r="J666" s="1561"/>
      <c r="K666" s="1562"/>
      <c r="L666" s="1562"/>
      <c r="M666" s="1562"/>
      <c r="N666" s="1554"/>
      <c r="O666" s="1555"/>
      <c r="P666" s="1555"/>
      <c r="Q666" s="1555"/>
      <c r="R666" s="1555"/>
      <c r="S666" s="1555"/>
      <c r="T666" s="1555"/>
      <c r="U666" s="1555"/>
      <c r="V666" s="1555"/>
      <c r="W666" s="1555"/>
      <c r="X666" s="1555"/>
      <c r="Y666" s="1555"/>
      <c r="Z666" s="1555"/>
      <c r="AA666" s="1555"/>
      <c r="AB666" s="1555"/>
      <c r="AC666" s="1555"/>
      <c r="AD666" s="1555"/>
      <c r="AE666" s="1555"/>
      <c r="AF666" s="1555"/>
      <c r="AG666" s="1555"/>
      <c r="AH666" s="1555"/>
      <c r="AI666" s="1555"/>
      <c r="AJ666" s="1555"/>
      <c r="AK666" s="1555"/>
    </row>
    <row r="667" spans="1:37" s="1373" customFormat="1" ht="12.75" customHeight="1">
      <c r="A667" s="1371"/>
      <c r="B667" s="1371"/>
      <c r="C667" s="160"/>
      <c r="D667" s="1896"/>
      <c r="E667" s="1896"/>
      <c r="F667" s="1896"/>
      <c r="G667" s="1896"/>
      <c r="H667" s="1985"/>
      <c r="I667" s="163"/>
      <c r="J667" s="1561"/>
      <c r="K667" s="1562"/>
      <c r="L667" s="1562"/>
      <c r="M667" s="1562"/>
      <c r="N667" s="1554"/>
      <c r="O667" s="1555"/>
      <c r="P667" s="1555"/>
      <c r="Q667" s="1555"/>
      <c r="R667" s="1555"/>
      <c r="S667" s="1555"/>
      <c r="T667" s="1555"/>
      <c r="U667" s="1555"/>
      <c r="V667" s="1555"/>
      <c r="W667" s="1555"/>
      <c r="X667" s="1555"/>
      <c r="Y667" s="1555"/>
      <c r="Z667" s="1555"/>
      <c r="AA667" s="1555"/>
      <c r="AB667" s="1555"/>
      <c r="AC667" s="1555"/>
      <c r="AD667" s="1555"/>
      <c r="AE667" s="1555"/>
      <c r="AF667" s="1555"/>
      <c r="AG667" s="1555"/>
      <c r="AH667" s="1555"/>
      <c r="AI667" s="1555"/>
      <c r="AJ667" s="1555"/>
      <c r="AK667" s="1555"/>
    </row>
    <row r="668" spans="1:37">
      <c r="C668" s="1847" t="s">
        <v>1387</v>
      </c>
      <c r="D668" s="1883"/>
      <c r="E668" s="1883"/>
      <c r="F668" s="1883"/>
      <c r="G668" s="1883"/>
      <c r="H668" s="164"/>
      <c r="I668" s="25"/>
      <c r="J668" s="1561"/>
      <c r="K668" s="1562"/>
      <c r="L668" s="1562"/>
      <c r="M668" s="1562"/>
      <c r="N668" s="1554"/>
    </row>
    <row r="669" spans="1:37" ht="75" customHeight="1">
      <c r="C669" s="2157" t="s">
        <v>1388</v>
      </c>
      <c r="D669" s="2158"/>
      <c r="E669" s="2158"/>
      <c r="F669" s="2158"/>
      <c r="G669" s="2158"/>
      <c r="H669" s="2158"/>
      <c r="I669" s="2159"/>
      <c r="J669" s="1680"/>
      <c r="K669" s="1680"/>
      <c r="L669" s="1680"/>
      <c r="M669" s="1680"/>
      <c r="N669" s="1554"/>
    </row>
    <row r="670" spans="1:37" ht="39" customHeight="1">
      <c r="C670" s="2157" t="s">
        <v>1389</v>
      </c>
      <c r="D670" s="2158"/>
      <c r="E670" s="2158"/>
      <c r="F670" s="2158"/>
      <c r="G670" s="2158"/>
      <c r="H670" s="2158"/>
      <c r="I670" s="2159"/>
      <c r="J670" s="1680"/>
      <c r="K670" s="1680"/>
      <c r="L670" s="1680"/>
      <c r="M670" s="1680"/>
      <c r="N670" s="1554"/>
    </row>
    <row r="671" spans="1:37" ht="37.15" customHeight="1">
      <c r="C671" s="2157" t="s">
        <v>1390</v>
      </c>
      <c r="D671" s="2158"/>
      <c r="E671" s="2158"/>
      <c r="F671" s="2158"/>
      <c r="G671" s="2158"/>
      <c r="H671" s="2158"/>
      <c r="I671" s="2159"/>
      <c r="J671" s="1680"/>
      <c r="K671" s="1680"/>
      <c r="L671" s="1680"/>
      <c r="M671" s="1680"/>
      <c r="N671" s="1554"/>
    </row>
    <row r="672" spans="1:37" ht="36.6" customHeight="1">
      <c r="C672" s="2145" t="s">
        <v>3554</v>
      </c>
      <c r="D672" s="2146"/>
      <c r="E672" s="2146"/>
      <c r="F672" s="2146"/>
      <c r="G672" s="2146"/>
      <c r="H672" s="2146"/>
      <c r="I672" s="2147"/>
      <c r="J672" s="1682"/>
      <c r="K672" s="1682"/>
      <c r="L672" s="1682"/>
      <c r="M672" s="1682"/>
      <c r="N672" s="1554"/>
    </row>
    <row r="673" spans="1:61" hidden="1">
      <c r="C673" s="1975"/>
      <c r="D673" s="161"/>
      <c r="E673" s="1896"/>
      <c r="F673" s="161"/>
      <c r="G673" s="161"/>
      <c r="H673" s="162"/>
      <c r="I673" s="1985"/>
      <c r="J673" s="1561"/>
      <c r="K673" s="1562"/>
      <c r="L673" s="1562"/>
      <c r="M673" s="1562"/>
      <c r="N673" s="1554"/>
    </row>
    <row r="674" spans="1:61">
      <c r="A674" s="1473"/>
      <c r="B674" s="1473"/>
      <c r="C674" s="2148" t="s">
        <v>1065</v>
      </c>
      <c r="D674" s="2149"/>
      <c r="E674" s="2150"/>
      <c r="F674" s="2149"/>
      <c r="G674" s="2149"/>
      <c r="H674" s="2149"/>
      <c r="I674" s="2151"/>
      <c r="J674" s="1677"/>
      <c r="K674" s="1678"/>
      <c r="L674" s="1678"/>
      <c r="M674" s="1678"/>
      <c r="N674" s="1554"/>
    </row>
    <row r="675" spans="1:61" s="1375" customFormat="1">
      <c r="A675" s="1401"/>
      <c r="B675" s="1401"/>
      <c r="C675" s="2152" t="s">
        <v>1546</v>
      </c>
      <c r="D675" s="2153"/>
      <c r="E675" s="2153"/>
      <c r="F675" s="2153"/>
      <c r="G675" s="2153"/>
      <c r="H675" s="2153"/>
      <c r="I675" s="2154"/>
      <c r="J675" s="1677"/>
      <c r="K675" s="1678"/>
      <c r="L675" s="1678"/>
      <c r="M675" s="1678"/>
      <c r="N675" s="1679"/>
      <c r="O675" s="1608"/>
      <c r="P675" s="1608"/>
      <c r="Q675" s="1608"/>
      <c r="R675" s="1608"/>
      <c r="S675" s="1608"/>
      <c r="T675" s="1608"/>
      <c r="U675" s="1608"/>
      <c r="V675" s="1608"/>
      <c r="W675" s="1608"/>
      <c r="X675" s="1608"/>
      <c r="Y675" s="1608"/>
      <c r="Z675" s="1608"/>
      <c r="AA675" s="1608"/>
      <c r="AB675" s="1608"/>
      <c r="AC675" s="1608"/>
      <c r="AD675" s="1608"/>
      <c r="AE675" s="1608"/>
      <c r="AF675" s="1608"/>
      <c r="AG675" s="1608"/>
      <c r="AH675" s="1608"/>
      <c r="AI675" s="1608"/>
      <c r="AJ675" s="1608"/>
      <c r="AK675" s="1608"/>
      <c r="AL675" s="1425"/>
      <c r="AM675" s="1425"/>
      <c r="AN675" s="1425"/>
      <c r="AO675" s="1425"/>
      <c r="AP675" s="1425"/>
      <c r="AQ675" s="1425"/>
      <c r="AR675" s="1425"/>
      <c r="AS675" s="1425"/>
      <c r="AT675" s="1425"/>
      <c r="AU675" s="1425"/>
      <c r="AV675" s="1425"/>
      <c r="AW675" s="1425"/>
      <c r="AX675" s="1425"/>
      <c r="AY675" s="1425"/>
      <c r="AZ675" s="1425"/>
      <c r="BA675" s="1425"/>
      <c r="BB675" s="1425"/>
      <c r="BC675" s="1425"/>
      <c r="BD675" s="1425"/>
      <c r="BE675" s="1425"/>
      <c r="BF675" s="1425"/>
      <c r="BG675" s="1425"/>
      <c r="BH675" s="1425"/>
      <c r="BI675" s="1425"/>
    </row>
    <row r="676" spans="1:61">
      <c r="C676" s="1401"/>
      <c r="D676" s="1838"/>
      <c r="E676" s="1838"/>
      <c r="F676" s="1838"/>
      <c r="G676" s="133"/>
      <c r="H676" s="15" t="str">
        <f>+H631</f>
        <v xml:space="preserve">As At </v>
      </c>
      <c r="I676" s="15" t="str">
        <f>+I631</f>
        <v xml:space="preserve"> As At</v>
      </c>
      <c r="J676" s="1558"/>
      <c r="K676" s="1559"/>
      <c r="L676" s="1559"/>
      <c r="M676" s="1559"/>
      <c r="N676" s="1678"/>
    </row>
    <row r="677" spans="1:61">
      <c r="C677" s="1847"/>
      <c r="D677" s="1838"/>
      <c r="E677" s="1838"/>
      <c r="F677" s="1838"/>
      <c r="G677" s="1388"/>
      <c r="H677" s="16" t="str">
        <f>+H662</f>
        <v>March 31, 2022 (₹)</v>
      </c>
      <c r="I677" s="16" t="s">
        <v>1069</v>
      </c>
      <c r="J677" s="1561"/>
      <c r="K677" s="1562"/>
      <c r="L677" s="1562"/>
      <c r="M677" s="1562"/>
      <c r="N677" s="1587"/>
    </row>
    <row r="678" spans="1:61">
      <c r="C678" s="132" t="s">
        <v>3546</v>
      </c>
      <c r="D678" s="1838"/>
      <c r="E678" s="1838"/>
      <c r="F678" s="1838"/>
      <c r="G678" s="1371"/>
      <c r="H678" s="21"/>
      <c r="I678" s="21"/>
      <c r="J678" s="1561"/>
      <c r="K678" s="1562"/>
      <c r="L678" s="1562"/>
      <c r="M678" s="1562"/>
      <c r="N678" s="1587"/>
    </row>
    <row r="679" spans="1:61">
      <c r="C679" s="74" t="s">
        <v>1391</v>
      </c>
      <c r="D679" s="1838"/>
      <c r="E679" s="1838"/>
      <c r="F679" s="1838"/>
      <c r="G679" s="164"/>
      <c r="H679" s="21"/>
      <c r="I679" s="21"/>
      <c r="J679" s="1561"/>
      <c r="K679" s="1562"/>
      <c r="L679" s="1562"/>
      <c r="M679" s="1562"/>
      <c r="N679" s="1562"/>
    </row>
    <row r="680" spans="1:61">
      <c r="C680" s="74" t="s">
        <v>1392</v>
      </c>
      <c r="D680" s="1838"/>
      <c r="E680" s="1838"/>
      <c r="F680" s="1838"/>
      <c r="G680" s="164"/>
      <c r="H680" s="144">
        <f>+H701</f>
        <v>5262294</v>
      </c>
      <c r="I680" s="144">
        <f>+I701</f>
        <v>4778694</v>
      </c>
      <c r="J680" s="1561"/>
      <c r="K680" s="1562"/>
      <c r="L680" s="1562"/>
      <c r="M680" s="1562"/>
      <c r="N680" s="1562"/>
    </row>
    <row r="681" spans="1:61" s="1373" customFormat="1" ht="57.75" customHeight="1">
      <c r="A681" s="1371"/>
      <c r="B681" s="1371"/>
      <c r="C681" s="2155" t="s">
        <v>1393</v>
      </c>
      <c r="D681" s="2156"/>
      <c r="E681" s="2156"/>
      <c r="F681" s="2156"/>
      <c r="G681" s="2156"/>
      <c r="H681" s="165"/>
      <c r="I681" s="166"/>
      <c r="J681" s="1625"/>
      <c r="K681" s="1683"/>
      <c r="L681" s="1683"/>
      <c r="M681" s="1683"/>
      <c r="N681" s="1562"/>
      <c r="O681" s="1555"/>
      <c r="P681" s="1555"/>
      <c r="Q681" s="1555"/>
      <c r="R681" s="1555"/>
      <c r="S681" s="1555"/>
      <c r="T681" s="1555"/>
      <c r="U681" s="1555"/>
      <c r="V681" s="1555"/>
      <c r="W681" s="1555"/>
      <c r="X681" s="1555"/>
      <c r="Y681" s="1555"/>
      <c r="Z681" s="1555"/>
      <c r="AA681" s="1555"/>
      <c r="AB681" s="1555"/>
      <c r="AC681" s="1555"/>
      <c r="AD681" s="1555"/>
      <c r="AE681" s="1555"/>
      <c r="AF681" s="1555"/>
      <c r="AG681" s="1555"/>
      <c r="AH681" s="1555"/>
      <c r="AI681" s="1555"/>
      <c r="AJ681" s="1555"/>
      <c r="AK681" s="1555"/>
    </row>
    <row r="682" spans="1:61" s="1373" customFormat="1">
      <c r="A682" s="1371"/>
      <c r="B682" s="1371"/>
      <c r="C682" s="1382"/>
      <c r="D682" s="1484"/>
      <c r="E682" s="1484"/>
      <c r="F682" s="1484"/>
      <c r="G682" s="1484"/>
      <c r="H682" s="125"/>
      <c r="I682" s="125"/>
      <c r="J682" s="1625"/>
      <c r="K682" s="1683"/>
      <c r="L682" s="1683"/>
      <c r="M682" s="1683"/>
      <c r="N682" s="1684"/>
      <c r="O682" s="1555"/>
      <c r="P682" s="1555"/>
      <c r="Q682" s="1555"/>
      <c r="R682" s="1555"/>
      <c r="S682" s="1555"/>
      <c r="T682" s="1555"/>
      <c r="U682" s="1555"/>
      <c r="V682" s="1555"/>
      <c r="W682" s="1555"/>
      <c r="X682" s="1555"/>
      <c r="Y682" s="1555"/>
      <c r="Z682" s="1555"/>
      <c r="AA682" s="1555"/>
      <c r="AB682" s="1555"/>
      <c r="AC682" s="1555"/>
      <c r="AD682" s="1555"/>
      <c r="AE682" s="1555"/>
      <c r="AF682" s="1555"/>
      <c r="AG682" s="1555"/>
      <c r="AH682" s="1555"/>
      <c r="AI682" s="1555"/>
      <c r="AJ682" s="1555"/>
      <c r="AK682" s="1555"/>
    </row>
    <row r="683" spans="1:61" s="1373" customFormat="1">
      <c r="A683" s="1371"/>
      <c r="B683" s="1371"/>
      <c r="C683" s="1485" t="s">
        <v>1394</v>
      </c>
      <c r="D683" s="1880"/>
      <c r="E683" s="1880"/>
      <c r="F683" s="1880"/>
      <c r="G683" s="1880"/>
      <c r="H683" s="167"/>
      <c r="I683" s="167"/>
      <c r="J683" s="1685"/>
      <c r="K683" s="1685"/>
      <c r="L683" s="1685"/>
      <c r="M683" s="1685"/>
      <c r="N683" s="1684"/>
      <c r="O683" s="1555"/>
      <c r="P683" s="1555"/>
      <c r="Q683" s="1555"/>
      <c r="R683" s="1555"/>
      <c r="S683" s="1555"/>
      <c r="T683" s="1555"/>
      <c r="U683" s="1555"/>
      <c r="V683" s="1555"/>
      <c r="W683" s="1555"/>
      <c r="X683" s="1555"/>
      <c r="Y683" s="1555"/>
      <c r="Z683" s="1555"/>
      <c r="AA683" s="1555"/>
      <c r="AB683" s="1555"/>
      <c r="AC683" s="1555"/>
      <c r="AD683" s="1555"/>
      <c r="AE683" s="1555"/>
      <c r="AF683" s="1555"/>
      <c r="AG683" s="1555"/>
      <c r="AH683" s="1555"/>
      <c r="AI683" s="1555"/>
      <c r="AJ683" s="1555"/>
      <c r="AK683" s="1555"/>
    </row>
    <row r="684" spans="1:61" s="1373" customFormat="1">
      <c r="A684" s="1371"/>
      <c r="B684" s="1371"/>
      <c r="C684" s="1426" t="s">
        <v>402</v>
      </c>
      <c r="D684" s="1375"/>
      <c r="E684" s="1871"/>
      <c r="F684" s="1486"/>
      <c r="G684" s="1487"/>
      <c r="H684" s="15" t="str">
        <f>+H676</f>
        <v xml:space="preserve">As At </v>
      </c>
      <c r="I684" s="15" t="str">
        <f>+I676</f>
        <v xml:space="preserve"> As At</v>
      </c>
      <c r="J684" s="1558"/>
      <c r="K684" s="1559"/>
      <c r="L684" s="1559"/>
      <c r="M684" s="1559"/>
      <c r="N684" s="1686"/>
      <c r="O684" s="1555"/>
      <c r="P684" s="1555"/>
      <c r="Q684" s="1555"/>
      <c r="R684" s="1555"/>
      <c r="S684" s="1555"/>
      <c r="T684" s="1555"/>
      <c r="U684" s="1555"/>
      <c r="V684" s="1555"/>
      <c r="W684" s="1555"/>
      <c r="X684" s="1555"/>
      <c r="Y684" s="1555"/>
      <c r="Z684" s="1555"/>
      <c r="AA684" s="1555"/>
      <c r="AB684" s="1555"/>
      <c r="AC684" s="1555"/>
      <c r="AD684" s="1555"/>
      <c r="AE684" s="1555"/>
      <c r="AF684" s="1555"/>
      <c r="AG684" s="1555"/>
      <c r="AH684" s="1555"/>
      <c r="AI684" s="1555"/>
      <c r="AJ684" s="1555"/>
      <c r="AK684" s="1555"/>
    </row>
    <row r="685" spans="1:61" s="1373" customFormat="1">
      <c r="A685" s="1371"/>
      <c r="B685" s="1371"/>
      <c r="C685" s="1488"/>
      <c r="D685" s="1855"/>
      <c r="E685" s="1855"/>
      <c r="F685" s="1428"/>
      <c r="G685" s="1489"/>
      <c r="H685" s="16" t="str">
        <f>+H5</f>
        <v>March 31, 2022 (₹)</v>
      </c>
      <c r="I685" s="16" t="s">
        <v>1069</v>
      </c>
      <c r="J685" s="1561"/>
      <c r="K685" s="1562"/>
      <c r="L685" s="1562"/>
      <c r="M685" s="1562"/>
      <c r="N685" s="1587"/>
      <c r="O685" s="1555"/>
      <c r="P685" s="1555"/>
      <c r="Q685" s="1555"/>
      <c r="R685" s="1555"/>
      <c r="S685" s="1555"/>
      <c r="T685" s="1555"/>
      <c r="U685" s="1555"/>
      <c r="V685" s="1555"/>
      <c r="W685" s="1555"/>
      <c r="X685" s="1555"/>
      <c r="Y685" s="1555"/>
      <c r="Z685" s="1555"/>
      <c r="AA685" s="1555"/>
      <c r="AB685" s="1555"/>
      <c r="AC685" s="1555"/>
      <c r="AD685" s="1555"/>
      <c r="AE685" s="1555"/>
      <c r="AF685" s="1555"/>
      <c r="AG685" s="1555"/>
      <c r="AH685" s="1555"/>
      <c r="AI685" s="1555"/>
      <c r="AJ685" s="1555"/>
      <c r="AK685" s="1555"/>
    </row>
    <row r="686" spans="1:61" s="1373" customFormat="1">
      <c r="A686" s="1371"/>
      <c r="B686" s="1371"/>
      <c r="C686" s="1490" t="s">
        <v>1395</v>
      </c>
      <c r="D686" s="1491"/>
      <c r="E686" s="1872"/>
      <c r="F686" s="1491"/>
      <c r="G686" s="1492"/>
      <c r="H686" s="168"/>
      <c r="I686" s="57"/>
      <c r="J686" s="1566"/>
      <c r="K686" s="1554"/>
      <c r="L686" s="1554"/>
      <c r="M686" s="1554"/>
      <c r="N686" s="1562"/>
      <c r="O686" s="1555"/>
      <c r="P686" s="1555"/>
      <c r="Q686" s="1555"/>
      <c r="R686" s="1555"/>
      <c r="S686" s="1555"/>
      <c r="T686" s="1555"/>
      <c r="U686" s="1555"/>
      <c r="V686" s="1555"/>
      <c r="W686" s="1555"/>
      <c r="X686" s="1555"/>
      <c r="Y686" s="1555"/>
      <c r="Z686" s="1555"/>
      <c r="AA686" s="1555"/>
      <c r="AB686" s="1555"/>
      <c r="AC686" s="1555"/>
      <c r="AD686" s="1555"/>
      <c r="AE686" s="1555"/>
      <c r="AF686" s="1555"/>
      <c r="AG686" s="1555"/>
      <c r="AH686" s="1555"/>
      <c r="AI686" s="1555"/>
      <c r="AJ686" s="1555"/>
      <c r="AK686" s="1555"/>
    </row>
    <row r="687" spans="1:61" s="1373" customFormat="1">
      <c r="A687" s="1371"/>
      <c r="B687" s="1371"/>
      <c r="C687" s="1401" t="s">
        <v>1396</v>
      </c>
      <c r="D687" s="1371"/>
      <c r="E687" s="1371"/>
      <c r="F687" s="1439"/>
      <c r="G687" s="142"/>
      <c r="H687" s="22">
        <f>+I694</f>
        <v>7437757</v>
      </c>
      <c r="I687" s="22">
        <v>7719067</v>
      </c>
      <c r="J687" s="1566"/>
      <c r="K687" s="1554"/>
      <c r="L687" s="1554"/>
      <c r="M687" s="1554"/>
      <c r="N687" s="1554"/>
      <c r="O687" s="1555"/>
      <c r="P687" s="1555"/>
      <c r="Q687" s="1555"/>
      <c r="R687" s="1555"/>
      <c r="S687" s="1555"/>
      <c r="T687" s="1555"/>
      <c r="U687" s="1555"/>
      <c r="V687" s="1555"/>
      <c r="W687" s="1555"/>
      <c r="X687" s="1555"/>
      <c r="Y687" s="1555"/>
      <c r="Z687" s="1555"/>
      <c r="AA687" s="1555"/>
      <c r="AB687" s="1555"/>
      <c r="AC687" s="1555"/>
      <c r="AD687" s="1555"/>
      <c r="AE687" s="1555"/>
      <c r="AF687" s="1555"/>
      <c r="AG687" s="1555"/>
      <c r="AH687" s="1555"/>
      <c r="AI687" s="1555"/>
      <c r="AJ687" s="1555"/>
      <c r="AK687" s="1555"/>
    </row>
    <row r="688" spans="1:61" s="1373" customFormat="1">
      <c r="A688" s="1371"/>
      <c r="B688" s="1371"/>
      <c r="C688" s="1401" t="s">
        <v>1397</v>
      </c>
      <c r="D688" s="1371"/>
      <c r="E688" s="1371"/>
      <c r="F688" s="1439"/>
      <c r="G688" s="142"/>
      <c r="H688" s="22">
        <v>729554</v>
      </c>
      <c r="I688" s="22">
        <v>574606</v>
      </c>
      <c r="J688" s="1566"/>
      <c r="K688" s="1554"/>
      <c r="L688" s="1554"/>
      <c r="M688" s="1554"/>
      <c r="N688" s="1554"/>
      <c r="O688" s="1555"/>
      <c r="P688" s="1555"/>
      <c r="Q688" s="1555"/>
      <c r="R688" s="1555"/>
      <c r="S688" s="1555"/>
      <c r="T688" s="1555"/>
      <c r="U688" s="1555"/>
      <c r="V688" s="1555"/>
      <c r="W688" s="1555"/>
      <c r="X688" s="1555"/>
      <c r="Y688" s="1555"/>
      <c r="Z688" s="1555"/>
      <c r="AA688" s="1555"/>
      <c r="AB688" s="1555"/>
      <c r="AC688" s="1555"/>
      <c r="AD688" s="1555"/>
      <c r="AE688" s="1555"/>
      <c r="AF688" s="1555"/>
      <c r="AG688" s="1555"/>
      <c r="AH688" s="1555"/>
      <c r="AI688" s="1555"/>
      <c r="AJ688" s="1555"/>
      <c r="AK688" s="1555"/>
    </row>
    <row r="689" spans="1:37" s="1373" customFormat="1" hidden="1">
      <c r="A689" s="1371"/>
      <c r="B689" s="1371"/>
      <c r="C689" s="1401" t="s">
        <v>1398</v>
      </c>
      <c r="D689" s="1371"/>
      <c r="E689" s="1371"/>
      <c r="F689" s="1439"/>
      <c r="G689" s="1493"/>
      <c r="H689" s="22">
        <v>0</v>
      </c>
      <c r="I689" s="22">
        <v>0</v>
      </c>
      <c r="J689" s="1566"/>
      <c r="K689" s="1554"/>
      <c r="L689" s="1554"/>
      <c r="M689" s="1554"/>
      <c r="N689" s="1554"/>
      <c r="O689" s="1555"/>
      <c r="P689" s="1555"/>
      <c r="Q689" s="1555"/>
      <c r="R689" s="1555"/>
      <c r="S689" s="1555"/>
      <c r="T689" s="1555"/>
      <c r="U689" s="1555"/>
      <c r="V689" s="1555"/>
      <c r="W689" s="1555"/>
      <c r="X689" s="1555"/>
      <c r="Y689" s="1555"/>
      <c r="Z689" s="1555"/>
      <c r="AA689" s="1555"/>
      <c r="AB689" s="1555"/>
      <c r="AC689" s="1555"/>
      <c r="AD689" s="1555"/>
      <c r="AE689" s="1555"/>
      <c r="AF689" s="1555"/>
      <c r="AG689" s="1555"/>
      <c r="AH689" s="1555"/>
      <c r="AI689" s="1555"/>
      <c r="AJ689" s="1555"/>
      <c r="AK689" s="1555"/>
    </row>
    <row r="690" spans="1:37" s="1373" customFormat="1">
      <c r="A690" s="1371"/>
      <c r="B690" s="1371"/>
      <c r="C690" s="1401" t="s">
        <v>1399</v>
      </c>
      <c r="D690" s="1371"/>
      <c r="E690" s="1371"/>
      <c r="F690" s="1439"/>
      <c r="G690" s="1493"/>
      <c r="H690" s="22">
        <v>510974</v>
      </c>
      <c r="I690" s="22">
        <v>529528</v>
      </c>
      <c r="J690" s="1566"/>
      <c r="K690" s="1554"/>
      <c r="L690" s="1554"/>
      <c r="M690" s="1554"/>
      <c r="N690" s="1554"/>
      <c r="O690" s="1555"/>
      <c r="P690" s="1555"/>
      <c r="Q690" s="1555"/>
      <c r="R690" s="1555"/>
      <c r="S690" s="1555"/>
      <c r="T690" s="1555"/>
      <c r="U690" s="1555"/>
      <c r="V690" s="1555"/>
      <c r="W690" s="1555"/>
      <c r="X690" s="1555"/>
      <c r="Y690" s="1555"/>
      <c r="Z690" s="1555"/>
      <c r="AA690" s="1555"/>
      <c r="AB690" s="1555"/>
      <c r="AC690" s="1555"/>
      <c r="AD690" s="1555"/>
      <c r="AE690" s="1555"/>
      <c r="AF690" s="1555"/>
      <c r="AG690" s="1555"/>
      <c r="AH690" s="1555"/>
      <c r="AI690" s="1555"/>
      <c r="AJ690" s="1555"/>
      <c r="AK690" s="1555"/>
    </row>
    <row r="691" spans="1:37" s="1373" customFormat="1">
      <c r="A691" s="1371"/>
      <c r="B691" s="1371"/>
      <c r="C691" s="1401" t="s">
        <v>1400</v>
      </c>
      <c r="D691" s="1371"/>
      <c r="E691" s="1371"/>
      <c r="F691" s="1439"/>
      <c r="G691" s="1493"/>
      <c r="H691" s="22">
        <f>-235636-11692</f>
        <v>-247328</v>
      </c>
      <c r="I691" s="22">
        <v>-5832</v>
      </c>
      <c r="J691" s="1566"/>
      <c r="K691" s="1554"/>
      <c r="L691" s="1554"/>
      <c r="M691" s="1554"/>
      <c r="N691" s="1554"/>
      <c r="O691" s="1555"/>
      <c r="P691" s="1555"/>
      <c r="Q691" s="1555"/>
      <c r="R691" s="1555"/>
      <c r="S691" s="1555"/>
      <c r="T691" s="1555"/>
      <c r="U691" s="1555"/>
      <c r="V691" s="1555"/>
      <c r="W691" s="1555"/>
      <c r="X691" s="1555"/>
      <c r="Y691" s="1555"/>
      <c r="Z691" s="1555"/>
      <c r="AA691" s="1555"/>
      <c r="AB691" s="1555"/>
      <c r="AC691" s="1555"/>
      <c r="AD691" s="1555"/>
      <c r="AE691" s="1555"/>
      <c r="AF691" s="1555"/>
      <c r="AG691" s="1555"/>
      <c r="AH691" s="1555"/>
      <c r="AI691" s="1555"/>
      <c r="AJ691" s="1555"/>
      <c r="AK691" s="1555"/>
    </row>
    <row r="692" spans="1:37" s="1373" customFormat="1">
      <c r="A692" s="1371"/>
      <c r="B692" s="1371"/>
      <c r="C692" s="1401" t="s">
        <v>1401</v>
      </c>
      <c r="D692" s="1371"/>
      <c r="E692" s="1371"/>
      <c r="F692" s="1439"/>
      <c r="G692" s="1493"/>
      <c r="H692" s="22">
        <v>-218354</v>
      </c>
      <c r="I692" s="22">
        <v>-237842</v>
      </c>
      <c r="J692" s="1566"/>
      <c r="K692" s="1554"/>
      <c r="L692" s="1554"/>
      <c r="M692" s="1554"/>
      <c r="N692" s="1687"/>
      <c r="O692" s="1555"/>
      <c r="P692" s="1555"/>
      <c r="Q692" s="1555"/>
      <c r="R692" s="1555"/>
      <c r="S692" s="1555"/>
      <c r="T692" s="1555"/>
      <c r="U692" s="1555"/>
      <c r="V692" s="1555"/>
      <c r="W692" s="1555"/>
      <c r="X692" s="1555"/>
      <c r="Y692" s="1555"/>
      <c r="Z692" s="1555"/>
      <c r="AA692" s="1555"/>
      <c r="AB692" s="1555"/>
      <c r="AC692" s="1555"/>
      <c r="AD692" s="1555"/>
      <c r="AE692" s="1555"/>
      <c r="AF692" s="1555"/>
      <c r="AG692" s="1555"/>
      <c r="AH692" s="1555"/>
      <c r="AI692" s="1555"/>
      <c r="AJ692" s="1555"/>
      <c r="AK692" s="1555"/>
    </row>
    <row r="693" spans="1:37" s="1373" customFormat="1">
      <c r="A693" s="1371"/>
      <c r="B693" s="1371"/>
      <c r="C693" s="1401" t="s">
        <v>1402</v>
      </c>
      <c r="D693" s="1371"/>
      <c r="E693" s="1371"/>
      <c r="F693" s="1439"/>
      <c r="G693" s="1493"/>
      <c r="H693" s="22">
        <v>-865887</v>
      </c>
      <c r="I693" s="22">
        <v>-1141770</v>
      </c>
      <c r="J693" s="1566"/>
      <c r="K693" s="1554"/>
      <c r="L693" s="1554"/>
      <c r="M693" s="1554"/>
      <c r="N693" s="1687"/>
      <c r="O693" s="1555"/>
      <c r="P693" s="1555"/>
      <c r="Q693" s="1555"/>
      <c r="R693" s="1555"/>
      <c r="S693" s="1555"/>
      <c r="T693" s="1555"/>
      <c r="U693" s="1555"/>
      <c r="V693" s="1555"/>
      <c r="W693" s="1555"/>
      <c r="X693" s="1555"/>
      <c r="Y693" s="1555"/>
      <c r="Z693" s="1555"/>
      <c r="AA693" s="1555"/>
      <c r="AB693" s="1555"/>
      <c r="AC693" s="1555"/>
      <c r="AD693" s="1555"/>
      <c r="AE693" s="1555"/>
      <c r="AF693" s="1555"/>
      <c r="AG693" s="1555"/>
      <c r="AH693" s="1555"/>
      <c r="AI693" s="1555"/>
      <c r="AJ693" s="1555"/>
      <c r="AK693" s="1555"/>
    </row>
    <row r="694" spans="1:37" s="1373" customFormat="1">
      <c r="A694" s="1371"/>
      <c r="B694" s="1371"/>
      <c r="C694" s="1398" t="s">
        <v>1403</v>
      </c>
      <c r="D694" s="1371"/>
      <c r="E694" s="1371"/>
      <c r="F694" s="1439"/>
      <c r="G694" s="133"/>
      <c r="H694" s="23">
        <f>+SUM(H687:H693)</f>
        <v>7346716</v>
      </c>
      <c r="I694" s="23">
        <f>+SUM(I687:I693)</f>
        <v>7437757</v>
      </c>
      <c r="J694" s="1561"/>
      <c r="K694" s="1569"/>
      <c r="L694" s="1569"/>
      <c r="M694" s="1569"/>
      <c r="N694" s="1554"/>
      <c r="O694" s="1555"/>
      <c r="P694" s="1555"/>
      <c r="Q694" s="1555"/>
      <c r="R694" s="1555"/>
      <c r="S694" s="1555"/>
      <c r="T694" s="1555"/>
      <c r="U694" s="1555"/>
      <c r="V694" s="1555"/>
      <c r="W694" s="1555"/>
      <c r="X694" s="1555"/>
      <c r="Y694" s="1555"/>
      <c r="Z694" s="1555"/>
      <c r="AA694" s="1555"/>
      <c r="AB694" s="1555"/>
      <c r="AC694" s="1555"/>
      <c r="AD694" s="1555"/>
      <c r="AE694" s="1555"/>
      <c r="AF694" s="1555"/>
      <c r="AG694" s="1555"/>
      <c r="AH694" s="1555"/>
      <c r="AI694" s="1555"/>
      <c r="AJ694" s="1555"/>
      <c r="AK694" s="1555"/>
    </row>
    <row r="695" spans="1:37" s="1373" customFormat="1">
      <c r="A695" s="1371"/>
      <c r="B695" s="1371"/>
      <c r="C695" s="1401" t="s">
        <v>1404</v>
      </c>
      <c r="D695" s="1371"/>
      <c r="E695" s="1371"/>
      <c r="F695" s="1439"/>
      <c r="G695" s="1493"/>
      <c r="H695" s="22"/>
      <c r="I695" s="22"/>
      <c r="J695" s="1566"/>
      <c r="K695" s="1554"/>
      <c r="L695" s="1554"/>
      <c r="M695" s="1554"/>
      <c r="N695" s="1569"/>
      <c r="O695" s="1555"/>
      <c r="P695" s="1555"/>
      <c r="Q695" s="1555"/>
      <c r="R695" s="1555"/>
      <c r="S695" s="1555"/>
      <c r="T695" s="1555"/>
      <c r="U695" s="1555"/>
      <c r="V695" s="1555"/>
      <c r="W695" s="1555"/>
      <c r="X695" s="1555"/>
      <c r="Y695" s="1555"/>
      <c r="Z695" s="1555"/>
      <c r="AA695" s="1555"/>
      <c r="AB695" s="1555"/>
      <c r="AC695" s="1555"/>
      <c r="AD695" s="1555"/>
      <c r="AE695" s="1555"/>
      <c r="AF695" s="1555"/>
      <c r="AG695" s="1555"/>
      <c r="AH695" s="1555"/>
      <c r="AI695" s="1555"/>
      <c r="AJ695" s="1555"/>
      <c r="AK695" s="1555"/>
    </row>
    <row r="696" spans="1:37" s="1373" customFormat="1">
      <c r="A696" s="1371"/>
      <c r="B696" s="1371"/>
      <c r="C696" s="1401" t="s">
        <v>1405</v>
      </c>
      <c r="D696" s="1371"/>
      <c r="E696" s="1371"/>
      <c r="F696" s="1439"/>
      <c r="G696" s="142"/>
      <c r="H696" s="22">
        <f>+I701</f>
        <v>4778694</v>
      </c>
      <c r="I696" s="22">
        <v>4494616</v>
      </c>
      <c r="J696" s="1566"/>
      <c r="K696" s="1554"/>
      <c r="L696" s="1554"/>
      <c r="M696" s="1554"/>
      <c r="N696" s="1554"/>
      <c r="O696" s="1555"/>
      <c r="P696" s="1555"/>
      <c r="Q696" s="1555"/>
      <c r="R696" s="1555"/>
      <c r="S696" s="1555"/>
      <c r="T696" s="1555"/>
      <c r="U696" s="1555"/>
      <c r="V696" s="1555"/>
      <c r="W696" s="1555"/>
      <c r="X696" s="1555"/>
      <c r="Y696" s="1555"/>
      <c r="Z696" s="1555"/>
      <c r="AA696" s="1555"/>
      <c r="AB696" s="1555"/>
      <c r="AC696" s="1555"/>
      <c r="AD696" s="1555"/>
      <c r="AE696" s="1555"/>
      <c r="AF696" s="1555"/>
      <c r="AG696" s="1555"/>
      <c r="AH696" s="1555"/>
      <c r="AI696" s="1555"/>
      <c r="AJ696" s="1555"/>
      <c r="AK696" s="1555"/>
    </row>
    <row r="697" spans="1:37" s="1373" customFormat="1">
      <c r="A697" s="1371"/>
      <c r="B697" s="1371"/>
      <c r="C697" s="1401" t="s">
        <v>1406</v>
      </c>
      <c r="D697" s="1371"/>
      <c r="E697" s="1371"/>
      <c r="F697" s="1439"/>
      <c r="G697" s="1493"/>
      <c r="H697" s="22">
        <v>328296</v>
      </c>
      <c r="I697" s="22">
        <v>308331</v>
      </c>
      <c r="J697" s="1566"/>
      <c r="K697" s="1554"/>
      <c r="L697" s="1554"/>
      <c r="M697" s="1554"/>
      <c r="N697" s="1554"/>
      <c r="O697" s="1555"/>
      <c r="P697" s="1555"/>
      <c r="Q697" s="1555"/>
      <c r="R697" s="1555"/>
      <c r="S697" s="1555"/>
      <c r="T697" s="1555"/>
      <c r="U697" s="1555"/>
      <c r="V697" s="1555"/>
      <c r="W697" s="1555"/>
      <c r="X697" s="1555"/>
      <c r="Y697" s="1555"/>
      <c r="Z697" s="1555"/>
      <c r="AA697" s="1555"/>
      <c r="AB697" s="1555"/>
      <c r="AC697" s="1555"/>
      <c r="AD697" s="1555"/>
      <c r="AE697" s="1555"/>
      <c r="AF697" s="1555"/>
      <c r="AG697" s="1555"/>
      <c r="AH697" s="1555"/>
      <c r="AI697" s="1555"/>
      <c r="AJ697" s="1555"/>
      <c r="AK697" s="1555"/>
    </row>
    <row r="698" spans="1:37" s="1373" customFormat="1">
      <c r="A698" s="1371"/>
      <c r="B698" s="1371"/>
      <c r="C698" s="1401" t="s">
        <v>3547</v>
      </c>
      <c r="D698" s="1371"/>
      <c r="E698" s="1371"/>
      <c r="F698" s="1439"/>
      <c r="G698" s="1493"/>
      <c r="H698" s="22">
        <v>-9140</v>
      </c>
      <c r="I698" s="22">
        <v>-17880</v>
      </c>
      <c r="J698" s="1566"/>
      <c r="K698" s="1554"/>
      <c r="L698" s="1554"/>
      <c r="M698" s="1554"/>
      <c r="N698" s="1554"/>
      <c r="O698" s="1555"/>
      <c r="P698" s="1555"/>
      <c r="Q698" s="1555"/>
      <c r="R698" s="1555"/>
      <c r="S698" s="1555"/>
      <c r="T698" s="1555"/>
      <c r="U698" s="1555"/>
      <c r="V698" s="1555"/>
      <c r="W698" s="1555"/>
      <c r="X698" s="1555"/>
      <c r="Y698" s="1555"/>
      <c r="Z698" s="1555"/>
      <c r="AA698" s="1555"/>
      <c r="AB698" s="1555"/>
      <c r="AC698" s="1555"/>
      <c r="AD698" s="1555"/>
      <c r="AE698" s="1555"/>
      <c r="AF698" s="1555"/>
      <c r="AG698" s="1555"/>
      <c r="AH698" s="1555"/>
      <c r="AI698" s="1555"/>
      <c r="AJ698" s="1555"/>
      <c r="AK698" s="1555"/>
    </row>
    <row r="699" spans="1:37" s="1373" customFormat="1">
      <c r="A699" s="1371"/>
      <c r="B699" s="1371"/>
      <c r="C699" s="1401" t="s">
        <v>1407</v>
      </c>
      <c r="D699" s="1371"/>
      <c r="E699" s="1371"/>
      <c r="F699" s="1439"/>
      <c r="G699" s="1493"/>
      <c r="H699" s="22">
        <v>382798</v>
      </c>
      <c r="I699" s="22">
        <v>231469</v>
      </c>
      <c r="J699" s="1566"/>
      <c r="K699" s="1554"/>
      <c r="L699" s="1554"/>
      <c r="M699" s="1554"/>
      <c r="N699" s="1687"/>
      <c r="O699" s="1555"/>
      <c r="P699" s="1555"/>
      <c r="Q699" s="1555"/>
      <c r="R699" s="1555"/>
      <c r="S699" s="1555"/>
      <c r="T699" s="1555"/>
      <c r="U699" s="1555"/>
      <c r="V699" s="1555"/>
      <c r="W699" s="1555"/>
      <c r="X699" s="1555"/>
      <c r="Y699" s="1555"/>
      <c r="Z699" s="1555"/>
      <c r="AA699" s="1555"/>
      <c r="AB699" s="1555"/>
      <c r="AC699" s="1555"/>
      <c r="AD699" s="1555"/>
      <c r="AE699" s="1555"/>
      <c r="AF699" s="1555"/>
      <c r="AG699" s="1555"/>
      <c r="AH699" s="1555"/>
      <c r="AI699" s="1555"/>
      <c r="AJ699" s="1555"/>
      <c r="AK699" s="1555"/>
    </row>
    <row r="700" spans="1:37" s="1373" customFormat="1">
      <c r="A700" s="1371"/>
      <c r="B700" s="1371"/>
      <c r="C700" s="1401" t="s">
        <v>1401</v>
      </c>
      <c r="D700" s="1371"/>
      <c r="E700" s="1371"/>
      <c r="F700" s="1439"/>
      <c r="G700" s="1493"/>
      <c r="H700" s="22">
        <v>-218354</v>
      </c>
      <c r="I700" s="22">
        <v>-237842</v>
      </c>
      <c r="J700" s="1566"/>
      <c r="K700" s="1554"/>
      <c r="L700" s="1554"/>
      <c r="M700" s="1554"/>
      <c r="N700" s="1554"/>
      <c r="O700" s="1555"/>
      <c r="P700" s="1555"/>
      <c r="Q700" s="1555"/>
      <c r="R700" s="1555"/>
      <c r="S700" s="1555"/>
      <c r="T700" s="1555"/>
      <c r="U700" s="1555"/>
      <c r="V700" s="1555"/>
      <c r="W700" s="1555"/>
      <c r="X700" s="1555"/>
      <c r="Y700" s="1555"/>
      <c r="Z700" s="1555"/>
      <c r="AA700" s="1555"/>
      <c r="AB700" s="1555"/>
      <c r="AC700" s="1555"/>
      <c r="AD700" s="1555"/>
      <c r="AE700" s="1555"/>
      <c r="AF700" s="1555"/>
      <c r="AG700" s="1555"/>
      <c r="AH700" s="1555"/>
      <c r="AI700" s="1555"/>
      <c r="AJ700" s="1555"/>
      <c r="AK700" s="1555"/>
    </row>
    <row r="701" spans="1:37" s="1373" customFormat="1">
      <c r="A701" s="1371"/>
      <c r="B701" s="1371"/>
      <c r="C701" s="1398" t="s">
        <v>1408</v>
      </c>
      <c r="D701" s="1371"/>
      <c r="E701" s="1371"/>
      <c r="F701" s="1439"/>
      <c r="G701" s="133"/>
      <c r="H701" s="23">
        <f>+SUM(H696:H700)</f>
        <v>5262294</v>
      </c>
      <c r="I701" s="23">
        <f>+SUM(I696:I700)</f>
        <v>4778694</v>
      </c>
      <c r="J701" s="1561"/>
      <c r="K701" s="1569"/>
      <c r="L701" s="1569"/>
      <c r="M701" s="1569"/>
      <c r="N701" s="1688"/>
      <c r="O701" s="1555"/>
      <c r="P701" s="1555"/>
      <c r="Q701" s="1555"/>
      <c r="R701" s="1555"/>
      <c r="S701" s="1555"/>
      <c r="T701" s="1555"/>
      <c r="U701" s="1555"/>
      <c r="V701" s="1555"/>
      <c r="W701" s="1555"/>
      <c r="X701" s="1555"/>
      <c r="Y701" s="1555"/>
      <c r="Z701" s="1555"/>
      <c r="AA701" s="1555"/>
      <c r="AB701" s="1555"/>
      <c r="AC701" s="1555"/>
      <c r="AD701" s="1555"/>
      <c r="AE701" s="1555"/>
      <c r="AF701" s="1555"/>
      <c r="AG701" s="1555"/>
      <c r="AH701" s="1555"/>
      <c r="AI701" s="1555"/>
      <c r="AJ701" s="1555"/>
      <c r="AK701" s="1555"/>
    </row>
    <row r="702" spans="1:37" s="1373" customFormat="1">
      <c r="A702" s="1371"/>
      <c r="B702" s="1371"/>
      <c r="C702" s="1398" t="s">
        <v>1394</v>
      </c>
      <c r="D702" s="1494"/>
      <c r="E702" s="1494"/>
      <c r="F702" s="1494"/>
      <c r="G702" s="1492"/>
      <c r="H702" s="22"/>
      <c r="I702" s="22"/>
      <c r="J702" s="1566"/>
      <c r="K702" s="1554"/>
      <c r="L702" s="1554"/>
      <c r="M702" s="1554"/>
      <c r="N702" s="1569"/>
      <c r="O702" s="1555"/>
      <c r="P702" s="1555"/>
      <c r="Q702" s="1555"/>
      <c r="R702" s="1555"/>
      <c r="S702" s="1555"/>
      <c r="T702" s="1555"/>
      <c r="U702" s="1555"/>
      <c r="V702" s="1555"/>
      <c r="W702" s="1555"/>
      <c r="X702" s="1555"/>
      <c r="Y702" s="1555"/>
      <c r="Z702" s="1555"/>
      <c r="AA702" s="1555"/>
      <c r="AB702" s="1555"/>
      <c r="AC702" s="1555"/>
      <c r="AD702" s="1555"/>
      <c r="AE702" s="1555"/>
      <c r="AF702" s="1555"/>
      <c r="AG702" s="1555"/>
      <c r="AH702" s="1555"/>
      <c r="AI702" s="1555"/>
      <c r="AJ702" s="1555"/>
      <c r="AK702" s="1555"/>
    </row>
    <row r="703" spans="1:37" s="1373" customFormat="1">
      <c r="A703" s="1371"/>
      <c r="B703" s="1371"/>
      <c r="C703" s="1401" t="s">
        <v>1409</v>
      </c>
      <c r="D703" s="1371"/>
      <c r="E703" s="1371"/>
      <c r="F703" s="1439"/>
      <c r="G703" s="1493"/>
      <c r="H703" s="22">
        <f>-H701</f>
        <v>-5262294</v>
      </c>
      <c r="I703" s="22">
        <f>-I701</f>
        <v>-4778694</v>
      </c>
      <c r="J703" s="1566"/>
      <c r="K703" s="1554"/>
      <c r="L703" s="1554"/>
      <c r="M703" s="1554"/>
      <c r="N703" s="1554"/>
      <c r="O703" s="1555"/>
      <c r="P703" s="1555"/>
      <c r="Q703" s="1555"/>
      <c r="R703" s="1555"/>
      <c r="S703" s="1555"/>
      <c r="T703" s="1555"/>
      <c r="U703" s="1555"/>
      <c r="V703" s="1555"/>
      <c r="W703" s="1555"/>
      <c r="X703" s="1555"/>
      <c r="Y703" s="1555"/>
      <c r="Z703" s="1555"/>
      <c r="AA703" s="1555"/>
      <c r="AB703" s="1555"/>
      <c r="AC703" s="1555"/>
      <c r="AD703" s="1555"/>
      <c r="AE703" s="1555"/>
      <c r="AF703" s="1555"/>
      <c r="AG703" s="1555"/>
      <c r="AH703" s="1555"/>
      <c r="AI703" s="1555"/>
      <c r="AJ703" s="1555"/>
      <c r="AK703" s="1555"/>
    </row>
    <row r="704" spans="1:37" s="1373" customFormat="1">
      <c r="A704" s="1371"/>
      <c r="B704" s="1371"/>
      <c r="C704" s="1495" t="s">
        <v>1410</v>
      </c>
      <c r="D704" s="1371"/>
      <c r="E704" s="1371"/>
      <c r="F704" s="1439"/>
      <c r="G704" s="1493"/>
      <c r="H704" s="169">
        <f>+H694</f>
        <v>7346716</v>
      </c>
      <c r="I704" s="169">
        <f>+I694</f>
        <v>7437757</v>
      </c>
      <c r="J704" s="1689"/>
      <c r="K704" s="1690"/>
      <c r="L704" s="1690"/>
      <c r="M704" s="1690"/>
      <c r="N704" s="1688"/>
      <c r="O704" s="1555"/>
      <c r="P704" s="1555"/>
      <c r="Q704" s="1555"/>
      <c r="R704" s="1555"/>
      <c r="S704" s="1555"/>
      <c r="T704" s="1555"/>
      <c r="U704" s="1555"/>
      <c r="V704" s="1555"/>
      <c r="W704" s="1555"/>
      <c r="X704" s="1555"/>
      <c r="Y704" s="1555"/>
      <c r="Z704" s="1555"/>
      <c r="AA704" s="1555"/>
      <c r="AB704" s="1555"/>
      <c r="AC704" s="1555"/>
      <c r="AD704" s="1555"/>
      <c r="AE704" s="1555"/>
      <c r="AF704" s="1555"/>
      <c r="AG704" s="1555"/>
      <c r="AH704" s="1555"/>
      <c r="AI704" s="1555"/>
      <c r="AJ704" s="1555"/>
      <c r="AK704" s="1555"/>
    </row>
    <row r="705" spans="1:37" s="1373" customFormat="1">
      <c r="A705" s="1371"/>
      <c r="B705" s="1371"/>
      <c r="C705" s="1496" t="s">
        <v>1411</v>
      </c>
      <c r="D705" s="1371"/>
      <c r="E705" s="1371"/>
      <c r="F705" s="1439"/>
      <c r="G705" s="170"/>
      <c r="H705" s="171">
        <f>+SUM(H703:H704)</f>
        <v>2084422</v>
      </c>
      <c r="I705" s="171">
        <f>+SUM(I703:I704)</f>
        <v>2659063</v>
      </c>
      <c r="J705" s="1691"/>
      <c r="K705" s="1692"/>
      <c r="L705" s="1692"/>
      <c r="M705" s="1692"/>
      <c r="N705" s="1690"/>
      <c r="O705" s="1555"/>
      <c r="P705" s="1555"/>
      <c r="Q705" s="1555"/>
      <c r="R705" s="1555"/>
      <c r="S705" s="1555"/>
      <c r="T705" s="1555"/>
      <c r="U705" s="1555"/>
      <c r="V705" s="1555"/>
      <c r="W705" s="1555"/>
      <c r="X705" s="1555"/>
      <c r="Y705" s="1555"/>
      <c r="Z705" s="1555"/>
      <c r="AA705" s="1555"/>
      <c r="AB705" s="1555"/>
      <c r="AC705" s="1555"/>
      <c r="AD705" s="1555"/>
      <c r="AE705" s="1555"/>
      <c r="AF705" s="1555"/>
      <c r="AG705" s="1555"/>
      <c r="AH705" s="1555"/>
      <c r="AI705" s="1555"/>
      <c r="AJ705" s="1555"/>
      <c r="AK705" s="1555"/>
    </row>
    <row r="706" spans="1:37" s="1373" customFormat="1">
      <c r="A706" s="1371"/>
      <c r="B706" s="1371"/>
      <c r="C706" s="1401" t="s">
        <v>1412</v>
      </c>
      <c r="D706" s="1371"/>
      <c r="E706" s="1371"/>
      <c r="F706" s="1439"/>
      <c r="G706" s="1493"/>
      <c r="H706" s="22"/>
      <c r="I706" s="22"/>
      <c r="J706" s="1566"/>
      <c r="K706" s="1554"/>
      <c r="L706" s="1554"/>
      <c r="M706" s="1554"/>
      <c r="N706" s="1692"/>
      <c r="O706" s="1555"/>
      <c r="P706" s="1555"/>
      <c r="Q706" s="1555"/>
      <c r="R706" s="1555"/>
      <c r="S706" s="1555"/>
      <c r="T706" s="1555"/>
      <c r="U706" s="1555"/>
      <c r="V706" s="1555"/>
      <c r="W706" s="1555"/>
      <c r="X706" s="1555"/>
      <c r="Y706" s="1555"/>
      <c r="Z706" s="1555"/>
      <c r="AA706" s="1555"/>
      <c r="AB706" s="1555"/>
      <c r="AC706" s="1555"/>
      <c r="AD706" s="1555"/>
      <c r="AE706" s="1555"/>
      <c r="AF706" s="1555"/>
      <c r="AG706" s="1555"/>
      <c r="AH706" s="1555"/>
      <c r="AI706" s="1555"/>
      <c r="AJ706" s="1555"/>
      <c r="AK706" s="1555"/>
    </row>
    <row r="707" spans="1:37" s="1373" customFormat="1">
      <c r="A707" s="1371"/>
      <c r="B707" s="1371"/>
      <c r="C707" s="1401" t="s">
        <v>1397</v>
      </c>
      <c r="D707" s="1371"/>
      <c r="E707" s="1371"/>
      <c r="F707" s="1439"/>
      <c r="G707" s="1493"/>
      <c r="H707" s="22">
        <f t="shared" ref="H707:I709" si="11">+H688</f>
        <v>729554</v>
      </c>
      <c r="I707" s="22">
        <f t="shared" si="11"/>
        <v>574606</v>
      </c>
      <c r="J707" s="1566"/>
      <c r="K707" s="1554"/>
      <c r="L707" s="1554"/>
      <c r="M707" s="1554"/>
      <c r="N707" s="1554"/>
      <c r="O707" s="1555"/>
      <c r="P707" s="1555"/>
      <c r="Q707" s="1555"/>
      <c r="R707" s="1555"/>
      <c r="S707" s="1555"/>
      <c r="T707" s="1555"/>
      <c r="U707" s="1555"/>
      <c r="V707" s="1555"/>
      <c r="W707" s="1555"/>
      <c r="X707" s="1555"/>
      <c r="Y707" s="1555"/>
      <c r="Z707" s="1555"/>
      <c r="AA707" s="1555"/>
      <c r="AB707" s="1555"/>
      <c r="AC707" s="1555"/>
      <c r="AD707" s="1555"/>
      <c r="AE707" s="1555"/>
      <c r="AF707" s="1555"/>
      <c r="AG707" s="1555"/>
      <c r="AH707" s="1555"/>
      <c r="AI707" s="1555"/>
      <c r="AJ707" s="1555"/>
      <c r="AK707" s="1555"/>
    </row>
    <row r="708" spans="1:37" s="1373" customFormat="1">
      <c r="A708" s="1371"/>
      <c r="B708" s="1371"/>
      <c r="C708" s="1401" t="s">
        <v>1398</v>
      </c>
      <c r="D708" s="1371"/>
      <c r="E708" s="1371"/>
      <c r="F708" s="1439"/>
      <c r="G708" s="1493"/>
      <c r="H708" s="22">
        <f t="shared" si="11"/>
        <v>0</v>
      </c>
      <c r="I708" s="22">
        <f t="shared" si="11"/>
        <v>0</v>
      </c>
      <c r="J708" s="1566"/>
      <c r="K708" s="1554"/>
      <c r="L708" s="1554"/>
      <c r="M708" s="1554"/>
      <c r="N708" s="1554"/>
      <c r="O708" s="1555"/>
      <c r="P708" s="1555"/>
      <c r="Q708" s="1555"/>
      <c r="R708" s="1555"/>
      <c r="S708" s="1555"/>
      <c r="T708" s="1555"/>
      <c r="U708" s="1555"/>
      <c r="V708" s="1555"/>
      <c r="W708" s="1555"/>
      <c r="X708" s="1555"/>
      <c r="Y708" s="1555"/>
      <c r="Z708" s="1555"/>
      <c r="AA708" s="1555"/>
      <c r="AB708" s="1555"/>
      <c r="AC708" s="1555"/>
      <c r="AD708" s="1555"/>
      <c r="AE708" s="1555"/>
      <c r="AF708" s="1555"/>
      <c r="AG708" s="1555"/>
      <c r="AH708" s="1555"/>
      <c r="AI708" s="1555"/>
      <c r="AJ708" s="1555"/>
      <c r="AK708" s="1555"/>
    </row>
    <row r="709" spans="1:37" s="1373" customFormat="1">
      <c r="A709" s="1371"/>
      <c r="B709" s="1371"/>
      <c r="C709" s="1401" t="s">
        <v>1399</v>
      </c>
      <c r="D709" s="1371"/>
      <c r="E709" s="1371"/>
      <c r="F709" s="1439"/>
      <c r="G709" s="1493"/>
      <c r="H709" s="22">
        <f t="shared" si="11"/>
        <v>510974</v>
      </c>
      <c r="I709" s="22">
        <f t="shared" si="11"/>
        <v>529528</v>
      </c>
      <c r="J709" s="1566"/>
      <c r="K709" s="1554"/>
      <c r="L709" s="1554"/>
      <c r="M709" s="1554"/>
      <c r="N709" s="1554"/>
      <c r="O709" s="1555"/>
      <c r="P709" s="1555"/>
      <c r="Q709" s="1555"/>
      <c r="R709" s="1555"/>
      <c r="S709" s="1555"/>
      <c r="T709" s="1555"/>
      <c r="U709" s="1555"/>
      <c r="V709" s="1555"/>
      <c r="W709" s="1555"/>
      <c r="X709" s="1555"/>
      <c r="Y709" s="1555"/>
      <c r="Z709" s="1555"/>
      <c r="AA709" s="1555"/>
      <c r="AB709" s="1555"/>
      <c r="AC709" s="1555"/>
      <c r="AD709" s="1555"/>
      <c r="AE709" s="1555"/>
      <c r="AF709" s="1555"/>
      <c r="AG709" s="1555"/>
      <c r="AH709" s="1555"/>
      <c r="AI709" s="1555"/>
      <c r="AJ709" s="1555"/>
      <c r="AK709" s="1555"/>
    </row>
    <row r="710" spans="1:37" s="1373" customFormat="1">
      <c r="A710" s="1371"/>
      <c r="B710" s="1371"/>
      <c r="C710" s="1401" t="s">
        <v>1406</v>
      </c>
      <c r="D710" s="1371"/>
      <c r="E710" s="1371"/>
      <c r="F710" s="1439"/>
      <c r="G710" s="1493"/>
      <c r="H710" s="22">
        <f>-H697</f>
        <v>-328296</v>
      </c>
      <c r="I710" s="22">
        <f>-I697</f>
        <v>-308331</v>
      </c>
      <c r="J710" s="1566"/>
      <c r="K710" s="1554"/>
      <c r="L710" s="1554"/>
      <c r="M710" s="1554"/>
      <c r="N710" s="1554"/>
      <c r="O710" s="1555"/>
      <c r="P710" s="1555"/>
      <c r="Q710" s="1555"/>
      <c r="R710" s="1555"/>
      <c r="S710" s="1555"/>
      <c r="T710" s="1555"/>
      <c r="U710" s="1555"/>
      <c r="V710" s="1555"/>
      <c r="W710" s="1555"/>
      <c r="X710" s="1555"/>
      <c r="Y710" s="1555"/>
      <c r="Z710" s="1555"/>
      <c r="AA710" s="1555"/>
      <c r="AB710" s="1555"/>
      <c r="AC710" s="1555"/>
      <c r="AD710" s="1555"/>
      <c r="AE710" s="1555"/>
      <c r="AF710" s="1555"/>
      <c r="AG710" s="1555"/>
      <c r="AH710" s="1555"/>
      <c r="AI710" s="1555"/>
      <c r="AJ710" s="1555"/>
      <c r="AK710" s="1555"/>
    </row>
    <row r="711" spans="1:37" s="1373" customFormat="1">
      <c r="A711" s="1371"/>
      <c r="B711" s="1371"/>
      <c r="C711" s="1401" t="s">
        <v>3548</v>
      </c>
      <c r="D711" s="1371"/>
      <c r="E711" s="1371"/>
      <c r="F711" s="1439"/>
      <c r="G711" s="1493"/>
      <c r="H711" s="22">
        <f>+H693+H691-H698</f>
        <v>-1104075</v>
      </c>
      <c r="I711" s="22">
        <f>+I693+I691-I698</f>
        <v>-1129722</v>
      </c>
      <c r="J711" s="1566"/>
      <c r="K711" s="1554"/>
      <c r="L711" s="1554"/>
      <c r="M711" s="1554"/>
      <c r="N711" s="1688"/>
      <c r="O711" s="1555"/>
      <c r="P711" s="1555"/>
      <c r="Q711" s="1555"/>
      <c r="R711" s="1555"/>
      <c r="S711" s="1555"/>
      <c r="T711" s="1555"/>
      <c r="U711" s="1555"/>
      <c r="V711" s="1555"/>
      <c r="W711" s="1555"/>
      <c r="X711" s="1555"/>
      <c r="Y711" s="1555"/>
      <c r="Z711" s="1555"/>
      <c r="AA711" s="1555"/>
      <c r="AB711" s="1555"/>
      <c r="AC711" s="1555"/>
      <c r="AD711" s="1555"/>
      <c r="AE711" s="1555"/>
      <c r="AF711" s="1555"/>
      <c r="AG711" s="1555"/>
      <c r="AH711" s="1555"/>
      <c r="AI711" s="1555"/>
      <c r="AJ711" s="1555"/>
      <c r="AK711" s="1555"/>
    </row>
    <row r="712" spans="1:37" s="1373" customFormat="1">
      <c r="A712" s="1371"/>
      <c r="B712" s="1371"/>
      <c r="C712" s="1398" t="s">
        <v>1413</v>
      </c>
      <c r="D712" s="1371"/>
      <c r="E712" s="1371"/>
      <c r="F712" s="1439"/>
      <c r="G712" s="133"/>
      <c r="H712" s="23">
        <f>+SUM(H707:H711)</f>
        <v>-191843</v>
      </c>
      <c r="I712" s="23">
        <f>+SUM(I707:I711)</f>
        <v>-333919</v>
      </c>
      <c r="J712" s="1561"/>
      <c r="K712" s="1569"/>
      <c r="L712" s="1569"/>
      <c r="M712" s="1569"/>
      <c r="N712" s="1688"/>
      <c r="O712" s="1555"/>
      <c r="P712" s="1555"/>
      <c r="Q712" s="1555"/>
      <c r="R712" s="1555"/>
      <c r="S712" s="1555"/>
      <c r="T712" s="1555"/>
      <c r="U712" s="1555"/>
      <c r="V712" s="1555"/>
      <c r="W712" s="1555"/>
      <c r="X712" s="1555"/>
      <c r="Y712" s="1555"/>
      <c r="Z712" s="1555"/>
      <c r="AA712" s="1555"/>
      <c r="AB712" s="1555"/>
      <c r="AC712" s="1555"/>
      <c r="AD712" s="1555"/>
      <c r="AE712" s="1555"/>
      <c r="AF712" s="1555"/>
      <c r="AG712" s="1555"/>
      <c r="AH712" s="1555"/>
      <c r="AI712" s="1555"/>
      <c r="AJ712" s="1555"/>
      <c r="AK712" s="1555"/>
    </row>
    <row r="713" spans="1:37">
      <c r="C713" s="1401" t="s">
        <v>1414</v>
      </c>
      <c r="D713" s="1371"/>
      <c r="E713" s="1371"/>
      <c r="F713" s="1439"/>
      <c r="G713" s="1493"/>
      <c r="H713" s="22"/>
      <c r="I713" s="22"/>
      <c r="J713" s="1566"/>
      <c r="K713" s="1554"/>
      <c r="L713" s="1554"/>
      <c r="M713" s="1554"/>
      <c r="N713" s="1569"/>
    </row>
    <row r="714" spans="1:37">
      <c r="C714" s="1401" t="s">
        <v>1415</v>
      </c>
      <c r="D714" s="1371"/>
      <c r="E714" s="1371"/>
      <c r="F714" s="1439"/>
      <c r="G714" s="1493"/>
      <c r="H714" s="172">
        <v>7.2700000000000001E-2</v>
      </c>
      <c r="I714" s="172">
        <v>6.8699999999999997E-2</v>
      </c>
      <c r="J714" s="1668"/>
      <c r="K714" s="1589"/>
      <c r="L714" s="1589"/>
      <c r="M714" s="1589"/>
      <c r="N714" s="1554"/>
    </row>
    <row r="715" spans="1:37">
      <c r="C715" s="1401" t="s">
        <v>1416</v>
      </c>
      <c r="D715" s="1371"/>
      <c r="E715" s="1371"/>
      <c r="F715" s="1439"/>
      <c r="G715" s="1493"/>
      <c r="H715" s="172">
        <v>7.2700000000000001E-2</v>
      </c>
      <c r="I715" s="172">
        <v>6.8699999999999997E-2</v>
      </c>
      <c r="J715" s="1668"/>
      <c r="K715" s="1589"/>
      <c r="L715" s="1589"/>
      <c r="M715" s="1589"/>
      <c r="N715" s="1589"/>
    </row>
    <row r="716" spans="1:37">
      <c r="C716" s="1424" t="s">
        <v>1417</v>
      </c>
      <c r="D716" s="1855"/>
      <c r="E716" s="1855"/>
      <c r="F716" s="1428"/>
      <c r="G716" s="1489"/>
      <c r="H716" s="173">
        <v>0.06</v>
      </c>
      <c r="I716" s="173">
        <v>0.06</v>
      </c>
      <c r="J716" s="1668"/>
      <c r="K716" s="1589"/>
      <c r="L716" s="1589"/>
      <c r="M716" s="1589"/>
      <c r="N716" s="1589"/>
    </row>
    <row r="717" spans="1:37">
      <c r="C717" s="1424" t="s">
        <v>1418</v>
      </c>
      <c r="D717" s="1855"/>
      <c r="E717" s="1855"/>
      <c r="F717" s="1428"/>
      <c r="G717" s="174"/>
      <c r="H717" s="173">
        <f>+SUM(H714:H716)</f>
        <v>0.2054</v>
      </c>
      <c r="I717" s="173">
        <f>+SUM(I714:I716)</f>
        <v>0.19739999999999999</v>
      </c>
      <c r="J717" s="1668"/>
      <c r="K717" s="1589"/>
      <c r="L717" s="1589"/>
      <c r="M717" s="1589"/>
      <c r="N717" s="1589"/>
    </row>
    <row r="718" spans="1:37">
      <c r="C718" s="1488" t="s">
        <v>1419</v>
      </c>
      <c r="D718" s="1855"/>
      <c r="E718" s="1855"/>
      <c r="F718" s="1428"/>
      <c r="G718" s="175"/>
      <c r="H718" s="176">
        <f>H697+H698</f>
        <v>319156</v>
      </c>
      <c r="I718" s="176">
        <f>I697+I698</f>
        <v>290451</v>
      </c>
      <c r="J718" s="1561"/>
      <c r="K718" s="1613"/>
      <c r="L718" s="1613"/>
      <c r="M718" s="1613"/>
      <c r="N718" s="1589"/>
    </row>
    <row r="719" spans="1:37">
      <c r="C719" s="1995"/>
      <c r="D719" s="1996"/>
      <c r="E719" s="1997"/>
      <c r="F719" s="1996"/>
      <c r="G719" s="1996"/>
      <c r="H719" s="162"/>
      <c r="I719" s="163"/>
      <c r="J719" s="1561"/>
      <c r="K719" s="1562"/>
      <c r="L719" s="1562"/>
      <c r="M719" s="1562"/>
      <c r="N719" s="1618"/>
    </row>
    <row r="720" spans="1:37">
      <c r="C720" s="74" t="s">
        <v>1420</v>
      </c>
      <c r="D720" s="1838"/>
      <c r="E720" s="1838"/>
      <c r="F720" s="1372"/>
      <c r="H720" s="1850"/>
      <c r="I720" s="25"/>
      <c r="J720" s="1561"/>
      <c r="K720" s="1562"/>
      <c r="L720" s="1562"/>
      <c r="M720" s="1562"/>
      <c r="N720" s="1624"/>
    </row>
    <row r="721" spans="1:61">
      <c r="C721" s="1436" t="s">
        <v>1421</v>
      </c>
      <c r="D721" s="1846"/>
      <c r="E721" s="1846"/>
      <c r="F721" s="1846"/>
      <c r="G721" s="1846"/>
      <c r="H721" s="177"/>
      <c r="I721" s="178"/>
      <c r="J721" s="1566"/>
      <c r="K721" s="1612"/>
      <c r="L721" s="1612"/>
      <c r="M721" s="1612"/>
      <c r="N721" s="1562"/>
    </row>
    <row r="722" spans="1:61" hidden="1">
      <c r="A722" s="1473"/>
      <c r="B722" s="1473"/>
      <c r="C722" s="2148" t="s">
        <v>1065</v>
      </c>
      <c r="D722" s="2149"/>
      <c r="E722" s="2150"/>
      <c r="F722" s="2149"/>
      <c r="G722" s="2149"/>
      <c r="H722" s="2149"/>
      <c r="I722" s="2151"/>
      <c r="J722" s="1677"/>
      <c r="K722" s="1678"/>
      <c r="L722" s="1678"/>
      <c r="M722" s="1678"/>
      <c r="N722" s="1612"/>
    </row>
    <row r="723" spans="1:61" s="1375" customFormat="1" hidden="1">
      <c r="A723" s="1401"/>
      <c r="B723" s="1401"/>
      <c r="C723" s="2152" t="s">
        <v>1546</v>
      </c>
      <c r="D723" s="2153"/>
      <c r="E723" s="2153"/>
      <c r="F723" s="2153"/>
      <c r="G723" s="2153"/>
      <c r="H723" s="2153"/>
      <c r="I723" s="2154"/>
      <c r="J723" s="1677"/>
      <c r="K723" s="1678"/>
      <c r="L723" s="1678"/>
      <c r="M723" s="1678"/>
      <c r="N723" s="1679"/>
      <c r="O723" s="1608"/>
      <c r="P723" s="1608"/>
      <c r="Q723" s="1608"/>
      <c r="R723" s="1608"/>
      <c r="S723" s="1608"/>
      <c r="T723" s="1608"/>
      <c r="U723" s="1608"/>
      <c r="V723" s="1608"/>
      <c r="W723" s="1608"/>
      <c r="X723" s="1608"/>
      <c r="Y723" s="1608"/>
      <c r="Z723" s="1608"/>
      <c r="AA723" s="1608"/>
      <c r="AB723" s="1608"/>
      <c r="AC723" s="1608"/>
      <c r="AD723" s="1608"/>
      <c r="AE723" s="1608"/>
      <c r="AF723" s="1608"/>
      <c r="AG723" s="1608"/>
      <c r="AH723" s="1608"/>
      <c r="AI723" s="1608"/>
      <c r="AJ723" s="1608"/>
      <c r="AK723" s="1608"/>
      <c r="AL723" s="1425"/>
      <c r="AM723" s="1425"/>
      <c r="AN723" s="1425"/>
      <c r="AO723" s="1425"/>
      <c r="AP723" s="1425"/>
      <c r="AQ723" s="1425"/>
      <c r="AR723" s="1425"/>
      <c r="AS723" s="1425"/>
      <c r="AT723" s="1425"/>
      <c r="AU723" s="1425"/>
      <c r="AV723" s="1425"/>
      <c r="AW723" s="1425"/>
      <c r="AX723" s="1425"/>
      <c r="AY723" s="1425"/>
      <c r="AZ723" s="1425"/>
      <c r="BA723" s="1425"/>
      <c r="BB723" s="1425"/>
      <c r="BC723" s="1425"/>
      <c r="BD723" s="1425"/>
      <c r="BE723" s="1425"/>
      <c r="BF723" s="1425"/>
      <c r="BG723" s="1425"/>
      <c r="BH723" s="1425"/>
      <c r="BI723" s="1425"/>
    </row>
    <row r="724" spans="1:61">
      <c r="A724" s="1401"/>
      <c r="B724" s="1401"/>
      <c r="C724" s="1429" t="s">
        <v>1422</v>
      </c>
      <c r="D724" s="1497"/>
      <c r="E724" s="1497"/>
      <c r="F724" s="1497"/>
      <c r="G724" s="1497"/>
      <c r="H724" s="179"/>
      <c r="I724" s="180"/>
      <c r="J724" s="1689"/>
      <c r="K724" s="1693"/>
      <c r="L724" s="1693"/>
      <c r="M724" s="1693"/>
      <c r="N724" s="1678"/>
    </row>
    <row r="725" spans="1:61">
      <c r="A725" s="1401"/>
      <c r="B725" s="1401"/>
      <c r="C725" s="2136" t="s">
        <v>3549</v>
      </c>
      <c r="D725" s="2174"/>
      <c r="E725" s="2174"/>
      <c r="F725" s="2174"/>
      <c r="G725" s="2174"/>
      <c r="H725" s="2174"/>
      <c r="I725" s="2138"/>
      <c r="J725" s="1694"/>
      <c r="K725" s="1694"/>
      <c r="L725" s="1694"/>
      <c r="M725" s="1694"/>
      <c r="N725" s="1693"/>
    </row>
    <row r="726" spans="1:61">
      <c r="A726" s="1401"/>
      <c r="B726" s="1401"/>
      <c r="C726" s="2136"/>
      <c r="D726" s="2174"/>
      <c r="E726" s="2174"/>
      <c r="F726" s="2174"/>
      <c r="G726" s="2174"/>
      <c r="H726" s="2174"/>
      <c r="I726" s="2138"/>
      <c r="J726" s="1694"/>
      <c r="K726" s="1694"/>
      <c r="L726" s="1694"/>
      <c r="M726" s="1694"/>
      <c r="N726" s="1694"/>
    </row>
    <row r="727" spans="1:61">
      <c r="A727" s="1401"/>
      <c r="B727" s="1401"/>
      <c r="C727" s="2136"/>
      <c r="D727" s="2174"/>
      <c r="E727" s="2174"/>
      <c r="F727" s="2174"/>
      <c r="G727" s="2174"/>
      <c r="H727" s="2174"/>
      <c r="I727" s="2138"/>
      <c r="J727" s="1694"/>
      <c r="K727" s="1694"/>
      <c r="L727" s="1694"/>
      <c r="M727" s="1694"/>
      <c r="N727" s="1694"/>
    </row>
    <row r="728" spans="1:61" ht="16.899999999999999" customHeight="1">
      <c r="A728" s="1401"/>
      <c r="B728" s="1401"/>
      <c r="C728" s="2136"/>
      <c r="D728" s="2174"/>
      <c r="E728" s="2174"/>
      <c r="F728" s="2174"/>
      <c r="G728" s="2174"/>
      <c r="H728" s="2174"/>
      <c r="I728" s="2138"/>
      <c r="J728" s="1694"/>
      <c r="K728" s="1694"/>
      <c r="L728" s="1694"/>
      <c r="M728" s="1694"/>
      <c r="N728" s="1694"/>
    </row>
    <row r="729" spans="1:61" s="1373" customFormat="1" ht="1.5" customHeight="1">
      <c r="A729" s="1401"/>
      <c r="B729" s="1401"/>
      <c r="C729" s="2136"/>
      <c r="D729" s="2174"/>
      <c r="E729" s="2174"/>
      <c r="F729" s="2174"/>
      <c r="G729" s="2174"/>
      <c r="H729" s="2174"/>
      <c r="I729" s="2138"/>
      <c r="J729" s="1694"/>
      <c r="K729" s="1694"/>
      <c r="L729" s="1694"/>
      <c r="M729" s="1694"/>
      <c r="N729" s="1694"/>
      <c r="O729" s="1555"/>
      <c r="P729" s="1555"/>
      <c r="Q729" s="1555"/>
      <c r="R729" s="1555"/>
      <c r="S729" s="1555"/>
      <c r="T729" s="1555"/>
      <c r="U729" s="1555"/>
      <c r="V729" s="1555"/>
      <c r="W729" s="1555"/>
      <c r="X729" s="1555"/>
      <c r="Y729" s="1555"/>
      <c r="Z729" s="1555"/>
      <c r="AA729" s="1555"/>
      <c r="AB729" s="1555"/>
      <c r="AC729" s="1555"/>
      <c r="AD729" s="1555"/>
      <c r="AE729" s="1555"/>
      <c r="AF729" s="1555"/>
      <c r="AG729" s="1555"/>
      <c r="AH729" s="1555"/>
      <c r="AI729" s="1555"/>
      <c r="AJ729" s="1555"/>
      <c r="AK729" s="1555"/>
    </row>
    <row r="730" spans="1:61" s="1373" customFormat="1">
      <c r="A730" s="1401"/>
      <c r="B730" s="1401"/>
      <c r="C730" s="95" t="s">
        <v>1423</v>
      </c>
      <c r="D730" s="44"/>
      <c r="E730" s="1838"/>
      <c r="F730" s="1414"/>
      <c r="G730" s="1414"/>
      <c r="H730" s="164"/>
      <c r="I730" s="181"/>
      <c r="J730" s="1566"/>
      <c r="K730" s="1612"/>
      <c r="L730" s="1612"/>
      <c r="M730" s="1612"/>
      <c r="N730" s="1694"/>
      <c r="O730" s="1555"/>
      <c r="P730" s="1555"/>
      <c r="Q730" s="1555"/>
      <c r="R730" s="1555"/>
      <c r="S730" s="1555"/>
      <c r="T730" s="1555"/>
      <c r="U730" s="1555"/>
      <c r="V730" s="1555"/>
      <c r="W730" s="1555"/>
      <c r="X730" s="1555"/>
      <c r="Y730" s="1555"/>
      <c r="Z730" s="1555"/>
      <c r="AA730" s="1555"/>
      <c r="AB730" s="1555"/>
      <c r="AC730" s="1555"/>
      <c r="AD730" s="1555"/>
      <c r="AE730" s="1555"/>
      <c r="AF730" s="1555"/>
      <c r="AG730" s="1555"/>
      <c r="AH730" s="1555"/>
      <c r="AI730" s="1555"/>
      <c r="AJ730" s="1555"/>
      <c r="AK730" s="1555"/>
    </row>
    <row r="731" spans="1:61" s="1373" customFormat="1">
      <c r="A731" s="1401"/>
      <c r="B731" s="1401"/>
      <c r="C731" s="2175" t="s">
        <v>3550</v>
      </c>
      <c r="D731" s="2176"/>
      <c r="E731" s="2176"/>
      <c r="F731" s="2176"/>
      <c r="G731" s="2176"/>
      <c r="H731" s="2176"/>
      <c r="I731" s="2177"/>
      <c r="J731" s="1695"/>
      <c r="K731" s="1695"/>
      <c r="L731" s="1695"/>
      <c r="M731" s="1695"/>
      <c r="N731" s="1612"/>
      <c r="O731" s="1555"/>
      <c r="P731" s="1555"/>
      <c r="Q731" s="1555"/>
      <c r="R731" s="1555"/>
      <c r="S731" s="1555"/>
      <c r="T731" s="1555"/>
      <c r="U731" s="1555"/>
      <c r="V731" s="1555"/>
      <c r="W731" s="1555"/>
      <c r="X731" s="1555"/>
      <c r="Y731" s="1555"/>
      <c r="Z731" s="1555"/>
      <c r="AA731" s="1555"/>
      <c r="AB731" s="1555"/>
      <c r="AC731" s="1555"/>
      <c r="AD731" s="1555"/>
      <c r="AE731" s="1555"/>
      <c r="AF731" s="1555"/>
      <c r="AG731" s="1555"/>
      <c r="AH731" s="1555"/>
      <c r="AI731" s="1555"/>
      <c r="AJ731" s="1555"/>
      <c r="AK731" s="1555"/>
    </row>
    <row r="732" spans="1:61" s="1373" customFormat="1">
      <c r="A732" s="1401"/>
      <c r="B732" s="1401"/>
      <c r="C732" s="2175"/>
      <c r="D732" s="2176"/>
      <c r="E732" s="2176"/>
      <c r="F732" s="2176"/>
      <c r="G732" s="2176"/>
      <c r="H732" s="2176"/>
      <c r="I732" s="2177"/>
      <c r="J732" s="1695"/>
      <c r="K732" s="1695"/>
      <c r="L732" s="1695"/>
      <c r="M732" s="1695"/>
      <c r="N732" s="1695"/>
      <c r="O732" s="1555"/>
      <c r="P732" s="1555"/>
      <c r="Q732" s="1555"/>
      <c r="R732" s="1555"/>
      <c r="S732" s="1555"/>
      <c r="T732" s="1555"/>
      <c r="U732" s="1555"/>
      <c r="V732" s="1555"/>
      <c r="W732" s="1555"/>
      <c r="X732" s="1555"/>
      <c r="Y732" s="1555"/>
      <c r="Z732" s="1555"/>
      <c r="AA732" s="1555"/>
      <c r="AB732" s="1555"/>
      <c r="AC732" s="1555"/>
      <c r="AD732" s="1555"/>
      <c r="AE732" s="1555"/>
      <c r="AF732" s="1555"/>
      <c r="AG732" s="1555"/>
      <c r="AH732" s="1555"/>
      <c r="AI732" s="1555"/>
      <c r="AJ732" s="1555"/>
      <c r="AK732" s="1555"/>
    </row>
    <row r="733" spans="1:61" s="1373" customFormat="1" ht="3" customHeight="1">
      <c r="A733" s="1401"/>
      <c r="B733" s="1401"/>
      <c r="C733" s="2175"/>
      <c r="D733" s="2176"/>
      <c r="E733" s="2176"/>
      <c r="F733" s="2176"/>
      <c r="G733" s="2176"/>
      <c r="H733" s="2176"/>
      <c r="I733" s="2177"/>
      <c r="J733" s="1695"/>
      <c r="K733" s="1695"/>
      <c r="L733" s="1695"/>
      <c r="M733" s="1695"/>
      <c r="N733" s="1695"/>
      <c r="O733" s="1555"/>
      <c r="P733" s="1555"/>
      <c r="Q733" s="1555"/>
      <c r="R733" s="1555"/>
      <c r="S733" s="1555"/>
      <c r="T733" s="1555"/>
      <c r="U733" s="1555"/>
      <c r="V733" s="1555"/>
      <c r="W733" s="1555"/>
      <c r="X733" s="1555"/>
      <c r="Y733" s="1555"/>
      <c r="Z733" s="1555"/>
      <c r="AA733" s="1555"/>
      <c r="AB733" s="1555"/>
      <c r="AC733" s="1555"/>
      <c r="AD733" s="1555"/>
      <c r="AE733" s="1555"/>
      <c r="AF733" s="1555"/>
      <c r="AG733" s="1555"/>
      <c r="AH733" s="1555"/>
      <c r="AI733" s="1555"/>
      <c r="AJ733" s="1555"/>
      <c r="AK733" s="1555"/>
    </row>
    <row r="734" spans="1:61" s="1373" customFormat="1">
      <c r="A734" s="1401"/>
      <c r="B734" s="1401"/>
      <c r="C734" s="2175"/>
      <c r="D734" s="2176"/>
      <c r="E734" s="2176"/>
      <c r="F734" s="2176"/>
      <c r="G734" s="2176"/>
      <c r="H734" s="2176"/>
      <c r="I734" s="2177"/>
      <c r="J734" s="1695"/>
      <c r="K734" s="1695"/>
      <c r="L734" s="1695"/>
      <c r="M734" s="1695"/>
      <c r="N734" s="1695"/>
      <c r="O734" s="1555"/>
      <c r="P734" s="1555"/>
      <c r="Q734" s="1555"/>
      <c r="R734" s="1555"/>
      <c r="S734" s="1555"/>
      <c r="T734" s="1555"/>
      <c r="U734" s="1555"/>
      <c r="V734" s="1555"/>
      <c r="W734" s="1555"/>
      <c r="X734" s="1555"/>
      <c r="Y734" s="1555"/>
      <c r="Z734" s="1555"/>
      <c r="AA734" s="1555"/>
      <c r="AB734" s="1555"/>
      <c r="AC734" s="1555"/>
      <c r="AD734" s="1555"/>
      <c r="AE734" s="1555"/>
      <c r="AF734" s="1555"/>
      <c r="AG734" s="1555"/>
      <c r="AH734" s="1555"/>
      <c r="AI734" s="1555"/>
      <c r="AJ734" s="1555"/>
      <c r="AK734" s="1555"/>
    </row>
    <row r="735" spans="1:61" s="1373" customFormat="1">
      <c r="A735" s="1401"/>
      <c r="B735" s="1401"/>
      <c r="C735" s="1499"/>
      <c r="D735" s="1498"/>
      <c r="E735" s="1812"/>
      <c r="F735" s="1498"/>
      <c r="G735" s="1498"/>
      <c r="H735" s="1498"/>
      <c r="I735" s="1500"/>
      <c r="J735" s="1695"/>
      <c r="K735" s="1695"/>
      <c r="L735" s="1695"/>
      <c r="M735" s="1695"/>
      <c r="N735" s="1695"/>
      <c r="O735" s="1555"/>
      <c r="P735" s="1555"/>
      <c r="Q735" s="1555"/>
      <c r="R735" s="1555"/>
      <c r="S735" s="1555"/>
      <c r="T735" s="1555"/>
      <c r="U735" s="1555"/>
      <c r="V735" s="1555"/>
      <c r="W735" s="1555"/>
      <c r="X735" s="1555"/>
      <c r="Y735" s="1555"/>
      <c r="Z735" s="1555"/>
      <c r="AA735" s="1555"/>
      <c r="AB735" s="1555"/>
      <c r="AC735" s="1555"/>
      <c r="AD735" s="1555"/>
      <c r="AE735" s="1555"/>
      <c r="AF735" s="1555"/>
      <c r="AG735" s="1555"/>
      <c r="AH735" s="1555"/>
      <c r="AI735" s="1555"/>
      <c r="AJ735" s="1555"/>
      <c r="AK735" s="1555"/>
    </row>
    <row r="736" spans="1:61" s="1373" customFormat="1">
      <c r="A736" s="1401"/>
      <c r="B736" s="1401"/>
      <c r="C736" s="1501" t="s">
        <v>1424</v>
      </c>
      <c r="D736" s="1498"/>
      <c r="E736" s="1812"/>
      <c r="F736" s="1498"/>
      <c r="G736" s="1498"/>
      <c r="H736" s="1498"/>
      <c r="I736" s="1500"/>
      <c r="J736" s="1695"/>
      <c r="K736" s="1695"/>
      <c r="L736" s="1695"/>
      <c r="M736" s="1695"/>
      <c r="N736" s="1695"/>
      <c r="O736" s="1555"/>
      <c r="P736" s="1555"/>
      <c r="Q736" s="1555"/>
      <c r="R736" s="1555"/>
      <c r="S736" s="1555"/>
      <c r="T736" s="1555"/>
      <c r="U736" s="1555"/>
      <c r="V736" s="1555"/>
      <c r="W736" s="1555"/>
      <c r="X736" s="1555"/>
      <c r="Y736" s="1555"/>
      <c r="Z736" s="1555"/>
      <c r="AA736" s="1555"/>
      <c r="AB736" s="1555"/>
      <c r="AC736" s="1555"/>
      <c r="AD736" s="1555"/>
      <c r="AE736" s="1555"/>
      <c r="AF736" s="1555"/>
      <c r="AG736" s="1555"/>
      <c r="AH736" s="1555"/>
      <c r="AI736" s="1555"/>
      <c r="AJ736" s="1555"/>
      <c r="AK736" s="1555"/>
    </row>
    <row r="737" spans="1:37" s="1373" customFormat="1">
      <c r="A737" s="1401"/>
      <c r="B737" s="1401"/>
      <c r="C737" s="1502" t="s">
        <v>9</v>
      </c>
      <c r="D737" s="1879"/>
      <c r="E737" s="1879"/>
      <c r="F737" s="1879"/>
      <c r="G737" s="1879"/>
      <c r="H737" s="1503" t="str">
        <f>+H684</f>
        <v xml:space="preserve">As At </v>
      </c>
      <c r="I737" s="1503" t="str">
        <f>+I684</f>
        <v xml:space="preserve"> As At</v>
      </c>
      <c r="J737" s="1696"/>
      <c r="K737" s="1697"/>
      <c r="L737" s="1697"/>
      <c r="M737" s="1697"/>
      <c r="N737" s="1695"/>
      <c r="O737" s="1555"/>
      <c r="P737" s="1555"/>
      <c r="Q737" s="1555"/>
      <c r="R737" s="1555"/>
      <c r="S737" s="1555"/>
      <c r="T737" s="1555"/>
      <c r="U737" s="1555"/>
      <c r="V737" s="1555"/>
      <c r="W737" s="1555"/>
      <c r="X737" s="1555"/>
      <c r="Y737" s="1555"/>
      <c r="Z737" s="1555"/>
      <c r="AA737" s="1555"/>
      <c r="AB737" s="1555"/>
      <c r="AC737" s="1555"/>
      <c r="AD737" s="1555"/>
      <c r="AE737" s="1555"/>
      <c r="AF737" s="1555"/>
      <c r="AG737" s="1555"/>
      <c r="AH737" s="1555"/>
      <c r="AI737" s="1555"/>
      <c r="AJ737" s="1555"/>
      <c r="AK737" s="1555"/>
    </row>
    <row r="738" spans="1:37" s="1373" customFormat="1" ht="33" customHeight="1">
      <c r="A738" s="1401"/>
      <c r="B738" s="1401"/>
      <c r="C738" s="1504"/>
      <c r="D738" s="1878"/>
      <c r="E738" s="1878"/>
      <c r="F738" s="1878"/>
      <c r="G738" s="1878"/>
      <c r="H738" s="1506" t="str">
        <f>+H685</f>
        <v>March 31, 2022 (₹)</v>
      </c>
      <c r="I738" s="1506" t="str">
        <f>+I685</f>
        <v>March 31, 2021 (₹)</v>
      </c>
      <c r="J738" s="1696"/>
      <c r="K738" s="1697"/>
      <c r="L738" s="1697"/>
      <c r="M738" s="1697"/>
      <c r="N738" s="1695"/>
      <c r="O738" s="1555"/>
      <c r="P738" s="1555"/>
      <c r="Q738" s="1555"/>
      <c r="R738" s="1555"/>
      <c r="S738" s="1555"/>
      <c r="T738" s="1555"/>
      <c r="U738" s="1555"/>
      <c r="V738" s="1555"/>
      <c r="W738" s="1555"/>
      <c r="X738" s="1555"/>
      <c r="Y738" s="1555"/>
      <c r="Z738" s="1555"/>
      <c r="AA738" s="1555"/>
      <c r="AB738" s="1555"/>
      <c r="AC738" s="1555"/>
      <c r="AD738" s="1555"/>
      <c r="AE738" s="1555"/>
      <c r="AF738" s="1555"/>
      <c r="AG738" s="1555"/>
      <c r="AH738" s="1555"/>
      <c r="AI738" s="1555"/>
      <c r="AJ738" s="1555"/>
      <c r="AK738" s="1555"/>
    </row>
    <row r="739" spans="1:37" s="1373" customFormat="1">
      <c r="A739" s="1401"/>
      <c r="B739" s="1401"/>
      <c r="C739" s="2013" t="s">
        <v>1425</v>
      </c>
      <c r="D739" s="2077"/>
      <c r="E739" s="2077"/>
      <c r="F739" s="2077"/>
      <c r="G739" s="2077"/>
      <c r="H739" s="120">
        <v>376348</v>
      </c>
      <c r="I739" s="120">
        <v>85000</v>
      </c>
      <c r="J739" s="1629"/>
      <c r="K739" s="1629"/>
      <c r="L739" s="1629"/>
      <c r="M739" s="1629"/>
      <c r="N739" s="1695"/>
      <c r="O739" s="1555"/>
      <c r="P739" s="1555"/>
      <c r="Q739" s="1555"/>
      <c r="R739" s="1555"/>
      <c r="S739" s="1555"/>
      <c r="T739" s="1555"/>
      <c r="U739" s="1555"/>
      <c r="V739" s="1555"/>
      <c r="W739" s="1555"/>
      <c r="X739" s="1555"/>
      <c r="Y739" s="1555"/>
      <c r="Z739" s="1555"/>
      <c r="AA739" s="1555"/>
      <c r="AB739" s="1555"/>
      <c r="AC739" s="1555"/>
      <c r="AD739" s="1555"/>
      <c r="AE739" s="1555"/>
      <c r="AF739" s="1555"/>
      <c r="AG739" s="1555"/>
      <c r="AH739" s="1555"/>
      <c r="AI739" s="1555"/>
      <c r="AJ739" s="1555"/>
      <c r="AK739" s="1555"/>
    </row>
    <row r="740" spans="1:37" s="1373" customFormat="1">
      <c r="A740" s="1401"/>
      <c r="B740" s="1401"/>
      <c r="C740" s="2013" t="s">
        <v>1426</v>
      </c>
      <c r="D740" s="2077"/>
      <c r="E740" s="2077"/>
      <c r="F740" s="2077"/>
      <c r="G740" s="2077"/>
      <c r="H740" s="120">
        <v>428840</v>
      </c>
      <c r="I740" s="120">
        <v>544000</v>
      </c>
      <c r="J740" s="1629"/>
      <c r="K740" s="1629"/>
      <c r="L740" s="1629"/>
      <c r="M740" s="1629"/>
      <c r="N740" s="1695"/>
      <c r="O740" s="1555"/>
      <c r="P740" s="1555"/>
      <c r="Q740" s="1555"/>
      <c r="R740" s="1555"/>
      <c r="S740" s="1555"/>
      <c r="T740" s="1555"/>
      <c r="U740" s="1555"/>
      <c r="V740" s="1555"/>
      <c r="W740" s="1555"/>
      <c r="X740" s="1555"/>
      <c r="Y740" s="1555"/>
      <c r="Z740" s="1555"/>
      <c r="AA740" s="1555"/>
      <c r="AB740" s="1555"/>
      <c r="AC740" s="1555"/>
      <c r="AD740" s="1555"/>
      <c r="AE740" s="1555"/>
      <c r="AF740" s="1555"/>
      <c r="AG740" s="1555"/>
      <c r="AH740" s="1555"/>
      <c r="AI740" s="1555"/>
      <c r="AJ740" s="1555"/>
      <c r="AK740" s="1555"/>
    </row>
    <row r="741" spans="1:37" s="1373" customFormat="1">
      <c r="A741" s="1401"/>
      <c r="B741" s="1401"/>
      <c r="C741" s="2013" t="s">
        <v>1427</v>
      </c>
      <c r="D741" s="2077"/>
      <c r="E741" s="2077"/>
      <c r="F741" s="2077"/>
      <c r="G741" s="2077"/>
      <c r="H741" s="120">
        <v>12500</v>
      </c>
      <c r="I741" s="120">
        <v>0</v>
      </c>
      <c r="J741" s="1629"/>
      <c r="K741" s="1629"/>
      <c r="L741" s="1629"/>
      <c r="M741" s="1629"/>
      <c r="N741" s="1695"/>
      <c r="O741" s="1555"/>
      <c r="P741" s="1555"/>
      <c r="Q741" s="1555"/>
      <c r="R741" s="1555"/>
      <c r="S741" s="1555"/>
      <c r="T741" s="1555"/>
      <c r="U741" s="1555"/>
      <c r="V741" s="1555"/>
      <c r="W741" s="1555"/>
      <c r="X741" s="1555"/>
      <c r="Y741" s="1555"/>
      <c r="Z741" s="1555"/>
      <c r="AA741" s="1555"/>
      <c r="AB741" s="1555"/>
      <c r="AC741" s="1555"/>
      <c r="AD741" s="1555"/>
      <c r="AE741" s="1555"/>
      <c r="AF741" s="1555"/>
      <c r="AG741" s="1555"/>
      <c r="AH741" s="1555"/>
      <c r="AI741" s="1555"/>
      <c r="AJ741" s="1555"/>
      <c r="AK741" s="1555"/>
    </row>
    <row r="742" spans="1:37" s="1373" customFormat="1">
      <c r="A742" s="1401"/>
      <c r="B742" s="1401"/>
      <c r="C742" s="2013" t="s">
        <v>3527</v>
      </c>
      <c r="D742" s="2077"/>
      <c r="E742" s="2077"/>
      <c r="F742" s="2077"/>
      <c r="G742" s="2077"/>
      <c r="H742" s="120">
        <v>21000</v>
      </c>
      <c r="I742" s="120">
        <v>0</v>
      </c>
      <c r="J742" s="1629"/>
      <c r="K742" s="1629"/>
      <c r="L742" s="1629"/>
      <c r="M742" s="1629"/>
      <c r="N742" s="1695"/>
      <c r="O742" s="1555"/>
      <c r="P742" s="1555"/>
      <c r="Q742" s="1555"/>
      <c r="R742" s="1555"/>
      <c r="S742" s="1555"/>
      <c r="T742" s="1555"/>
      <c r="U742" s="1555"/>
      <c r="V742" s="1555"/>
      <c r="W742" s="1555"/>
      <c r="X742" s="1555"/>
      <c r="Y742" s="1555"/>
      <c r="Z742" s="1555"/>
      <c r="AA742" s="1555"/>
      <c r="AB742" s="1555"/>
      <c r="AC742" s="1555"/>
      <c r="AD742" s="1555"/>
      <c r="AE742" s="1555"/>
      <c r="AF742" s="1555"/>
      <c r="AG742" s="1555"/>
      <c r="AH742" s="1555"/>
      <c r="AI742" s="1555"/>
      <c r="AJ742" s="1555"/>
      <c r="AK742" s="1555"/>
    </row>
    <row r="743" spans="1:37" s="1373" customFormat="1">
      <c r="A743" s="1401"/>
      <c r="B743" s="1401"/>
      <c r="C743" s="2013" t="s">
        <v>3529</v>
      </c>
      <c r="D743" s="2077"/>
      <c r="E743" s="2077"/>
      <c r="F743" s="2077"/>
      <c r="G743" s="2077"/>
      <c r="H743" s="120">
        <v>632849</v>
      </c>
      <c r="I743" s="120">
        <v>0</v>
      </c>
      <c r="J743" s="1629"/>
      <c r="K743" s="1629"/>
      <c r="L743" s="1629"/>
      <c r="M743" s="1629"/>
      <c r="N743" s="1695"/>
      <c r="O743" s="1555"/>
      <c r="P743" s="1555"/>
      <c r="Q743" s="1555"/>
      <c r="R743" s="1555"/>
      <c r="S743" s="1555"/>
      <c r="T743" s="1555"/>
      <c r="U743" s="1555"/>
      <c r="V743" s="1555"/>
      <c r="W743" s="1555"/>
      <c r="X743" s="1555"/>
      <c r="Y743" s="1555"/>
      <c r="Z743" s="1555"/>
      <c r="AA743" s="1555"/>
      <c r="AB743" s="1555"/>
      <c r="AC743" s="1555"/>
      <c r="AD743" s="1555"/>
      <c r="AE743" s="1555"/>
      <c r="AF743" s="1555"/>
      <c r="AG743" s="1555"/>
      <c r="AH743" s="1555"/>
      <c r="AI743" s="1555"/>
      <c r="AJ743" s="1555"/>
      <c r="AK743" s="1555"/>
    </row>
    <row r="744" spans="1:37" s="1373" customFormat="1">
      <c r="A744" s="1401"/>
      <c r="B744" s="1401"/>
      <c r="C744" s="2013" t="s">
        <v>3528</v>
      </c>
      <c r="D744" s="2077"/>
      <c r="E744" s="2077"/>
      <c r="F744" s="2077"/>
      <c r="G744" s="2077"/>
      <c r="H744" s="120">
        <v>118000</v>
      </c>
      <c r="I744" s="120">
        <v>0</v>
      </c>
      <c r="J744" s="1629"/>
      <c r="K744" s="1629"/>
      <c r="L744" s="1629"/>
      <c r="M744" s="1629"/>
      <c r="N744" s="1695"/>
      <c r="O744" s="1555"/>
      <c r="P744" s="1555"/>
      <c r="Q744" s="1555"/>
      <c r="R744" s="1555"/>
      <c r="S744" s="1555"/>
      <c r="T744" s="1555"/>
      <c r="U744" s="1555"/>
      <c r="V744" s="1555"/>
      <c r="W744" s="1555"/>
      <c r="X744" s="1555"/>
      <c r="Y744" s="1555"/>
      <c r="Z744" s="1555"/>
      <c r="AA744" s="1555"/>
      <c r="AB744" s="1555"/>
      <c r="AC744" s="1555"/>
      <c r="AD744" s="1555"/>
      <c r="AE744" s="1555"/>
      <c r="AF744" s="1555"/>
      <c r="AG744" s="1555"/>
      <c r="AH744" s="1555"/>
      <c r="AI744" s="1555"/>
      <c r="AJ744" s="1555"/>
      <c r="AK744" s="1555"/>
    </row>
    <row r="745" spans="1:37" s="1373" customFormat="1">
      <c r="A745" s="1401"/>
      <c r="B745" s="1401"/>
      <c r="C745" s="1507" t="s">
        <v>1249</v>
      </c>
      <c r="D745" s="2078"/>
      <c r="E745" s="2078"/>
      <c r="F745" s="2078"/>
      <c r="G745" s="2078"/>
      <c r="H745" s="182">
        <f>+SUM(H739:H744)</f>
        <v>1589537</v>
      </c>
      <c r="I745" s="182">
        <f>+SUM(I739:I744)</f>
        <v>629000</v>
      </c>
      <c r="J745" s="1698"/>
      <c r="K745" s="1698"/>
      <c r="L745" s="1698"/>
      <c r="M745" s="1698"/>
      <c r="N745" s="1695"/>
      <c r="O745" s="1555"/>
      <c r="P745" s="1555"/>
      <c r="Q745" s="1555"/>
      <c r="R745" s="1555"/>
      <c r="S745" s="1555"/>
      <c r="T745" s="1555"/>
      <c r="U745" s="1555"/>
      <c r="V745" s="1555"/>
      <c r="W745" s="1555"/>
      <c r="X745" s="1555"/>
      <c r="Y745" s="1555"/>
      <c r="Z745" s="1555"/>
      <c r="AA745" s="1555"/>
      <c r="AB745" s="1555"/>
      <c r="AC745" s="1555"/>
      <c r="AD745" s="1555"/>
      <c r="AE745" s="1555"/>
      <c r="AF745" s="1555"/>
      <c r="AG745" s="1555"/>
      <c r="AH745" s="1555"/>
      <c r="AI745" s="1555"/>
      <c r="AJ745" s="1555"/>
      <c r="AK745" s="1555"/>
    </row>
    <row r="746" spans="1:37" s="1373" customFormat="1" ht="22.15" customHeight="1">
      <c r="A746" s="1401"/>
      <c r="B746" s="1401"/>
      <c r="C746" s="1449" t="s">
        <v>1428</v>
      </c>
      <c r="D746" s="1856"/>
      <c r="E746" s="1856"/>
      <c r="F746" s="1856"/>
      <c r="G746" s="2077"/>
      <c r="H746" s="183" t="s">
        <v>1278</v>
      </c>
      <c r="I746" s="183">
        <v>0</v>
      </c>
      <c r="J746" s="1629"/>
      <c r="K746" s="1699"/>
      <c r="L746" s="1699"/>
      <c r="M746" s="1699"/>
      <c r="N746" s="1695"/>
      <c r="O746" s="1555"/>
      <c r="P746" s="1555"/>
      <c r="Q746" s="1555"/>
      <c r="R746" s="1555"/>
      <c r="S746" s="1555"/>
      <c r="T746" s="1555"/>
      <c r="U746" s="1555"/>
      <c r="V746" s="1555"/>
      <c r="W746" s="1555"/>
      <c r="X746" s="1555"/>
      <c r="Y746" s="1555"/>
      <c r="Z746" s="1555"/>
      <c r="AA746" s="1555"/>
      <c r="AB746" s="1555"/>
      <c r="AC746" s="1555"/>
      <c r="AD746" s="1555"/>
      <c r="AE746" s="1555"/>
      <c r="AF746" s="1555"/>
      <c r="AG746" s="1555"/>
      <c r="AH746" s="1555"/>
      <c r="AI746" s="1555"/>
      <c r="AJ746" s="1555"/>
      <c r="AK746" s="1555"/>
    </row>
    <row r="747" spans="1:37" s="1373" customFormat="1" ht="18.600000000000001" customHeight="1">
      <c r="A747" s="1401"/>
      <c r="B747" s="1401"/>
      <c r="C747" s="1460" t="s">
        <v>1429</v>
      </c>
      <c r="D747" s="1856"/>
      <c r="E747" s="1856"/>
      <c r="F747" s="1856"/>
      <c r="G747" s="2077"/>
      <c r="H747" s="183">
        <v>-632849</v>
      </c>
      <c r="I747" s="183">
        <v>-351972</v>
      </c>
      <c r="J747" s="1629"/>
      <c r="K747" s="1699"/>
      <c r="L747" s="1699"/>
      <c r="M747" s="1699"/>
      <c r="N747" s="1695"/>
      <c r="O747" s="1555"/>
      <c r="P747" s="1555"/>
      <c r="Q747" s="1555"/>
      <c r="R747" s="1555"/>
      <c r="S747" s="1555"/>
      <c r="T747" s="1555"/>
      <c r="U747" s="1555"/>
      <c r="V747" s="1555"/>
      <c r="W747" s="1555"/>
      <c r="X747" s="1555"/>
      <c r="Y747" s="1555"/>
      <c r="Z747" s="1555"/>
      <c r="AA747" s="1555"/>
      <c r="AB747" s="1555"/>
      <c r="AC747" s="1555"/>
      <c r="AD747" s="1555"/>
      <c r="AE747" s="1555"/>
      <c r="AF747" s="1555"/>
      <c r="AG747" s="1555"/>
      <c r="AH747" s="1555"/>
      <c r="AI747" s="1555"/>
      <c r="AJ747" s="1555"/>
      <c r="AK747" s="1555"/>
    </row>
    <row r="748" spans="1:37">
      <c r="A748" s="1401"/>
      <c r="B748" s="1401"/>
      <c r="C748" s="1508" t="s">
        <v>1249</v>
      </c>
      <c r="D748" s="1509"/>
      <c r="E748" s="1509"/>
      <c r="F748" s="1509"/>
      <c r="G748" s="1510"/>
      <c r="H748" s="184">
        <f>+SUM(H745:H747)</f>
        <v>956688</v>
      </c>
      <c r="I748" s="184">
        <f>+SUM(I745:I747)</f>
        <v>277028</v>
      </c>
      <c r="J748" s="1698"/>
      <c r="K748" s="1700"/>
      <c r="L748" s="1700"/>
      <c r="M748" s="1700"/>
      <c r="N748" s="1695"/>
    </row>
    <row r="749" spans="1:37">
      <c r="A749" s="1401"/>
      <c r="B749" s="1401"/>
      <c r="C749" s="1449" t="s">
        <v>1430</v>
      </c>
      <c r="D749" s="1856"/>
      <c r="E749" s="1856"/>
      <c r="F749" s="1856"/>
      <c r="G749" s="2077"/>
      <c r="H749" s="183">
        <v>938974</v>
      </c>
      <c r="I749" s="183">
        <v>909877</v>
      </c>
      <c r="J749" s="1629"/>
      <c r="K749" s="1699"/>
      <c r="L749" s="1699"/>
      <c r="M749" s="1699"/>
      <c r="N749" s="1695"/>
    </row>
    <row r="750" spans="1:37">
      <c r="A750" s="1401"/>
      <c r="B750" s="1401"/>
      <c r="C750" s="1972" t="s">
        <v>3530</v>
      </c>
      <c r="D750" s="1511"/>
      <c r="E750" s="1511"/>
      <c r="F750" s="1511"/>
      <c r="G750" s="1878"/>
      <c r="H750" s="185">
        <f>+H749-H748</f>
        <v>-17714</v>
      </c>
      <c r="I750" s="185">
        <f>+I749-I748</f>
        <v>632849</v>
      </c>
      <c r="J750" s="1698"/>
      <c r="K750" s="1700"/>
      <c r="L750" s="1700"/>
      <c r="M750" s="1700"/>
      <c r="N750" s="1695"/>
    </row>
    <row r="751" spans="1:37" hidden="1">
      <c r="A751" s="1401"/>
      <c r="B751" s="1401"/>
      <c r="C751" s="1504"/>
      <c r="D751" s="1511"/>
      <c r="E751" s="1511"/>
      <c r="F751" s="1511"/>
      <c r="G751" s="1505"/>
      <c r="H751" s="186"/>
      <c r="I751" s="187"/>
      <c r="J751" s="1701"/>
      <c r="K751" s="1702"/>
      <c r="L751" s="1702"/>
      <c r="M751" s="1702"/>
      <c r="N751" s="1695"/>
    </row>
    <row r="752" spans="1:37" hidden="1">
      <c r="A752" s="1401"/>
      <c r="B752" s="1401"/>
      <c r="C752" s="1499"/>
      <c r="D752" s="1498"/>
      <c r="E752" s="1812"/>
      <c r="F752" s="1498"/>
      <c r="G752" s="1498"/>
      <c r="H752" s="188"/>
      <c r="I752" s="101"/>
      <c r="J752" s="1629"/>
      <c r="K752" s="1629"/>
      <c r="L752" s="1629"/>
      <c r="M752" s="1629"/>
      <c r="N752" s="1695"/>
    </row>
    <row r="753" spans="1:61">
      <c r="A753" s="1512"/>
      <c r="B753" s="1473"/>
      <c r="C753" s="2148" t="s">
        <v>1065</v>
      </c>
      <c r="D753" s="2149"/>
      <c r="E753" s="2150"/>
      <c r="F753" s="2149"/>
      <c r="G753" s="2149"/>
      <c r="H753" s="2149"/>
      <c r="I753" s="2151"/>
      <c r="J753" s="1677"/>
      <c r="K753" s="1678"/>
      <c r="L753" s="1678"/>
      <c r="M753" s="1678"/>
      <c r="N753" s="1554"/>
    </row>
    <row r="754" spans="1:61" s="1375" customFormat="1">
      <c r="A754" s="1401"/>
      <c r="B754" s="1401"/>
      <c r="C754" s="2152" t="s">
        <v>1546</v>
      </c>
      <c r="D754" s="2153"/>
      <c r="E754" s="2153"/>
      <c r="F754" s="2153"/>
      <c r="G754" s="2153"/>
      <c r="H754" s="2153"/>
      <c r="I754" s="2154"/>
      <c r="J754" s="1677"/>
      <c r="K754" s="1678"/>
      <c r="L754" s="1678"/>
      <c r="M754" s="1678"/>
      <c r="N754" s="1679"/>
      <c r="O754" s="1608"/>
      <c r="P754" s="1608"/>
      <c r="Q754" s="1608"/>
      <c r="R754" s="1608"/>
      <c r="S754" s="1608"/>
      <c r="T754" s="1608"/>
      <c r="U754" s="1608"/>
      <c r="V754" s="1608"/>
      <c r="W754" s="1608"/>
      <c r="X754" s="1608"/>
      <c r="Y754" s="1608"/>
      <c r="Z754" s="1608"/>
      <c r="AA754" s="1608"/>
      <c r="AB754" s="1608"/>
      <c r="AC754" s="1608"/>
      <c r="AD754" s="1608"/>
      <c r="AE754" s="1608"/>
      <c r="AF754" s="1608"/>
      <c r="AG754" s="1608"/>
      <c r="AH754" s="1608"/>
      <c r="AI754" s="1608"/>
      <c r="AJ754" s="1608"/>
      <c r="AK754" s="1608"/>
      <c r="AL754" s="1425"/>
      <c r="AM754" s="1425"/>
      <c r="AN754" s="1425"/>
      <c r="AO754" s="1425"/>
      <c r="AP754" s="1425"/>
      <c r="AQ754" s="1425"/>
      <c r="AR754" s="1425"/>
      <c r="AS754" s="1425"/>
      <c r="AT754" s="1425"/>
      <c r="AU754" s="1425"/>
      <c r="AV754" s="1425"/>
      <c r="AW754" s="1425"/>
      <c r="AX754" s="1425"/>
      <c r="AY754" s="1425"/>
      <c r="AZ754" s="1425"/>
      <c r="BA754" s="1425"/>
      <c r="BB754" s="1425"/>
      <c r="BC754" s="1425"/>
      <c r="BD754" s="1425"/>
      <c r="BE754" s="1425"/>
      <c r="BF754" s="1425"/>
      <c r="BG754" s="1425"/>
      <c r="BH754" s="1425"/>
      <c r="BI754" s="1425"/>
    </row>
    <row r="755" spans="1:61">
      <c r="A755" s="1401"/>
      <c r="B755" s="1401"/>
      <c r="C755" s="95" t="s">
        <v>1431</v>
      </c>
      <c r="D755" s="96"/>
      <c r="E755" s="1848"/>
      <c r="F755" s="1439"/>
      <c r="G755" s="1439"/>
      <c r="H755" s="48"/>
      <c r="I755" s="133"/>
      <c r="J755" s="1561"/>
      <c r="K755" s="1569"/>
      <c r="L755" s="1569"/>
      <c r="M755" s="1569"/>
      <c r="N755" s="1695"/>
    </row>
    <row r="756" spans="1:61" ht="4.1500000000000004" customHeight="1">
      <c r="A756" s="1401"/>
      <c r="B756" s="1401"/>
      <c r="C756" s="74"/>
      <c r="D756" s="46"/>
      <c r="E756" s="1840"/>
      <c r="F756" s="1439"/>
      <c r="G756" s="1439"/>
      <c r="H756" s="48"/>
      <c r="I756" s="133"/>
      <c r="J756" s="1561"/>
      <c r="K756" s="1569"/>
      <c r="L756" s="1569"/>
      <c r="M756" s="1569"/>
      <c r="N756" s="1569"/>
    </row>
    <row r="757" spans="1:61">
      <c r="A757" s="1401"/>
      <c r="B757" s="1401"/>
      <c r="C757" s="1429" t="s">
        <v>1432</v>
      </c>
      <c r="D757" s="1430"/>
      <c r="E757" s="1853"/>
      <c r="F757" s="1439"/>
      <c r="G757" s="1439"/>
      <c r="H757" s="48"/>
      <c r="I757" s="133"/>
      <c r="J757" s="1561"/>
      <c r="K757" s="1569"/>
      <c r="L757" s="1569"/>
      <c r="M757" s="1569"/>
      <c r="N757" s="1569"/>
    </row>
    <row r="758" spans="1:61">
      <c r="A758" s="1401"/>
      <c r="B758" s="1401"/>
      <c r="C758" s="1431" t="s">
        <v>1433</v>
      </c>
      <c r="D758" s="1430"/>
      <c r="E758" s="1853"/>
      <c r="F758" s="1439"/>
      <c r="G758" s="1439"/>
      <c r="H758" s="48"/>
      <c r="I758" s="133"/>
      <c r="J758" s="1561"/>
      <c r="K758" s="1569"/>
      <c r="L758" s="1569"/>
      <c r="M758" s="1569"/>
      <c r="N758" s="1569"/>
    </row>
    <row r="759" spans="1:61">
      <c r="A759" s="1401"/>
      <c r="B759" s="1401"/>
      <c r="C759" s="1431" t="s">
        <v>1434</v>
      </c>
      <c r="D759" s="1430"/>
      <c r="E759" s="1853"/>
      <c r="F759" s="1439"/>
      <c r="G759" s="1439"/>
      <c r="H759" s="48"/>
      <c r="I759" s="133"/>
      <c r="J759" s="1561"/>
      <c r="K759" s="1569"/>
      <c r="L759" s="1569"/>
      <c r="M759" s="1569"/>
      <c r="N759" s="1569"/>
    </row>
    <row r="760" spans="1:61">
      <c r="A760" s="1401"/>
      <c r="B760" s="1401"/>
      <c r="C760" s="1431" t="s">
        <v>1435</v>
      </c>
      <c r="D760" s="1430"/>
      <c r="E760" s="1853"/>
      <c r="F760" s="1439"/>
      <c r="G760" s="1439"/>
      <c r="H760" s="48"/>
      <c r="I760" s="133"/>
      <c r="J760" s="1561"/>
      <c r="K760" s="1569"/>
      <c r="L760" s="1569"/>
      <c r="M760" s="1569"/>
      <c r="N760" s="1569"/>
    </row>
    <row r="761" spans="1:61">
      <c r="A761" s="1401"/>
      <c r="B761" s="1401"/>
      <c r="C761" s="1431" t="s">
        <v>1436</v>
      </c>
      <c r="D761" s="1430"/>
      <c r="E761" s="1853"/>
      <c r="F761" s="1439"/>
      <c r="G761" s="1439"/>
      <c r="H761" s="48"/>
      <c r="I761" s="133"/>
      <c r="J761" s="1561"/>
      <c r="K761" s="1569"/>
      <c r="L761" s="1569"/>
      <c r="M761" s="1569"/>
      <c r="N761" s="1569"/>
    </row>
    <row r="762" spans="1:61">
      <c r="A762" s="1401"/>
      <c r="B762" s="1401"/>
      <c r="C762" s="1429" t="s">
        <v>1437</v>
      </c>
      <c r="D762" s="1430"/>
      <c r="E762" s="1853"/>
      <c r="F762" s="1439"/>
      <c r="G762" s="1439"/>
      <c r="H762" s="48"/>
      <c r="I762" s="133"/>
      <c r="J762" s="1561"/>
      <c r="K762" s="1569"/>
      <c r="L762" s="1569"/>
      <c r="M762" s="1569"/>
      <c r="N762" s="1569"/>
    </row>
    <row r="763" spans="1:61">
      <c r="A763" s="1401"/>
      <c r="B763" s="1401"/>
      <c r="C763" s="1431" t="s">
        <v>1438</v>
      </c>
      <c r="D763" s="1430"/>
      <c r="E763" s="1853"/>
      <c r="F763" s="1439"/>
      <c r="G763" s="1439"/>
      <c r="H763" s="48"/>
      <c r="I763" s="133"/>
      <c r="J763" s="1561"/>
      <c r="K763" s="1569"/>
      <c r="L763" s="1569"/>
      <c r="M763" s="1569"/>
      <c r="N763" s="1569"/>
    </row>
    <row r="764" spans="1:61" s="1373" customFormat="1">
      <c r="A764" s="1401"/>
      <c r="B764" s="1401"/>
      <c r="C764" s="1431" t="s">
        <v>1439</v>
      </c>
      <c r="D764" s="1430"/>
      <c r="E764" s="1853"/>
      <c r="F764" s="1439"/>
      <c r="G764" s="1439"/>
      <c r="H764" s="48"/>
      <c r="I764" s="133"/>
      <c r="J764" s="1561"/>
      <c r="K764" s="1569"/>
      <c r="L764" s="1569"/>
      <c r="M764" s="1569"/>
      <c r="N764" s="1569"/>
      <c r="O764" s="1555"/>
      <c r="P764" s="1555"/>
      <c r="Q764" s="1555"/>
      <c r="R764" s="1555"/>
      <c r="S764" s="1555"/>
      <c r="T764" s="1555"/>
      <c r="U764" s="1555"/>
      <c r="V764" s="1555"/>
      <c r="W764" s="1555"/>
      <c r="X764" s="1555"/>
      <c r="Y764" s="1555"/>
      <c r="Z764" s="1555"/>
      <c r="AA764" s="1555"/>
      <c r="AB764" s="1555"/>
      <c r="AC764" s="1555"/>
      <c r="AD764" s="1555"/>
      <c r="AE764" s="1555"/>
      <c r="AF764" s="1555"/>
      <c r="AG764" s="1555"/>
      <c r="AH764" s="1555"/>
      <c r="AI764" s="1555"/>
      <c r="AJ764" s="1555"/>
      <c r="AK764" s="1555"/>
    </row>
    <row r="765" spans="1:61" s="1373" customFormat="1">
      <c r="A765" s="1401"/>
      <c r="B765" s="1401"/>
      <c r="C765" s="1431" t="s">
        <v>1440</v>
      </c>
      <c r="D765" s="1430"/>
      <c r="E765" s="1853"/>
      <c r="F765" s="1439"/>
      <c r="G765" s="1439"/>
      <c r="H765" s="48"/>
      <c r="I765" s="133"/>
      <c r="J765" s="1561"/>
      <c r="K765" s="1569"/>
      <c r="L765" s="1569"/>
      <c r="M765" s="1569"/>
      <c r="N765" s="1569"/>
      <c r="O765" s="1555"/>
      <c r="P765" s="1555"/>
      <c r="Q765" s="1555"/>
      <c r="R765" s="1555"/>
      <c r="S765" s="1555"/>
      <c r="T765" s="1555"/>
      <c r="U765" s="1555"/>
      <c r="V765" s="1555"/>
      <c r="W765" s="1555"/>
      <c r="X765" s="1555"/>
      <c r="Y765" s="1555"/>
      <c r="Z765" s="1555"/>
      <c r="AA765" s="1555"/>
      <c r="AB765" s="1555"/>
      <c r="AC765" s="1555"/>
      <c r="AD765" s="1555"/>
      <c r="AE765" s="1555"/>
      <c r="AF765" s="1555"/>
      <c r="AG765" s="1555"/>
      <c r="AH765" s="1555"/>
      <c r="AI765" s="1555"/>
      <c r="AJ765" s="1555"/>
      <c r="AK765" s="1555"/>
    </row>
    <row r="766" spans="1:61" s="1373" customFormat="1">
      <c r="A766" s="1401"/>
      <c r="B766" s="1401"/>
      <c r="C766" s="1431" t="s">
        <v>1441</v>
      </c>
      <c r="D766" s="1430"/>
      <c r="E766" s="1853"/>
      <c r="F766" s="1439"/>
      <c r="G766" s="1439"/>
      <c r="H766" s="48"/>
      <c r="I766" s="133"/>
      <c r="J766" s="1561"/>
      <c r="K766" s="1569"/>
      <c r="L766" s="1569"/>
      <c r="M766" s="1569"/>
      <c r="N766" s="1569"/>
      <c r="O766" s="1555"/>
      <c r="P766" s="1555"/>
      <c r="Q766" s="1555"/>
      <c r="R766" s="1555"/>
      <c r="S766" s="1555"/>
      <c r="T766" s="1555"/>
      <c r="U766" s="1555"/>
      <c r="V766" s="1555"/>
      <c r="W766" s="1555"/>
      <c r="X766" s="1555"/>
      <c r="Y766" s="1555"/>
      <c r="Z766" s="1555"/>
      <c r="AA766" s="1555"/>
      <c r="AB766" s="1555"/>
      <c r="AC766" s="1555"/>
      <c r="AD766" s="1555"/>
      <c r="AE766" s="1555"/>
      <c r="AF766" s="1555"/>
      <c r="AG766" s="1555"/>
      <c r="AH766" s="1555"/>
      <c r="AI766" s="1555"/>
      <c r="AJ766" s="1555"/>
      <c r="AK766" s="1555"/>
    </row>
    <row r="767" spans="1:61" s="1373" customFormat="1">
      <c r="A767" s="1401"/>
      <c r="B767" s="1401"/>
      <c r="C767" s="1431"/>
      <c r="D767" s="1430"/>
      <c r="E767" s="1853"/>
      <c r="F767" s="1439"/>
      <c r="G767" s="1439"/>
      <c r="H767" s="48"/>
      <c r="I767" s="133"/>
      <c r="J767" s="1561"/>
      <c r="K767" s="1569"/>
      <c r="L767" s="1569"/>
      <c r="M767" s="1569"/>
      <c r="N767" s="1569"/>
      <c r="O767" s="1555"/>
      <c r="P767" s="1555"/>
      <c r="Q767" s="1555"/>
      <c r="R767" s="1555"/>
      <c r="S767" s="1555"/>
      <c r="T767" s="1555"/>
      <c r="U767" s="1555"/>
      <c r="V767" s="1555"/>
      <c r="W767" s="1555"/>
      <c r="X767" s="1555"/>
      <c r="Y767" s="1555"/>
      <c r="Z767" s="1555"/>
      <c r="AA767" s="1555"/>
      <c r="AB767" s="1555"/>
      <c r="AC767" s="1555"/>
      <c r="AD767" s="1555"/>
      <c r="AE767" s="1555"/>
      <c r="AF767" s="1555"/>
      <c r="AG767" s="1555"/>
      <c r="AH767" s="1555"/>
      <c r="AI767" s="1555"/>
      <c r="AJ767" s="1555"/>
      <c r="AK767" s="1555"/>
    </row>
    <row r="768" spans="1:61" s="1373" customFormat="1">
      <c r="A768" s="1401"/>
      <c r="B768" s="1401"/>
      <c r="C768" s="74" t="s">
        <v>1442</v>
      </c>
      <c r="D768" s="44"/>
      <c r="E768" s="1838"/>
      <c r="F768" s="1439"/>
      <c r="G768" s="1439"/>
      <c r="H768" s="48"/>
      <c r="I768" s="133"/>
      <c r="J768" s="1561"/>
      <c r="K768" s="1569"/>
      <c r="L768" s="1569"/>
      <c r="M768" s="1569"/>
      <c r="N768" s="1569"/>
      <c r="O768" s="1555"/>
      <c r="P768" s="1555"/>
      <c r="Q768" s="1555"/>
      <c r="R768" s="1555"/>
      <c r="S768" s="1555"/>
      <c r="T768" s="1555"/>
      <c r="U768" s="1555"/>
      <c r="V768" s="1555"/>
      <c r="W768" s="1555"/>
      <c r="X768" s="1555"/>
      <c r="Y768" s="1555"/>
      <c r="Z768" s="1555"/>
      <c r="AA768" s="1555"/>
      <c r="AB768" s="1555"/>
      <c r="AC768" s="1555"/>
      <c r="AD768" s="1555"/>
      <c r="AE768" s="1555"/>
      <c r="AF768" s="1555"/>
      <c r="AG768" s="1555"/>
      <c r="AH768" s="1555"/>
      <c r="AI768" s="1555"/>
      <c r="AJ768" s="1555"/>
      <c r="AK768" s="1555"/>
    </row>
    <row r="769" spans="1:61" s="1373" customFormat="1">
      <c r="A769" s="1401"/>
      <c r="B769" s="1401"/>
      <c r="C769" s="1429" t="s">
        <v>1443</v>
      </c>
      <c r="D769" s="1430"/>
      <c r="E769" s="1853"/>
      <c r="F769" s="1439"/>
      <c r="G769" s="1439"/>
      <c r="H769" s="48"/>
      <c r="I769" s="133"/>
      <c r="J769" s="1561"/>
      <c r="K769" s="1569"/>
      <c r="L769" s="1569"/>
      <c r="M769" s="1569"/>
      <c r="N769" s="1569"/>
      <c r="O769" s="1555"/>
      <c r="P769" s="1555"/>
      <c r="Q769" s="1555"/>
      <c r="R769" s="1555"/>
      <c r="S769" s="1555"/>
      <c r="T769" s="1555"/>
      <c r="U769" s="1555"/>
      <c r="V769" s="1555"/>
      <c r="W769" s="1555"/>
      <c r="X769" s="1555"/>
      <c r="Y769" s="1555"/>
      <c r="Z769" s="1555"/>
      <c r="AA769" s="1555"/>
      <c r="AB769" s="1555"/>
      <c r="AC769" s="1555"/>
      <c r="AD769" s="1555"/>
      <c r="AE769" s="1555"/>
      <c r="AF769" s="1555"/>
      <c r="AG769" s="1555"/>
      <c r="AH769" s="1555"/>
      <c r="AI769" s="1555"/>
      <c r="AJ769" s="1555"/>
      <c r="AK769" s="1555"/>
    </row>
    <row r="770" spans="1:61" s="1373" customFormat="1">
      <c r="A770" s="1401"/>
      <c r="B770" s="1401"/>
      <c r="C770" s="1431" t="s">
        <v>1444</v>
      </c>
      <c r="D770" s="1430"/>
      <c r="E770" s="1853"/>
      <c r="F770" s="1430" t="s">
        <v>1445</v>
      </c>
      <c r="G770" s="1439"/>
      <c r="H770" s="48"/>
      <c r="I770" s="133"/>
      <c r="J770" s="1561"/>
      <c r="K770" s="1569"/>
      <c r="L770" s="1569"/>
      <c r="M770" s="1569"/>
      <c r="N770" s="1569"/>
      <c r="O770" s="1555"/>
      <c r="P770" s="1555"/>
      <c r="Q770" s="1555"/>
      <c r="R770" s="1555"/>
      <c r="S770" s="1555"/>
      <c r="T770" s="1555"/>
      <c r="U770" s="1555"/>
      <c r="V770" s="1555"/>
      <c r="W770" s="1555"/>
      <c r="X770" s="1555"/>
      <c r="Y770" s="1555"/>
      <c r="Z770" s="1555"/>
      <c r="AA770" s="1555"/>
      <c r="AB770" s="1555"/>
      <c r="AC770" s="1555"/>
      <c r="AD770" s="1555"/>
      <c r="AE770" s="1555"/>
      <c r="AF770" s="1555"/>
      <c r="AG770" s="1555"/>
      <c r="AH770" s="1555"/>
      <c r="AI770" s="1555"/>
      <c r="AJ770" s="1555"/>
      <c r="AK770" s="1555"/>
    </row>
    <row r="771" spans="1:61" s="1373" customFormat="1">
      <c r="A771" s="1401"/>
      <c r="B771" s="1401"/>
      <c r="C771" s="1431" t="s">
        <v>1446</v>
      </c>
      <c r="D771" s="1430"/>
      <c r="E771" s="1853"/>
      <c r="F771" s="1430" t="s">
        <v>1447</v>
      </c>
      <c r="G771" s="1439"/>
      <c r="H771" s="48"/>
      <c r="I771" s="133"/>
      <c r="J771" s="1561"/>
      <c r="K771" s="1569"/>
      <c r="L771" s="1569"/>
      <c r="M771" s="1569"/>
      <c r="N771" s="1569"/>
      <c r="O771" s="1555"/>
      <c r="P771" s="1555"/>
      <c r="Q771" s="1555"/>
      <c r="R771" s="1555"/>
      <c r="S771" s="1555"/>
      <c r="T771" s="1555"/>
      <c r="U771" s="1555"/>
      <c r="V771" s="1555"/>
      <c r="W771" s="1555"/>
      <c r="X771" s="1555"/>
      <c r="Y771" s="1555"/>
      <c r="Z771" s="1555"/>
      <c r="AA771" s="1555"/>
      <c r="AB771" s="1555"/>
      <c r="AC771" s="1555"/>
      <c r="AD771" s="1555"/>
      <c r="AE771" s="1555"/>
      <c r="AF771" s="1555"/>
      <c r="AG771" s="1555"/>
      <c r="AH771" s="1555"/>
      <c r="AI771" s="1555"/>
      <c r="AJ771" s="1555"/>
      <c r="AK771" s="1555"/>
    </row>
    <row r="772" spans="1:61" s="1373" customFormat="1">
      <c r="A772" s="1401"/>
      <c r="B772" s="1401"/>
      <c r="C772" s="1431" t="s">
        <v>1448</v>
      </c>
      <c r="D772" s="1430"/>
      <c r="E772" s="1853"/>
      <c r="F772" s="1430" t="s">
        <v>1449</v>
      </c>
      <c r="G772" s="1439"/>
      <c r="H772" s="48"/>
      <c r="I772" s="133"/>
      <c r="J772" s="1561"/>
      <c r="K772" s="1569"/>
      <c r="L772" s="1569"/>
      <c r="M772" s="1569"/>
      <c r="N772" s="1569"/>
      <c r="O772" s="1555"/>
      <c r="P772" s="1555"/>
      <c r="Q772" s="1555"/>
      <c r="R772" s="1555"/>
      <c r="S772" s="1555"/>
      <c r="T772" s="1555"/>
      <c r="U772" s="1555"/>
      <c r="V772" s="1555"/>
      <c r="W772" s="1555"/>
      <c r="X772" s="1555"/>
      <c r="Y772" s="1555"/>
      <c r="Z772" s="1555"/>
      <c r="AA772" s="1555"/>
      <c r="AB772" s="1555"/>
      <c r="AC772" s="1555"/>
      <c r="AD772" s="1555"/>
      <c r="AE772" s="1555"/>
      <c r="AF772" s="1555"/>
      <c r="AG772" s="1555"/>
      <c r="AH772" s="1555"/>
      <c r="AI772" s="1555"/>
      <c r="AJ772" s="1555"/>
      <c r="AK772" s="1555"/>
    </row>
    <row r="773" spans="1:61" s="1373" customFormat="1">
      <c r="A773" s="1401"/>
      <c r="B773" s="1401"/>
      <c r="C773" s="1431" t="s">
        <v>1450</v>
      </c>
      <c r="D773" s="1430"/>
      <c r="E773" s="1853"/>
      <c r="F773" s="1430" t="s">
        <v>1451</v>
      </c>
      <c r="G773" s="1439"/>
      <c r="H773" s="48"/>
      <c r="I773" s="133"/>
      <c r="J773" s="1561"/>
      <c r="K773" s="1569"/>
      <c r="L773" s="1569"/>
      <c r="M773" s="1569"/>
      <c r="N773" s="1569"/>
      <c r="O773" s="1555"/>
      <c r="P773" s="1555"/>
      <c r="Q773" s="1555"/>
      <c r="R773" s="1555"/>
      <c r="S773" s="1555"/>
      <c r="T773" s="1555"/>
      <c r="U773" s="1555"/>
      <c r="V773" s="1555"/>
      <c r="W773" s="1555"/>
      <c r="X773" s="1555"/>
      <c r="Y773" s="1555"/>
      <c r="Z773" s="1555"/>
      <c r="AA773" s="1555"/>
      <c r="AB773" s="1555"/>
      <c r="AC773" s="1555"/>
      <c r="AD773" s="1555"/>
      <c r="AE773" s="1555"/>
      <c r="AF773" s="1555"/>
      <c r="AG773" s="1555"/>
      <c r="AH773" s="1555"/>
      <c r="AI773" s="1555"/>
      <c r="AJ773" s="1555"/>
      <c r="AK773" s="1555"/>
    </row>
    <row r="774" spans="1:61" s="1373" customFormat="1">
      <c r="A774" s="1401"/>
      <c r="B774" s="1401"/>
      <c r="C774" s="1431" t="s">
        <v>1452</v>
      </c>
      <c r="D774" s="1430"/>
      <c r="E774" s="1853"/>
      <c r="F774" s="1430" t="s">
        <v>1453</v>
      </c>
      <c r="G774" s="1439"/>
      <c r="H774" s="48"/>
      <c r="I774" s="133"/>
      <c r="J774" s="1561"/>
      <c r="K774" s="1569"/>
      <c r="L774" s="1569"/>
      <c r="M774" s="1569"/>
      <c r="N774" s="1569"/>
      <c r="O774" s="1555"/>
      <c r="P774" s="1555"/>
      <c r="Q774" s="1555"/>
      <c r="R774" s="1555"/>
      <c r="S774" s="1555"/>
      <c r="T774" s="1555"/>
      <c r="U774" s="1555"/>
      <c r="V774" s="1555"/>
      <c r="W774" s="1555"/>
      <c r="X774" s="1555"/>
      <c r="Y774" s="1555"/>
      <c r="Z774" s="1555"/>
      <c r="AA774" s="1555"/>
      <c r="AB774" s="1555"/>
      <c r="AC774" s="1555"/>
      <c r="AD774" s="1555"/>
      <c r="AE774" s="1555"/>
      <c r="AF774" s="1555"/>
      <c r="AG774" s="1555"/>
      <c r="AH774" s="1555"/>
      <c r="AI774" s="1555"/>
      <c r="AJ774" s="1555"/>
      <c r="AK774" s="1555"/>
    </row>
    <row r="775" spans="1:61" s="1373" customFormat="1">
      <c r="A775" s="1401"/>
      <c r="B775" s="1401"/>
      <c r="C775" s="1431" t="s">
        <v>1454</v>
      </c>
      <c r="D775" s="1430"/>
      <c r="E775" s="1853"/>
      <c r="F775" s="1430" t="s">
        <v>1455</v>
      </c>
      <c r="G775" s="1439"/>
      <c r="H775" s="48"/>
      <c r="I775" s="133"/>
      <c r="J775" s="1561"/>
      <c r="K775" s="1569"/>
      <c r="L775" s="1569"/>
      <c r="M775" s="1569"/>
      <c r="N775" s="1569"/>
      <c r="O775" s="1555"/>
      <c r="P775" s="1555"/>
      <c r="Q775" s="1555"/>
      <c r="R775" s="1555"/>
      <c r="S775" s="1555"/>
      <c r="T775" s="1555"/>
      <c r="U775" s="1555"/>
      <c r="V775" s="1555"/>
      <c r="W775" s="1555"/>
      <c r="X775" s="1555"/>
      <c r="Y775" s="1555"/>
      <c r="Z775" s="1555"/>
      <c r="AA775" s="1555"/>
      <c r="AB775" s="1555"/>
      <c r="AC775" s="1555"/>
      <c r="AD775" s="1555"/>
      <c r="AE775" s="1555"/>
      <c r="AF775" s="1555"/>
      <c r="AG775" s="1555"/>
      <c r="AH775" s="1555"/>
      <c r="AI775" s="1555"/>
      <c r="AJ775" s="1555"/>
      <c r="AK775" s="1555"/>
    </row>
    <row r="776" spans="1:61" s="1373" customFormat="1">
      <c r="A776" s="1401"/>
      <c r="B776" s="1401"/>
      <c r="C776" s="1431" t="s">
        <v>1456</v>
      </c>
      <c r="D776" s="44"/>
      <c r="E776" s="1838"/>
      <c r="F776" s="44" t="s">
        <v>1457</v>
      </c>
      <c r="G776" s="1439"/>
      <c r="H776" s="48"/>
      <c r="I776" s="133"/>
      <c r="J776" s="1561"/>
      <c r="K776" s="1569"/>
      <c r="L776" s="1569"/>
      <c r="M776" s="1569"/>
      <c r="N776" s="1569"/>
      <c r="O776" s="1555"/>
      <c r="P776" s="1555"/>
      <c r="Q776" s="1555"/>
      <c r="R776" s="1555"/>
      <c r="S776" s="1555"/>
      <c r="T776" s="1555"/>
      <c r="U776" s="1555"/>
      <c r="V776" s="1555"/>
      <c r="W776" s="1555"/>
      <c r="X776" s="1555"/>
      <c r="Y776" s="1555"/>
      <c r="Z776" s="1555"/>
      <c r="AA776" s="1555"/>
      <c r="AB776" s="1555"/>
      <c r="AC776" s="1555"/>
      <c r="AD776" s="1555"/>
      <c r="AE776" s="1555"/>
      <c r="AF776" s="1555"/>
      <c r="AG776" s="1555"/>
      <c r="AH776" s="1555"/>
      <c r="AI776" s="1555"/>
      <c r="AJ776" s="1555"/>
      <c r="AK776" s="1555"/>
    </row>
    <row r="777" spans="1:61" s="1373" customFormat="1">
      <c r="A777" s="1401"/>
      <c r="B777" s="1401"/>
      <c r="C777" s="75" t="s">
        <v>1458</v>
      </c>
      <c r="D777" s="44"/>
      <c r="E777" s="1838"/>
      <c r="F777" s="44" t="s">
        <v>1459</v>
      </c>
      <c r="G777" s="1439"/>
      <c r="H777" s="48"/>
      <c r="I777" s="133"/>
      <c r="J777" s="1561"/>
      <c r="K777" s="1569"/>
      <c r="L777" s="1569"/>
      <c r="M777" s="1569"/>
      <c r="N777" s="1569"/>
      <c r="O777" s="1555"/>
      <c r="P777" s="1555"/>
      <c r="Q777" s="1555"/>
      <c r="R777" s="1555"/>
      <c r="S777" s="1555"/>
      <c r="T777" s="1555"/>
      <c r="U777" s="1555"/>
      <c r="V777" s="1555"/>
      <c r="W777" s="1555"/>
      <c r="X777" s="1555"/>
      <c r="Y777" s="1555"/>
      <c r="Z777" s="1555"/>
      <c r="AA777" s="1555"/>
      <c r="AB777" s="1555"/>
      <c r="AC777" s="1555"/>
      <c r="AD777" s="1555"/>
      <c r="AE777" s="1555"/>
      <c r="AF777" s="1555"/>
      <c r="AG777" s="1555"/>
      <c r="AH777" s="1555"/>
      <c r="AI777" s="1555"/>
      <c r="AJ777" s="1555"/>
      <c r="AK777" s="1555"/>
    </row>
    <row r="778" spans="1:61" s="1373" customFormat="1">
      <c r="A778" s="1401"/>
      <c r="B778" s="1401"/>
      <c r="C778" s="75" t="s">
        <v>1460</v>
      </c>
      <c r="D778" s="44"/>
      <c r="E778" s="1838"/>
      <c r="F778" s="44" t="s">
        <v>1451</v>
      </c>
      <c r="G778" s="1439"/>
      <c r="H778" s="48"/>
      <c r="I778" s="133"/>
      <c r="J778" s="1561"/>
      <c r="K778" s="1569"/>
      <c r="L778" s="1569"/>
      <c r="M778" s="1569"/>
      <c r="N778" s="1569"/>
      <c r="O778" s="1555"/>
      <c r="P778" s="1555"/>
      <c r="Q778" s="1555"/>
      <c r="R778" s="1555"/>
      <c r="S778" s="1555"/>
      <c r="T778" s="1555"/>
      <c r="U778" s="1555"/>
      <c r="V778" s="1555"/>
      <c r="W778" s="1555"/>
      <c r="X778" s="1555"/>
      <c r="Y778" s="1555"/>
      <c r="Z778" s="1555"/>
      <c r="AA778" s="1555"/>
      <c r="AB778" s="1555"/>
      <c r="AC778" s="1555"/>
      <c r="AD778" s="1555"/>
      <c r="AE778" s="1555"/>
      <c r="AF778" s="1555"/>
      <c r="AG778" s="1555"/>
      <c r="AH778" s="1555"/>
      <c r="AI778" s="1555"/>
      <c r="AJ778" s="1555"/>
      <c r="AK778" s="1555"/>
    </row>
    <row r="779" spans="1:61" s="1373" customFormat="1">
      <c r="A779" s="1401"/>
      <c r="B779" s="1401"/>
      <c r="C779" s="75" t="s">
        <v>1461</v>
      </c>
      <c r="D779" s="44"/>
      <c r="E779" s="1838"/>
      <c r="F779" s="44" t="s">
        <v>1462</v>
      </c>
      <c r="G779" s="1439"/>
      <c r="H779" s="48"/>
      <c r="I779" s="133"/>
      <c r="J779" s="1561"/>
      <c r="K779" s="1569"/>
      <c r="L779" s="1569"/>
      <c r="M779" s="1569"/>
      <c r="N779" s="1569"/>
      <c r="O779" s="1555"/>
      <c r="P779" s="1555"/>
      <c r="Q779" s="1555"/>
      <c r="R779" s="1555"/>
      <c r="S779" s="1555"/>
      <c r="T779" s="1555"/>
      <c r="U779" s="1555"/>
      <c r="V779" s="1555"/>
      <c r="W779" s="1555"/>
      <c r="X779" s="1555"/>
      <c r="Y779" s="1555"/>
      <c r="Z779" s="1555"/>
      <c r="AA779" s="1555"/>
      <c r="AB779" s="1555"/>
      <c r="AC779" s="1555"/>
      <c r="AD779" s="1555"/>
      <c r="AE779" s="1555"/>
      <c r="AF779" s="1555"/>
      <c r="AG779" s="1555"/>
      <c r="AH779" s="1555"/>
      <c r="AI779" s="1555"/>
      <c r="AJ779" s="1555"/>
      <c r="AK779" s="1555"/>
    </row>
    <row r="780" spans="1:61">
      <c r="A780" s="1401"/>
      <c r="B780" s="1401"/>
      <c r="C780" s="75"/>
      <c r="D780" s="1838"/>
      <c r="E780" s="1838"/>
      <c r="F780" s="1838" t="s">
        <v>1463</v>
      </c>
      <c r="G780" s="1423"/>
      <c r="H780" s="48"/>
      <c r="I780" s="133"/>
      <c r="J780" s="1561"/>
      <c r="K780" s="1569"/>
      <c r="L780" s="1569"/>
      <c r="M780" s="1569"/>
      <c r="N780" s="1569"/>
    </row>
    <row r="781" spans="1:61">
      <c r="A781" s="1401"/>
      <c r="B781" s="1401"/>
      <c r="C781" s="52"/>
      <c r="D781" s="1838"/>
      <c r="E781" s="1838"/>
      <c r="F781" s="1844"/>
      <c r="G781" s="1423"/>
      <c r="H781" s="189"/>
      <c r="I781" s="133"/>
      <c r="J781" s="1561"/>
      <c r="K781" s="1569"/>
      <c r="L781" s="1569"/>
      <c r="M781" s="1569"/>
      <c r="N781" s="1569"/>
    </row>
    <row r="782" spans="1:61" hidden="1">
      <c r="A782" s="1473"/>
      <c r="B782" s="1473"/>
      <c r="C782" s="2148" t="s">
        <v>1065</v>
      </c>
      <c r="D782" s="2149"/>
      <c r="E782" s="2150"/>
      <c r="F782" s="2149"/>
      <c r="G782" s="2149"/>
      <c r="H782" s="2149"/>
      <c r="I782" s="2151"/>
      <c r="J782" s="1677"/>
      <c r="K782" s="1678"/>
      <c r="L782" s="1678"/>
      <c r="M782" s="1678"/>
      <c r="N782" s="1569"/>
    </row>
    <row r="783" spans="1:61" s="1375" customFormat="1" hidden="1">
      <c r="A783" s="1371"/>
      <c r="B783" s="1371"/>
      <c r="C783" s="2152" t="s">
        <v>1546</v>
      </c>
      <c r="D783" s="2153"/>
      <c r="E783" s="2153"/>
      <c r="F783" s="2153"/>
      <c r="G783" s="2153"/>
      <c r="H783" s="2153"/>
      <c r="I783" s="2154"/>
      <c r="J783" s="1677"/>
      <c r="K783" s="1678"/>
      <c r="L783" s="1678"/>
      <c r="M783" s="1678"/>
      <c r="N783" s="1679"/>
      <c r="O783" s="1608"/>
      <c r="P783" s="1608"/>
      <c r="Q783" s="1608"/>
      <c r="R783" s="1608"/>
      <c r="S783" s="1608"/>
      <c r="T783" s="1608"/>
      <c r="U783" s="1608"/>
      <c r="V783" s="1608"/>
      <c r="W783" s="1608"/>
      <c r="X783" s="1608"/>
      <c r="Y783" s="1608"/>
      <c r="Z783" s="1608"/>
      <c r="AA783" s="1608"/>
      <c r="AB783" s="1608"/>
      <c r="AC783" s="1608"/>
      <c r="AD783" s="1608"/>
      <c r="AE783" s="1608"/>
      <c r="AF783" s="1608"/>
      <c r="AG783" s="1608"/>
      <c r="AH783" s="1608"/>
      <c r="AI783" s="1608"/>
      <c r="AJ783" s="1608"/>
      <c r="AK783" s="1608"/>
      <c r="AL783" s="1425"/>
      <c r="AM783" s="1425"/>
      <c r="AN783" s="1425"/>
      <c r="AO783" s="1425"/>
      <c r="AP783" s="1425"/>
      <c r="AQ783" s="1425"/>
      <c r="AR783" s="1425"/>
      <c r="AS783" s="1425"/>
      <c r="AT783" s="1425"/>
      <c r="AU783" s="1425"/>
      <c r="AV783" s="1425"/>
      <c r="AW783" s="1425"/>
      <c r="AX783" s="1425"/>
      <c r="AY783" s="1425"/>
      <c r="AZ783" s="1425"/>
      <c r="BA783" s="1425"/>
      <c r="BB783" s="1425"/>
      <c r="BC783" s="1425"/>
      <c r="BD783" s="1425"/>
      <c r="BE783" s="1425"/>
      <c r="BF783" s="1425"/>
      <c r="BG783" s="1425"/>
      <c r="BH783" s="1425"/>
      <c r="BI783" s="1425"/>
    </row>
    <row r="784" spans="1:61">
      <c r="A784" s="1401"/>
      <c r="B784" s="1401"/>
      <c r="C784" s="1426" t="s">
        <v>402</v>
      </c>
      <c r="D784" s="1869"/>
      <c r="E784" s="1869"/>
      <c r="F784" s="1942"/>
      <c r="G784" s="190"/>
      <c r="H784" s="15" t="str">
        <f>+H737</f>
        <v xml:space="preserve">As At </v>
      </c>
      <c r="I784" s="15" t="str">
        <f>+I737</f>
        <v xml:space="preserve"> As At</v>
      </c>
      <c r="J784" s="1558"/>
      <c r="K784" s="1559"/>
      <c r="L784" s="1559"/>
      <c r="M784" s="1559"/>
      <c r="N784" s="1678"/>
    </row>
    <row r="785" spans="1:37">
      <c r="A785" s="1401"/>
      <c r="B785" s="1401"/>
      <c r="C785" s="52"/>
      <c r="D785" s="1844"/>
      <c r="E785" s="1844"/>
      <c r="F785" s="1404"/>
      <c r="G785" s="191"/>
      <c r="H785" s="16" t="s">
        <v>1545</v>
      </c>
      <c r="I785" s="16" t="s">
        <v>1069</v>
      </c>
      <c r="J785" s="1561"/>
      <c r="K785" s="1562"/>
      <c r="L785" s="1562"/>
      <c r="M785" s="1562"/>
      <c r="N785" s="1587"/>
    </row>
    <row r="786" spans="1:37">
      <c r="A786" s="1401"/>
      <c r="B786" s="1401"/>
      <c r="C786" s="1433" t="s">
        <v>1464</v>
      </c>
      <c r="D786" s="1868"/>
      <c r="E786" s="1868"/>
      <c r="F786" s="1894"/>
      <c r="G786" s="1513"/>
      <c r="H786" s="192"/>
      <c r="I786" s="86"/>
      <c r="J786" s="1566"/>
      <c r="K786" s="1612"/>
      <c r="L786" s="1612"/>
      <c r="M786" s="1612"/>
      <c r="N786" s="1562"/>
    </row>
    <row r="787" spans="1:37">
      <c r="A787" s="1401"/>
      <c r="B787" s="1401"/>
      <c r="C787" s="132" t="s">
        <v>1465</v>
      </c>
      <c r="D787" s="1838"/>
      <c r="E787" s="1838"/>
      <c r="F787" s="1397"/>
      <c r="G787" s="1470"/>
      <c r="H787" s="40"/>
      <c r="I787" s="81"/>
      <c r="J787" s="1566"/>
      <c r="K787" s="1612"/>
      <c r="L787" s="1612"/>
      <c r="M787" s="1612"/>
      <c r="N787" s="1612"/>
    </row>
    <row r="788" spans="1:37">
      <c r="A788" s="1401"/>
      <c r="B788" s="1401"/>
      <c r="C788" s="132" t="s">
        <v>1466</v>
      </c>
      <c r="D788" s="1838"/>
      <c r="E788" s="1838"/>
      <c r="F788" s="1397"/>
      <c r="G788" s="1470"/>
      <c r="H788" s="40"/>
      <c r="I788" s="81"/>
      <c r="J788" s="1566"/>
      <c r="K788" s="1612"/>
      <c r="L788" s="1612"/>
      <c r="M788" s="1612"/>
      <c r="N788" s="1612"/>
    </row>
    <row r="789" spans="1:37">
      <c r="A789" s="1401"/>
      <c r="B789" s="1401"/>
      <c r="C789" s="74" t="s">
        <v>1467</v>
      </c>
      <c r="D789" s="1838"/>
      <c r="E789" s="1838"/>
      <c r="F789" s="1397"/>
      <c r="G789" s="1470"/>
      <c r="H789" s="40"/>
      <c r="I789" s="81"/>
      <c r="J789" s="1566"/>
      <c r="K789" s="1612"/>
      <c r="L789" s="1612"/>
      <c r="M789" s="1612"/>
      <c r="N789" s="1612"/>
    </row>
    <row r="790" spans="1:37">
      <c r="A790" s="1401"/>
      <c r="B790" s="1401"/>
      <c r="C790" s="75" t="s">
        <v>1438</v>
      </c>
      <c r="D790" s="1838"/>
      <c r="E790" s="1838"/>
      <c r="F790" s="1397"/>
      <c r="G790" s="1470"/>
      <c r="H790" s="40">
        <v>0</v>
      </c>
      <c r="I790" s="22">
        <v>0</v>
      </c>
      <c r="J790" s="1566"/>
      <c r="K790" s="1554"/>
      <c r="L790" s="1554"/>
      <c r="M790" s="1554"/>
      <c r="N790" s="1612"/>
    </row>
    <row r="791" spans="1:37" ht="11.25" customHeight="1">
      <c r="A791" s="1401"/>
      <c r="B791" s="1401"/>
      <c r="C791" s="75"/>
      <c r="D791" s="1838"/>
      <c r="E791" s="1838"/>
      <c r="F791" s="1397"/>
      <c r="G791" s="1470"/>
      <c r="H791" s="40"/>
      <c r="I791" s="81"/>
      <c r="J791" s="1566"/>
      <c r="K791" s="1612"/>
      <c r="L791" s="1612"/>
      <c r="M791" s="1612"/>
      <c r="N791" s="1554"/>
    </row>
    <row r="792" spans="1:37">
      <c r="A792" s="1401"/>
      <c r="B792" s="1401"/>
      <c r="C792" s="74" t="s">
        <v>1468</v>
      </c>
      <c r="D792" s="1838"/>
      <c r="E792" s="1838"/>
      <c r="F792" s="1397"/>
      <c r="G792" s="1470"/>
      <c r="H792" s="40"/>
      <c r="I792" s="81"/>
      <c r="J792" s="1566"/>
      <c r="K792" s="1612"/>
      <c r="L792" s="1612"/>
      <c r="M792" s="1612"/>
      <c r="N792" s="1612"/>
    </row>
    <row r="793" spans="1:37">
      <c r="A793" s="1401"/>
      <c r="B793" s="1401"/>
      <c r="C793" s="75" t="s">
        <v>1439</v>
      </c>
      <c r="D793" s="1838"/>
      <c r="E793" s="1838"/>
      <c r="F793" s="1397"/>
      <c r="G793" s="1470"/>
      <c r="H793" s="40">
        <v>5118012</v>
      </c>
      <c r="I793" s="82">
        <v>6379935</v>
      </c>
      <c r="J793" s="1566"/>
      <c r="K793" s="1578"/>
      <c r="L793" s="1578"/>
      <c r="M793" s="1578"/>
      <c r="N793" s="1612"/>
    </row>
    <row r="794" spans="1:37" ht="16.5" customHeight="1">
      <c r="A794" s="1401"/>
      <c r="B794" s="1401"/>
      <c r="C794" s="75"/>
      <c r="D794" s="1838"/>
      <c r="E794" s="1838"/>
      <c r="F794" s="1397"/>
      <c r="G794" s="1470"/>
      <c r="H794" s="40"/>
      <c r="I794" s="81"/>
      <c r="J794" s="1566"/>
      <c r="K794" s="1612"/>
      <c r="L794" s="1612"/>
      <c r="M794" s="1612"/>
      <c r="N794" s="1578"/>
    </row>
    <row r="795" spans="1:37">
      <c r="A795" s="1401"/>
      <c r="B795" s="1401"/>
      <c r="C795" s="74" t="s">
        <v>1469</v>
      </c>
      <c r="D795" s="1838"/>
      <c r="E795" s="1838"/>
      <c r="F795" s="1397"/>
      <c r="G795" s="1470"/>
      <c r="H795" s="40"/>
      <c r="I795" s="81"/>
      <c r="J795" s="1566"/>
      <c r="K795" s="1612"/>
      <c r="L795" s="1612"/>
      <c r="M795" s="1612"/>
      <c r="N795" s="1612"/>
    </row>
    <row r="796" spans="1:37">
      <c r="A796" s="1401"/>
      <c r="B796" s="1401"/>
      <c r="C796" s="75" t="s">
        <v>1434</v>
      </c>
      <c r="D796" s="1838"/>
      <c r="E796" s="1838"/>
      <c r="F796" s="1397"/>
      <c r="G796" s="1470"/>
      <c r="H796" s="40">
        <v>514544</v>
      </c>
      <c r="I796" s="81">
        <v>179850</v>
      </c>
      <c r="J796" s="1566"/>
      <c r="K796" s="1612"/>
      <c r="L796" s="1612"/>
      <c r="M796" s="1612"/>
      <c r="N796" s="1612"/>
    </row>
    <row r="797" spans="1:37" s="1373" customFormat="1">
      <c r="A797" s="1401"/>
      <c r="B797" s="1401"/>
      <c r="C797" s="75" t="s">
        <v>1470</v>
      </c>
      <c r="D797" s="1838"/>
      <c r="E797" s="1838"/>
      <c r="F797" s="1397"/>
      <c r="G797" s="1470"/>
      <c r="H797" s="40">
        <v>0</v>
      </c>
      <c r="I797" s="81">
        <v>0</v>
      </c>
      <c r="J797" s="1566"/>
      <c r="K797" s="1612"/>
      <c r="L797" s="1612"/>
      <c r="M797" s="1612"/>
      <c r="N797" s="1612"/>
      <c r="O797" s="1555"/>
      <c r="P797" s="1555"/>
      <c r="Q797" s="1555"/>
      <c r="R797" s="1555"/>
      <c r="S797" s="1555"/>
      <c r="T797" s="1555"/>
      <c r="U797" s="1555"/>
      <c r="V797" s="1555"/>
      <c r="W797" s="1555"/>
      <c r="X797" s="1555"/>
      <c r="Y797" s="1555"/>
      <c r="Z797" s="1555"/>
      <c r="AA797" s="1555"/>
      <c r="AB797" s="1555"/>
      <c r="AC797" s="1555"/>
      <c r="AD797" s="1555"/>
      <c r="AE797" s="1555"/>
      <c r="AF797" s="1555"/>
      <c r="AG797" s="1555"/>
      <c r="AH797" s="1555"/>
      <c r="AI797" s="1555"/>
      <c r="AJ797" s="1555"/>
      <c r="AK797" s="1555"/>
    </row>
    <row r="798" spans="1:37" s="1373" customFormat="1">
      <c r="A798" s="1401"/>
      <c r="B798" s="1401"/>
      <c r="C798" s="75" t="s">
        <v>1435</v>
      </c>
      <c r="D798" s="1838"/>
      <c r="E798" s="1838"/>
      <c r="F798" s="1397"/>
      <c r="G798" s="1470"/>
      <c r="H798" s="40">
        <v>525548</v>
      </c>
      <c r="I798" s="81">
        <v>525548</v>
      </c>
      <c r="J798" s="1566"/>
      <c r="K798" s="1612"/>
      <c r="L798" s="1612"/>
      <c r="M798" s="1612"/>
      <c r="N798" s="1612"/>
      <c r="O798" s="1555"/>
      <c r="P798" s="1555"/>
      <c r="Q798" s="1555"/>
      <c r="R798" s="1555"/>
      <c r="S798" s="1555"/>
      <c r="T798" s="1555"/>
      <c r="U798" s="1555"/>
      <c r="V798" s="1555"/>
      <c r="W798" s="1555"/>
      <c r="X798" s="1555"/>
      <c r="Y798" s="1555"/>
      <c r="Z798" s="1555"/>
      <c r="AA798" s="1555"/>
      <c r="AB798" s="1555"/>
      <c r="AC798" s="1555"/>
      <c r="AD798" s="1555"/>
      <c r="AE798" s="1555"/>
      <c r="AF798" s="1555"/>
      <c r="AG798" s="1555"/>
      <c r="AH798" s="1555"/>
      <c r="AI798" s="1555"/>
      <c r="AJ798" s="1555"/>
      <c r="AK798" s="1555"/>
    </row>
    <row r="799" spans="1:37" s="1373" customFormat="1">
      <c r="A799" s="1401"/>
      <c r="B799" s="1401"/>
      <c r="C799" s="75" t="s">
        <v>1444</v>
      </c>
      <c r="D799" s="1838"/>
      <c r="E799" s="1838"/>
      <c r="F799" s="1397"/>
      <c r="G799" s="1470"/>
      <c r="H799" s="40">
        <v>145041</v>
      </c>
      <c r="I799" s="81">
        <v>134887</v>
      </c>
      <c r="J799" s="1566"/>
      <c r="K799" s="1612"/>
      <c r="L799" s="1612"/>
      <c r="M799" s="1612"/>
      <c r="N799" s="1612"/>
      <c r="O799" s="1555"/>
      <c r="P799" s="1555"/>
      <c r="Q799" s="1555"/>
      <c r="R799" s="1555"/>
      <c r="S799" s="1555"/>
      <c r="T799" s="1555"/>
      <c r="U799" s="1555"/>
      <c r="V799" s="1555"/>
      <c r="W799" s="1555"/>
      <c r="X799" s="1555"/>
      <c r="Y799" s="1555"/>
      <c r="Z799" s="1555"/>
      <c r="AA799" s="1555"/>
      <c r="AB799" s="1555"/>
      <c r="AC799" s="1555"/>
      <c r="AD799" s="1555"/>
      <c r="AE799" s="1555"/>
      <c r="AF799" s="1555"/>
      <c r="AG799" s="1555"/>
      <c r="AH799" s="1555"/>
      <c r="AI799" s="1555"/>
      <c r="AJ799" s="1555"/>
      <c r="AK799" s="1555"/>
    </row>
    <row r="800" spans="1:37" s="1373" customFormat="1">
      <c r="A800" s="1401"/>
      <c r="B800" s="1401"/>
      <c r="C800" s="75" t="s">
        <v>1471</v>
      </c>
      <c r="D800" s="1838"/>
      <c r="E800" s="1838"/>
      <c r="F800" s="1397"/>
      <c r="G800" s="1470"/>
      <c r="H800" s="40">
        <v>96694</v>
      </c>
      <c r="I800" s="81">
        <v>89924</v>
      </c>
      <c r="J800" s="1566"/>
      <c r="K800" s="1612"/>
      <c r="L800" s="1612"/>
      <c r="M800" s="1612"/>
      <c r="N800" s="1612"/>
      <c r="O800" s="1555"/>
      <c r="P800" s="1555"/>
      <c r="Q800" s="1555"/>
      <c r="R800" s="1555"/>
      <c r="S800" s="1555"/>
      <c r="T800" s="1555"/>
      <c r="U800" s="1555"/>
      <c r="V800" s="1555"/>
      <c r="W800" s="1555"/>
      <c r="X800" s="1555"/>
      <c r="Y800" s="1555"/>
      <c r="Z800" s="1555"/>
      <c r="AA800" s="1555"/>
      <c r="AB800" s="1555"/>
      <c r="AC800" s="1555"/>
      <c r="AD800" s="1555"/>
      <c r="AE800" s="1555"/>
      <c r="AF800" s="1555"/>
      <c r="AG800" s="1555"/>
      <c r="AH800" s="1555"/>
      <c r="AI800" s="1555"/>
      <c r="AJ800" s="1555"/>
      <c r="AK800" s="1555"/>
    </row>
    <row r="801" spans="1:37" s="1373" customFormat="1">
      <c r="A801" s="1401"/>
      <c r="B801" s="1401"/>
      <c r="C801" s="75" t="s">
        <v>1445</v>
      </c>
      <c r="D801" s="1838"/>
      <c r="E801" s="1838"/>
      <c r="F801" s="1397"/>
      <c r="G801" s="1470"/>
      <c r="H801" s="40">
        <v>77355</v>
      </c>
      <c r="I801" s="81">
        <v>71941</v>
      </c>
      <c r="J801" s="1566"/>
      <c r="K801" s="1612"/>
      <c r="L801" s="1612"/>
      <c r="M801" s="1612"/>
      <c r="N801" s="1612"/>
      <c r="O801" s="1555"/>
      <c r="P801" s="1555"/>
      <c r="Q801" s="1555"/>
      <c r="R801" s="1555"/>
      <c r="S801" s="1555"/>
      <c r="T801" s="1555"/>
      <c r="U801" s="1555"/>
      <c r="V801" s="1555"/>
      <c r="W801" s="1555"/>
      <c r="X801" s="1555"/>
      <c r="Y801" s="1555"/>
      <c r="Z801" s="1555"/>
      <c r="AA801" s="1555"/>
      <c r="AB801" s="1555"/>
      <c r="AC801" s="1555"/>
      <c r="AD801" s="1555"/>
      <c r="AE801" s="1555"/>
      <c r="AF801" s="1555"/>
      <c r="AG801" s="1555"/>
      <c r="AH801" s="1555"/>
      <c r="AI801" s="1555"/>
      <c r="AJ801" s="1555"/>
      <c r="AK801" s="1555"/>
    </row>
    <row r="802" spans="1:37" s="1373" customFormat="1">
      <c r="A802" s="1401"/>
      <c r="B802" s="1401"/>
      <c r="C802" s="75" t="s">
        <v>1472</v>
      </c>
      <c r="D802" s="1838"/>
      <c r="E802" s="1838"/>
      <c r="F802" s="1397"/>
      <c r="G802" s="1470"/>
      <c r="H802" s="40">
        <v>290081</v>
      </c>
      <c r="I802" s="81">
        <v>269775</v>
      </c>
      <c r="J802" s="1566"/>
      <c r="K802" s="1612"/>
      <c r="L802" s="1612"/>
      <c r="M802" s="1612"/>
      <c r="N802" s="1612"/>
      <c r="O802" s="1555"/>
      <c r="P802" s="1555"/>
      <c r="Q802" s="1555"/>
      <c r="R802" s="1555"/>
      <c r="S802" s="1555"/>
      <c r="T802" s="1555"/>
      <c r="U802" s="1555"/>
      <c r="V802" s="1555"/>
      <c r="W802" s="1555"/>
      <c r="X802" s="1555"/>
      <c r="Y802" s="1555"/>
      <c r="Z802" s="1555"/>
      <c r="AA802" s="1555"/>
      <c r="AB802" s="1555"/>
      <c r="AC802" s="1555"/>
      <c r="AD802" s="1555"/>
      <c r="AE802" s="1555"/>
      <c r="AF802" s="1555"/>
      <c r="AG802" s="1555"/>
      <c r="AH802" s="1555"/>
      <c r="AI802" s="1555"/>
      <c r="AJ802" s="1555"/>
      <c r="AK802" s="1555"/>
    </row>
    <row r="803" spans="1:37" s="1373" customFormat="1">
      <c r="A803" s="1401"/>
      <c r="B803" s="1401"/>
      <c r="C803" s="75" t="s">
        <v>1453</v>
      </c>
      <c r="D803" s="1838"/>
      <c r="E803" s="1838"/>
      <c r="F803" s="1397"/>
      <c r="G803" s="1470"/>
      <c r="H803" s="40">
        <v>99156</v>
      </c>
      <c r="I803" s="81">
        <v>89924</v>
      </c>
      <c r="J803" s="1566"/>
      <c r="K803" s="1612"/>
      <c r="L803" s="1612"/>
      <c r="M803" s="1612"/>
      <c r="N803" s="1612"/>
      <c r="O803" s="1555"/>
      <c r="P803" s="1555"/>
      <c r="Q803" s="1555"/>
      <c r="R803" s="1555"/>
      <c r="S803" s="1555"/>
      <c r="T803" s="1555"/>
      <c r="U803" s="1555"/>
      <c r="V803" s="1555"/>
      <c r="W803" s="1555"/>
      <c r="X803" s="1555"/>
      <c r="Y803" s="1555"/>
      <c r="Z803" s="1555"/>
      <c r="AA803" s="1555"/>
      <c r="AB803" s="1555"/>
      <c r="AC803" s="1555"/>
      <c r="AD803" s="1555"/>
      <c r="AE803" s="1555"/>
      <c r="AF803" s="1555"/>
      <c r="AG803" s="1555"/>
      <c r="AH803" s="1555"/>
      <c r="AI803" s="1555"/>
      <c r="AJ803" s="1555"/>
      <c r="AK803" s="1555"/>
    </row>
    <row r="804" spans="1:37" s="1373" customFormat="1">
      <c r="A804" s="1401"/>
      <c r="B804" s="1401"/>
      <c r="C804" s="75" t="s">
        <v>1473</v>
      </c>
      <c r="D804" s="1838"/>
      <c r="E804" s="1838"/>
      <c r="F804" s="1397"/>
      <c r="G804" s="1470"/>
      <c r="H804" s="40">
        <v>85822</v>
      </c>
      <c r="I804" s="81">
        <v>71941</v>
      </c>
      <c r="J804" s="1566"/>
      <c r="K804" s="1612"/>
      <c r="L804" s="1612"/>
      <c r="M804" s="1612"/>
      <c r="N804" s="1612"/>
      <c r="O804" s="1555"/>
      <c r="P804" s="1555"/>
      <c r="Q804" s="1555"/>
      <c r="R804" s="1555"/>
      <c r="S804" s="1555"/>
      <c r="T804" s="1555"/>
      <c r="U804" s="1555"/>
      <c r="V804" s="1555"/>
      <c r="W804" s="1555"/>
      <c r="X804" s="1555"/>
      <c r="Y804" s="1555"/>
      <c r="Z804" s="1555"/>
      <c r="AA804" s="1555"/>
      <c r="AB804" s="1555"/>
      <c r="AC804" s="1555"/>
      <c r="AD804" s="1555"/>
      <c r="AE804" s="1555"/>
      <c r="AF804" s="1555"/>
      <c r="AG804" s="1555"/>
      <c r="AH804" s="1555"/>
      <c r="AI804" s="1555"/>
      <c r="AJ804" s="1555"/>
      <c r="AK804" s="1555"/>
    </row>
    <row r="805" spans="1:37" s="1373" customFormat="1">
      <c r="A805" s="1401"/>
      <c r="B805" s="1401"/>
      <c r="C805" s="75" t="s">
        <v>1451</v>
      </c>
      <c r="D805" s="1838"/>
      <c r="E805" s="1838"/>
      <c r="F805" s="1397"/>
      <c r="G805" s="1470"/>
      <c r="H805" s="40">
        <v>211213</v>
      </c>
      <c r="I805" s="81">
        <v>143880</v>
      </c>
      <c r="J805" s="1566"/>
      <c r="K805" s="1612"/>
      <c r="L805" s="1612"/>
      <c r="M805" s="1612"/>
      <c r="N805" s="1612"/>
      <c r="O805" s="1555"/>
      <c r="P805" s="1555"/>
      <c r="Q805" s="1555"/>
      <c r="R805" s="1555"/>
      <c r="S805" s="1555"/>
      <c r="T805" s="1555"/>
      <c r="U805" s="1555"/>
      <c r="V805" s="1555"/>
      <c r="W805" s="1555"/>
      <c r="X805" s="1555"/>
      <c r="Y805" s="1555"/>
      <c r="Z805" s="1555"/>
      <c r="AA805" s="1555"/>
      <c r="AB805" s="1555"/>
      <c r="AC805" s="1555"/>
      <c r="AD805" s="1555"/>
      <c r="AE805" s="1555"/>
      <c r="AF805" s="1555"/>
      <c r="AG805" s="1555"/>
      <c r="AH805" s="1555"/>
      <c r="AI805" s="1555"/>
      <c r="AJ805" s="1555"/>
      <c r="AK805" s="1555"/>
    </row>
    <row r="806" spans="1:37" s="1373" customFormat="1">
      <c r="A806" s="1401"/>
      <c r="B806" s="1401"/>
      <c r="C806" s="75" t="s">
        <v>1477</v>
      </c>
      <c r="D806" s="1838"/>
      <c r="E806" s="1838"/>
      <c r="F806" s="1397"/>
      <c r="G806" s="1470"/>
      <c r="H806" s="40">
        <v>72689</v>
      </c>
      <c r="I806" s="81">
        <v>0</v>
      </c>
      <c r="J806" s="1566"/>
      <c r="K806" s="1612"/>
      <c r="L806" s="1612"/>
      <c r="M806" s="1612"/>
      <c r="N806" s="1612"/>
      <c r="O806" s="1555"/>
      <c r="P806" s="1555"/>
      <c r="Q806" s="1555"/>
      <c r="R806" s="1555"/>
      <c r="S806" s="1555"/>
      <c r="T806" s="1555"/>
      <c r="U806" s="1555"/>
      <c r="V806" s="1555"/>
      <c r="W806" s="1555"/>
      <c r="X806" s="1555"/>
      <c r="Y806" s="1555"/>
      <c r="Z806" s="1555"/>
      <c r="AA806" s="1555"/>
      <c r="AB806" s="1555"/>
      <c r="AC806" s="1555"/>
      <c r="AD806" s="1555"/>
      <c r="AE806" s="1555"/>
      <c r="AF806" s="1555"/>
      <c r="AG806" s="1555"/>
      <c r="AH806" s="1555"/>
      <c r="AI806" s="1555"/>
      <c r="AJ806" s="1555"/>
      <c r="AK806" s="1555"/>
    </row>
    <row r="807" spans="1:37" s="1373" customFormat="1" ht="12.75" customHeight="1">
      <c r="A807" s="1401"/>
      <c r="B807" s="1401"/>
      <c r="C807" s="75"/>
      <c r="D807" s="1838"/>
      <c r="E807" s="1838"/>
      <c r="F807" s="1397"/>
      <c r="G807" s="1470"/>
      <c r="H807" s="40"/>
      <c r="I807" s="81"/>
      <c r="J807" s="1566"/>
      <c r="K807" s="1612"/>
      <c r="L807" s="1612"/>
      <c r="M807" s="1612"/>
      <c r="N807" s="1612"/>
      <c r="O807" s="1555"/>
      <c r="P807" s="1555"/>
      <c r="Q807" s="1555"/>
      <c r="R807" s="1555"/>
      <c r="S807" s="1555"/>
      <c r="T807" s="1555"/>
      <c r="U807" s="1555"/>
      <c r="V807" s="1555"/>
      <c r="W807" s="1555"/>
      <c r="X807" s="1555"/>
      <c r="Y807" s="1555"/>
      <c r="Z807" s="1555"/>
      <c r="AA807" s="1555"/>
      <c r="AB807" s="1555"/>
      <c r="AC807" s="1555"/>
      <c r="AD807" s="1555"/>
      <c r="AE807" s="1555"/>
      <c r="AF807" s="1555"/>
      <c r="AG807" s="1555"/>
      <c r="AH807" s="1555"/>
      <c r="AI807" s="1555"/>
      <c r="AJ807" s="1555"/>
      <c r="AK807" s="1555"/>
    </row>
    <row r="808" spans="1:37" s="1373" customFormat="1">
      <c r="A808" s="1401"/>
      <c r="B808" s="1401"/>
      <c r="C808" s="74" t="s">
        <v>1474</v>
      </c>
      <c r="D808" s="1838"/>
      <c r="E808" s="1838"/>
      <c r="F808" s="1397"/>
      <c r="G808" s="1955"/>
      <c r="H808" s="40"/>
      <c r="I808" s="81"/>
      <c r="J808" s="1566"/>
      <c r="K808" s="1612"/>
      <c r="L808" s="1612"/>
      <c r="M808" s="1612"/>
      <c r="N808" s="1612"/>
      <c r="O808" s="1555"/>
      <c r="P808" s="1555"/>
      <c r="Q808" s="1555"/>
      <c r="R808" s="1555"/>
      <c r="S808" s="1555"/>
      <c r="T808" s="1555"/>
      <c r="U808" s="1555"/>
      <c r="V808" s="1555"/>
      <c r="W808" s="1555"/>
      <c r="X808" s="1555"/>
      <c r="Y808" s="1555"/>
      <c r="Z808" s="1555"/>
      <c r="AA808" s="1555"/>
      <c r="AB808" s="1555"/>
      <c r="AC808" s="1555"/>
      <c r="AD808" s="1555"/>
      <c r="AE808" s="1555"/>
      <c r="AF808" s="1555"/>
      <c r="AG808" s="1555"/>
      <c r="AH808" s="1555"/>
      <c r="AI808" s="1555"/>
      <c r="AJ808" s="1555"/>
      <c r="AK808" s="1555"/>
    </row>
    <row r="809" spans="1:37" s="1373" customFormat="1">
      <c r="A809" s="1401"/>
      <c r="B809" s="1401"/>
      <c r="C809" s="75" t="s">
        <v>1433</v>
      </c>
      <c r="D809" s="1838"/>
      <c r="E809" s="1838"/>
      <c r="F809" s="1397"/>
      <c r="G809" s="1955" t="s">
        <v>1475</v>
      </c>
      <c r="H809" s="40">
        <v>960000</v>
      </c>
      <c r="I809" s="81">
        <v>1780000</v>
      </c>
      <c r="J809" s="1566"/>
      <c r="K809" s="1612"/>
      <c r="L809" s="1612"/>
      <c r="M809" s="1612"/>
      <c r="N809" s="1612"/>
      <c r="O809" s="1555"/>
      <c r="P809" s="1555"/>
      <c r="Q809" s="1555"/>
      <c r="R809" s="1555"/>
      <c r="S809" s="1555"/>
      <c r="T809" s="1555"/>
      <c r="U809" s="1555"/>
      <c r="V809" s="1555"/>
      <c r="W809" s="1555"/>
      <c r="X809" s="1555"/>
      <c r="Y809" s="1555"/>
      <c r="Z809" s="1555"/>
      <c r="AA809" s="1555"/>
      <c r="AB809" s="1555"/>
      <c r="AC809" s="1555"/>
      <c r="AD809" s="1555"/>
      <c r="AE809" s="1555"/>
      <c r="AF809" s="1555"/>
      <c r="AG809" s="1555"/>
      <c r="AH809" s="1555"/>
      <c r="AI809" s="1555"/>
      <c r="AJ809" s="1555"/>
      <c r="AK809" s="1555"/>
    </row>
    <row r="810" spans="1:37" s="1373" customFormat="1">
      <c r="A810" s="1401"/>
      <c r="B810" s="1401"/>
      <c r="C810" s="75" t="s">
        <v>1434</v>
      </c>
      <c r="D810" s="1838"/>
      <c r="E810" s="1838"/>
      <c r="F810" s="1397"/>
      <c r="G810" s="1955" t="s">
        <v>1475</v>
      </c>
      <c r="H810" s="40">
        <v>1920000</v>
      </c>
      <c r="I810" s="81">
        <v>1780000</v>
      </c>
      <c r="J810" s="1566"/>
      <c r="K810" s="1612"/>
      <c r="L810" s="1612"/>
      <c r="M810" s="1612"/>
      <c r="N810" s="1612"/>
      <c r="O810" s="1555"/>
      <c r="P810" s="1555"/>
      <c r="Q810" s="1555"/>
      <c r="R810" s="1555"/>
      <c r="S810" s="1555"/>
      <c r="T810" s="1555"/>
      <c r="U810" s="1555"/>
      <c r="V810" s="1555"/>
      <c r="W810" s="1555"/>
      <c r="X810" s="1555"/>
      <c r="Y810" s="1555"/>
      <c r="Z810" s="1555"/>
      <c r="AA810" s="1555"/>
      <c r="AB810" s="1555"/>
      <c r="AC810" s="1555"/>
      <c r="AD810" s="1555"/>
      <c r="AE810" s="1555"/>
      <c r="AF810" s="1555"/>
      <c r="AG810" s="1555"/>
      <c r="AH810" s="1555"/>
      <c r="AI810" s="1555"/>
      <c r="AJ810" s="1555"/>
      <c r="AK810" s="1555"/>
    </row>
    <row r="811" spans="1:37" s="1373" customFormat="1">
      <c r="A811" s="1401"/>
      <c r="B811" s="1401"/>
      <c r="C811" s="75" t="s">
        <v>1435</v>
      </c>
      <c r="D811" s="1838"/>
      <c r="E811" s="1838"/>
      <c r="F811" s="1397"/>
      <c r="G811" s="1955" t="s">
        <v>1475</v>
      </c>
      <c r="H811" s="40">
        <v>960000</v>
      </c>
      <c r="I811" s="81">
        <v>760000</v>
      </c>
      <c r="J811" s="1566"/>
      <c r="K811" s="1612"/>
      <c r="L811" s="1612"/>
      <c r="M811" s="1612"/>
      <c r="N811" s="1612"/>
      <c r="O811" s="1555"/>
      <c r="P811" s="1555"/>
      <c r="Q811" s="1555"/>
      <c r="R811" s="1555"/>
      <c r="S811" s="1555"/>
      <c r="T811" s="1555"/>
      <c r="U811" s="1555"/>
      <c r="V811" s="1555"/>
      <c r="W811" s="1555"/>
      <c r="X811" s="1555"/>
      <c r="Y811" s="1555"/>
      <c r="Z811" s="1555"/>
      <c r="AA811" s="1555"/>
      <c r="AB811" s="1555"/>
      <c r="AC811" s="1555"/>
      <c r="AD811" s="1555"/>
      <c r="AE811" s="1555"/>
      <c r="AF811" s="1555"/>
      <c r="AG811" s="1555"/>
      <c r="AH811" s="1555"/>
      <c r="AI811" s="1555"/>
      <c r="AJ811" s="1555"/>
      <c r="AK811" s="1555"/>
    </row>
    <row r="812" spans="1:37" s="1373" customFormat="1">
      <c r="A812" s="1424"/>
      <c r="B812" s="1401"/>
      <c r="C812" s="75" t="s">
        <v>1436</v>
      </c>
      <c r="D812" s="1838"/>
      <c r="E812" s="1838"/>
      <c r="F812" s="1397"/>
      <c r="G812" s="1955" t="s">
        <v>1475</v>
      </c>
      <c r="H812" s="40">
        <v>883871</v>
      </c>
      <c r="I812" s="81">
        <v>760000</v>
      </c>
      <c r="J812" s="1566"/>
      <c r="K812" s="1612"/>
      <c r="L812" s="1612"/>
      <c r="M812" s="1612"/>
      <c r="N812" s="1612"/>
      <c r="O812" s="1555"/>
      <c r="P812" s="1555"/>
      <c r="Q812" s="1555"/>
      <c r="R812" s="1555"/>
      <c r="S812" s="1555"/>
      <c r="T812" s="1555"/>
      <c r="U812" s="1555"/>
      <c r="V812" s="1555"/>
      <c r="W812" s="1555"/>
      <c r="X812" s="1555"/>
      <c r="Y812" s="1555"/>
      <c r="Z812" s="1555"/>
      <c r="AA812" s="1555"/>
      <c r="AB812" s="1555"/>
      <c r="AC812" s="1555"/>
      <c r="AD812" s="1555"/>
      <c r="AE812" s="1555"/>
      <c r="AF812" s="1555"/>
      <c r="AG812" s="1555"/>
      <c r="AH812" s="1555"/>
      <c r="AI812" s="1555"/>
      <c r="AJ812" s="1555"/>
      <c r="AK812" s="1555"/>
    </row>
    <row r="813" spans="1:37" s="1373" customFormat="1" ht="12.75" customHeight="1">
      <c r="A813" s="1371"/>
      <c r="B813" s="1371"/>
      <c r="C813" s="75"/>
      <c r="D813" s="1838"/>
      <c r="E813" s="1838"/>
      <c r="F813" s="1397"/>
      <c r="G813" s="1397"/>
      <c r="H813" s="82"/>
      <c r="I813" s="181"/>
      <c r="J813" s="1566"/>
      <c r="K813" s="1612"/>
      <c r="L813" s="1612"/>
      <c r="M813" s="1612"/>
      <c r="N813" s="1612"/>
      <c r="O813" s="1555"/>
      <c r="P813" s="1555"/>
      <c r="Q813" s="1555"/>
      <c r="R813" s="1555"/>
      <c r="S813" s="1555"/>
      <c r="T813" s="1555"/>
      <c r="U813" s="1555"/>
      <c r="V813" s="1555"/>
      <c r="W813" s="1555"/>
      <c r="X813" s="1555"/>
      <c r="Y813" s="1555"/>
      <c r="Z813" s="1555"/>
      <c r="AA813" s="1555"/>
      <c r="AB813" s="1555"/>
      <c r="AC813" s="1555"/>
      <c r="AD813" s="1555"/>
      <c r="AE813" s="1555"/>
      <c r="AF813" s="1555"/>
      <c r="AG813" s="1555"/>
      <c r="AH813" s="1555"/>
      <c r="AI813" s="1555"/>
      <c r="AJ813" s="1555"/>
      <c r="AK813" s="1555"/>
    </row>
    <row r="814" spans="1:37">
      <c r="C814" s="74" t="s">
        <v>1476</v>
      </c>
      <c r="D814" s="1838"/>
      <c r="E814" s="1838"/>
      <c r="F814" s="1397"/>
      <c r="G814" s="1397"/>
      <c r="H814" s="82"/>
      <c r="I814" s="181"/>
      <c r="J814" s="1566"/>
      <c r="K814" s="1612"/>
      <c r="L814" s="1612"/>
      <c r="M814" s="1612"/>
      <c r="N814" s="1612"/>
    </row>
    <row r="815" spans="1:37">
      <c r="C815" s="75" t="s">
        <v>1477</v>
      </c>
      <c r="D815" s="1838"/>
      <c r="E815" s="1838"/>
      <c r="F815" s="1397"/>
      <c r="G815" s="1397"/>
      <c r="H815" s="82">
        <v>780000</v>
      </c>
      <c r="I815" s="181">
        <v>435000</v>
      </c>
      <c r="J815" s="1566"/>
      <c r="K815" s="1612"/>
      <c r="L815" s="1612"/>
      <c r="M815" s="1612"/>
      <c r="N815" s="1612"/>
    </row>
    <row r="816" spans="1:37" hidden="1">
      <c r="C816" s="75"/>
      <c r="D816" s="1838"/>
      <c r="E816" s="1838"/>
      <c r="F816" s="1397"/>
      <c r="G816" s="1397"/>
      <c r="H816" s="1850"/>
      <c r="I816" s="181"/>
      <c r="J816" s="1566"/>
      <c r="K816" s="1612"/>
      <c r="L816" s="1612"/>
      <c r="M816" s="1612"/>
      <c r="N816" s="1612"/>
    </row>
    <row r="817" spans="1:61" hidden="1">
      <c r="C817" s="75"/>
      <c r="D817" s="1838"/>
      <c r="E817" s="1838"/>
      <c r="F817" s="1397"/>
      <c r="G817" s="1397"/>
      <c r="H817" s="1850"/>
      <c r="I817" s="181"/>
      <c r="J817" s="1566"/>
      <c r="K817" s="1612"/>
      <c r="L817" s="1612"/>
      <c r="M817" s="1612"/>
      <c r="N817" s="1612"/>
    </row>
    <row r="818" spans="1:61" ht="13.5" customHeight="1">
      <c r="A818" s="1401"/>
      <c r="B818" s="1401"/>
      <c r="C818" s="75"/>
      <c r="D818" s="1838"/>
      <c r="E818" s="1838"/>
      <c r="F818" s="1397"/>
      <c r="G818" s="1470"/>
      <c r="H818" s="40"/>
      <c r="I818" s="81"/>
      <c r="J818" s="1566"/>
      <c r="K818" s="1612"/>
      <c r="L818" s="1612"/>
      <c r="M818" s="1612"/>
      <c r="N818" s="1612"/>
    </row>
    <row r="819" spans="1:61">
      <c r="A819" s="1401"/>
      <c r="B819" s="1401"/>
      <c r="C819" s="194" t="s">
        <v>1478</v>
      </c>
      <c r="D819" s="1838"/>
      <c r="E819" s="1838"/>
      <c r="F819" s="1397"/>
      <c r="G819" s="1470"/>
      <c r="H819" s="40"/>
      <c r="I819" s="22"/>
      <c r="J819" s="1566"/>
      <c r="K819" s="1554"/>
      <c r="L819" s="1554"/>
      <c r="M819" s="1554"/>
      <c r="N819" s="1612"/>
    </row>
    <row r="820" spans="1:61">
      <c r="A820" s="1401"/>
      <c r="B820" s="1401"/>
      <c r="C820" s="195" t="s">
        <v>1479</v>
      </c>
      <c r="D820" s="1838"/>
      <c r="E820" s="1838"/>
      <c r="F820" s="1397"/>
      <c r="G820" s="1470"/>
      <c r="H820" s="40">
        <v>3074084</v>
      </c>
      <c r="I820" s="22">
        <v>70006</v>
      </c>
      <c r="J820" s="1566"/>
      <c r="K820" s="1554"/>
      <c r="L820" s="1554"/>
      <c r="M820" s="1554"/>
      <c r="N820" s="1554"/>
    </row>
    <row r="821" spans="1:61" ht="10.5" customHeight="1">
      <c r="A821" s="1401"/>
      <c r="B821" s="1401"/>
      <c r="C821" s="195"/>
      <c r="D821" s="1838"/>
      <c r="E821" s="1838"/>
      <c r="F821" s="1397"/>
      <c r="G821" s="1470"/>
      <c r="H821" s="40"/>
      <c r="I821" s="22"/>
      <c r="J821" s="1566"/>
      <c r="K821" s="1554"/>
      <c r="L821" s="1554"/>
      <c r="M821" s="1554"/>
      <c r="N821" s="1554"/>
    </row>
    <row r="822" spans="1:61">
      <c r="A822" s="1401"/>
      <c r="B822" s="1401"/>
      <c r="C822" s="194" t="s">
        <v>1480</v>
      </c>
      <c r="D822" s="1838"/>
      <c r="E822" s="1838"/>
      <c r="F822" s="1397"/>
      <c r="G822" s="1470"/>
      <c r="H822" s="40"/>
      <c r="I822" s="22"/>
      <c r="J822" s="1566"/>
      <c r="K822" s="1554"/>
      <c r="L822" s="1554"/>
      <c r="M822" s="1554"/>
      <c r="N822" s="1554"/>
    </row>
    <row r="823" spans="1:61">
      <c r="A823" s="1401"/>
      <c r="B823" s="1401"/>
      <c r="C823" s="195" t="s">
        <v>1440</v>
      </c>
      <c r="D823" s="1838"/>
      <c r="E823" s="1838"/>
      <c r="F823" s="1397"/>
      <c r="G823" s="1470"/>
      <c r="H823" s="40">
        <v>0</v>
      </c>
      <c r="I823" s="22">
        <v>3765910</v>
      </c>
      <c r="J823" s="1566"/>
      <c r="K823" s="1554"/>
      <c r="L823" s="1554"/>
      <c r="M823" s="1554"/>
      <c r="N823" s="1554"/>
    </row>
    <row r="824" spans="1:61">
      <c r="A824" s="1401"/>
      <c r="B824" s="1401"/>
      <c r="C824" s="195" t="s">
        <v>1438</v>
      </c>
      <c r="D824" s="1838"/>
      <c r="E824" s="1838"/>
      <c r="F824" s="1397"/>
      <c r="G824" s="1470"/>
      <c r="H824" s="40">
        <v>0</v>
      </c>
      <c r="I824" s="22">
        <v>0</v>
      </c>
      <c r="J824" s="1566"/>
      <c r="K824" s="1554"/>
      <c r="L824" s="1554"/>
      <c r="M824" s="1554"/>
      <c r="N824" s="1554"/>
    </row>
    <row r="825" spans="1:61" ht="11.25" customHeight="1">
      <c r="A825" s="1401"/>
      <c r="B825" s="1401"/>
      <c r="C825" s="195"/>
      <c r="D825" s="1838"/>
      <c r="E825" s="1838"/>
      <c r="F825" s="1397"/>
      <c r="G825" s="1470"/>
      <c r="H825" s="40"/>
      <c r="I825" s="22"/>
      <c r="J825" s="1566"/>
      <c r="K825" s="1554"/>
      <c r="L825" s="1554"/>
      <c r="M825" s="1554"/>
      <c r="N825" s="1554"/>
    </row>
    <row r="826" spans="1:61" s="1373" customFormat="1">
      <c r="A826" s="1401"/>
      <c r="B826" s="1401"/>
      <c r="C826" s="194" t="s">
        <v>1481</v>
      </c>
      <c r="D826" s="1838"/>
      <c r="E826" s="1838"/>
      <c r="F826" s="1397"/>
      <c r="G826" s="1470"/>
      <c r="H826" s="40"/>
      <c r="I826" s="22"/>
      <c r="J826" s="1566"/>
      <c r="K826" s="1554"/>
      <c r="L826" s="1554"/>
      <c r="M826" s="1554"/>
      <c r="N826" s="1554"/>
      <c r="O826" s="1555"/>
      <c r="P826" s="1555"/>
      <c r="Q826" s="1555"/>
      <c r="R826" s="1555"/>
      <c r="S826" s="1555"/>
      <c r="T826" s="1555"/>
      <c r="U826" s="1555"/>
      <c r="V826" s="1555"/>
      <c r="W826" s="1555"/>
      <c r="X826" s="1555"/>
      <c r="Y826" s="1555"/>
      <c r="Z826" s="1555"/>
      <c r="AA826" s="1555"/>
      <c r="AB826" s="1555"/>
      <c r="AC826" s="1555"/>
      <c r="AD826" s="1555"/>
      <c r="AE826" s="1555"/>
      <c r="AF826" s="1555"/>
      <c r="AG826" s="1555"/>
      <c r="AH826" s="1555"/>
      <c r="AI826" s="1555"/>
      <c r="AJ826" s="1555"/>
      <c r="AK826" s="1555"/>
    </row>
    <row r="827" spans="1:61" s="1373" customFormat="1">
      <c r="A827" s="1401"/>
      <c r="B827" s="1401"/>
      <c r="C827" s="195" t="s">
        <v>1440</v>
      </c>
      <c r="D827" s="1838"/>
      <c r="E827" s="1838"/>
      <c r="F827" s="1397"/>
      <c r="G827" s="1470"/>
      <c r="H827" s="40">
        <v>23025864</v>
      </c>
      <c r="I827" s="22">
        <v>17204557</v>
      </c>
      <c r="J827" s="1566"/>
      <c r="K827" s="1554"/>
      <c r="L827" s="1554"/>
      <c r="M827" s="1554"/>
      <c r="N827" s="1554"/>
      <c r="O827" s="1555"/>
      <c r="P827" s="1555"/>
      <c r="Q827" s="1555"/>
      <c r="R827" s="1555"/>
      <c r="S827" s="1555"/>
      <c r="T827" s="1555"/>
      <c r="U827" s="1555"/>
      <c r="V827" s="1555"/>
      <c r="W827" s="1555"/>
      <c r="X827" s="1555"/>
      <c r="Y827" s="1555"/>
      <c r="Z827" s="1555"/>
      <c r="AA827" s="1555"/>
      <c r="AB827" s="1555"/>
      <c r="AC827" s="1555"/>
      <c r="AD827" s="1555"/>
      <c r="AE827" s="1555"/>
      <c r="AF827" s="1555"/>
      <c r="AG827" s="1555"/>
      <c r="AH827" s="1555"/>
      <c r="AI827" s="1555"/>
      <c r="AJ827" s="1555"/>
      <c r="AK827" s="1555"/>
    </row>
    <row r="828" spans="1:61" s="1373" customFormat="1">
      <c r="A828" s="1401"/>
      <c r="B828" s="1401"/>
      <c r="C828" s="196" t="s">
        <v>1441</v>
      </c>
      <c r="D828" s="1844"/>
      <c r="E828" s="1844"/>
      <c r="F828" s="1404"/>
      <c r="G828" s="1472"/>
      <c r="H828" s="55">
        <f>94159357-5051607</f>
        <v>89107750</v>
      </c>
      <c r="I828" s="118">
        <v>83345563</v>
      </c>
      <c r="J828" s="1566"/>
      <c r="K828" s="1554"/>
      <c r="L828" s="1554"/>
      <c r="M828" s="1554"/>
      <c r="N828" s="1554"/>
      <c r="O828" s="1555"/>
      <c r="P828" s="1555"/>
      <c r="Q828" s="1555"/>
      <c r="R828" s="1555"/>
      <c r="S828" s="1555"/>
      <c r="T828" s="1555"/>
      <c r="U828" s="1555"/>
      <c r="V828" s="1555"/>
      <c r="W828" s="1555"/>
      <c r="X828" s="1555"/>
      <c r="Y828" s="1555"/>
      <c r="Z828" s="1555"/>
      <c r="AA828" s="1555"/>
      <c r="AB828" s="1555"/>
      <c r="AC828" s="1555"/>
      <c r="AD828" s="1555"/>
      <c r="AE828" s="1555"/>
      <c r="AF828" s="1555"/>
      <c r="AG828" s="1555"/>
      <c r="AH828" s="1555"/>
      <c r="AI828" s="1555"/>
      <c r="AJ828" s="1555"/>
      <c r="AK828" s="1555"/>
    </row>
    <row r="829" spans="1:61" s="1373" customFormat="1" hidden="1">
      <c r="A829" s="1401"/>
      <c r="B829" s="1401"/>
      <c r="C829" s="196"/>
      <c r="D829" s="79"/>
      <c r="E829" s="1844"/>
      <c r="F829" s="1404"/>
      <c r="G829" s="1472"/>
      <c r="H829" s="55"/>
      <c r="I829" s="118"/>
      <c r="J829" s="1566"/>
      <c r="K829" s="1554"/>
      <c r="L829" s="1554"/>
      <c r="M829" s="1554"/>
      <c r="N829" s="1554"/>
      <c r="O829" s="1555"/>
      <c r="P829" s="1555"/>
      <c r="Q829" s="1555"/>
      <c r="R829" s="1555"/>
      <c r="S829" s="1555"/>
      <c r="T829" s="1555"/>
      <c r="U829" s="1555"/>
      <c r="V829" s="1555"/>
      <c r="W829" s="1555"/>
      <c r="X829" s="1555"/>
      <c r="Y829" s="1555"/>
      <c r="Z829" s="1555"/>
      <c r="AA829" s="1555"/>
      <c r="AB829" s="1555"/>
      <c r="AC829" s="1555"/>
      <c r="AD829" s="1555"/>
      <c r="AE829" s="1555"/>
      <c r="AF829" s="1555"/>
      <c r="AG829" s="1555"/>
      <c r="AH829" s="1555"/>
      <c r="AI829" s="1555"/>
      <c r="AJ829" s="1555"/>
      <c r="AK829" s="1555"/>
    </row>
    <row r="830" spans="1:61">
      <c r="C830" s="2166" t="s">
        <v>1065</v>
      </c>
      <c r="D830" s="2167"/>
      <c r="E830" s="2167"/>
      <c r="F830" s="2167"/>
      <c r="G830" s="2167"/>
      <c r="H830" s="2167"/>
      <c r="I830" s="2168"/>
      <c r="J830" s="1623"/>
      <c r="K830" s="1624"/>
      <c r="L830" s="1624"/>
      <c r="M830" s="1624"/>
      <c r="N830" s="1612"/>
    </row>
    <row r="831" spans="1:61" s="1375" customFormat="1">
      <c r="A831" s="1371"/>
      <c r="B831" s="1371"/>
      <c r="C831" s="2169" t="s">
        <v>1546</v>
      </c>
      <c r="D831" s="2170"/>
      <c r="E831" s="2170"/>
      <c r="F831" s="2170"/>
      <c r="G831" s="2170"/>
      <c r="H831" s="2170"/>
      <c r="I831" s="2171"/>
      <c r="J831" s="1623"/>
      <c r="K831" s="1624"/>
      <c r="L831" s="1624"/>
      <c r="M831" s="1624"/>
      <c r="N831" s="1624"/>
      <c r="O831" s="1608"/>
      <c r="P831" s="1608"/>
      <c r="Q831" s="1608"/>
      <c r="R831" s="1608"/>
      <c r="S831" s="1608"/>
      <c r="T831" s="1608"/>
      <c r="U831" s="1608"/>
      <c r="V831" s="1608"/>
      <c r="W831" s="1608"/>
      <c r="X831" s="1608"/>
      <c r="Y831" s="1608"/>
      <c r="Z831" s="1608"/>
      <c r="AA831" s="1608"/>
      <c r="AB831" s="1608"/>
      <c r="AC831" s="1608"/>
      <c r="AD831" s="1608"/>
      <c r="AE831" s="1608"/>
      <c r="AF831" s="1608"/>
      <c r="AG831" s="1608"/>
      <c r="AH831" s="1608"/>
      <c r="AI831" s="1608"/>
      <c r="AJ831" s="1608"/>
      <c r="AK831" s="1608"/>
      <c r="AL831" s="1425"/>
      <c r="AM831" s="1425"/>
      <c r="AN831" s="1425"/>
      <c r="AO831" s="1425"/>
      <c r="AP831" s="1425"/>
      <c r="AQ831" s="1425"/>
      <c r="AR831" s="1425"/>
      <c r="AS831" s="1425"/>
      <c r="AT831" s="1425"/>
      <c r="AU831" s="1425"/>
      <c r="AV831" s="1425"/>
      <c r="AW831" s="1425"/>
      <c r="AX831" s="1425"/>
      <c r="AY831" s="1425"/>
      <c r="AZ831" s="1425"/>
      <c r="BA831" s="1425"/>
      <c r="BB831" s="1425"/>
      <c r="BC831" s="1425"/>
      <c r="BD831" s="1425"/>
      <c r="BE831" s="1425"/>
      <c r="BF831" s="1425"/>
      <c r="BG831" s="1425"/>
      <c r="BH831" s="1425"/>
      <c r="BI831" s="1425"/>
    </row>
    <row r="832" spans="1:61">
      <c r="C832" s="1426" t="s">
        <v>402</v>
      </c>
      <c r="D832" s="1869"/>
      <c r="E832" s="1869"/>
      <c r="F832" s="1942"/>
      <c r="G832" s="190"/>
      <c r="H832" s="193" t="str">
        <f>+H784</f>
        <v xml:space="preserve">As At </v>
      </c>
      <c r="I832" s="193" t="str">
        <f>+I784</f>
        <v xml:space="preserve"> As At</v>
      </c>
      <c r="J832" s="1558"/>
      <c r="K832" s="1559"/>
      <c r="L832" s="1559"/>
      <c r="M832" s="1559"/>
      <c r="N832" s="1624"/>
    </row>
    <row r="833" spans="1:37">
      <c r="C833" s="52"/>
      <c r="D833" s="1844"/>
      <c r="E833" s="1844"/>
      <c r="F833" s="1404"/>
      <c r="G833" s="191"/>
      <c r="H833" s="16" t="str">
        <f>+H785</f>
        <v>March 31, 2022 (₹)</v>
      </c>
      <c r="I833" s="16" t="str">
        <f>+I785</f>
        <v>March 31, 2021 (₹)</v>
      </c>
      <c r="J833" s="1561"/>
      <c r="K833" s="1562"/>
      <c r="L833" s="1562"/>
      <c r="M833" s="1562"/>
      <c r="N833" s="1587"/>
    </row>
    <row r="834" spans="1:37" s="1373" customFormat="1">
      <c r="A834" s="1401"/>
      <c r="B834" s="1401"/>
      <c r="C834" s="197" t="s">
        <v>1482</v>
      </c>
      <c r="D834" s="1868"/>
      <c r="E834" s="1868"/>
      <c r="F834" s="1894"/>
      <c r="G834" s="1513"/>
      <c r="H834" s="192"/>
      <c r="I834" s="57"/>
      <c r="J834" s="1566"/>
      <c r="K834" s="1554"/>
      <c r="L834" s="1554"/>
      <c r="M834" s="1554"/>
      <c r="N834" s="1554"/>
      <c r="O834" s="1555"/>
      <c r="P834" s="1555"/>
      <c r="Q834" s="1555"/>
      <c r="R834" s="1555"/>
      <c r="S834" s="1555"/>
      <c r="T834" s="1555"/>
      <c r="U834" s="1555"/>
      <c r="V834" s="1555"/>
      <c r="W834" s="1555"/>
      <c r="X834" s="1555"/>
      <c r="Y834" s="1555"/>
      <c r="Z834" s="1555"/>
      <c r="AA834" s="1555"/>
      <c r="AB834" s="1555"/>
      <c r="AC834" s="1555"/>
      <c r="AD834" s="1555"/>
      <c r="AE834" s="1555"/>
      <c r="AF834" s="1555"/>
      <c r="AG834" s="1555"/>
      <c r="AH834" s="1555"/>
      <c r="AI834" s="1555"/>
      <c r="AJ834" s="1555"/>
      <c r="AK834" s="1555"/>
    </row>
    <row r="835" spans="1:37" s="1373" customFormat="1">
      <c r="A835" s="1401"/>
      <c r="B835" s="1401"/>
      <c r="C835" s="1433" t="s">
        <v>1483</v>
      </c>
      <c r="D835" s="1838"/>
      <c r="E835" s="1838"/>
      <c r="F835" s="1397"/>
      <c r="G835" s="1470"/>
      <c r="H835" s="40"/>
      <c r="I835" s="81"/>
      <c r="J835" s="1566"/>
      <c r="K835" s="1612"/>
      <c r="L835" s="1612"/>
      <c r="M835" s="1612"/>
      <c r="N835" s="1554"/>
      <c r="O835" s="1555"/>
      <c r="P835" s="1555"/>
      <c r="Q835" s="1555"/>
      <c r="R835" s="1555"/>
      <c r="S835" s="1555"/>
      <c r="T835" s="1555"/>
      <c r="U835" s="1555"/>
      <c r="V835" s="1555"/>
      <c r="W835" s="1555"/>
      <c r="X835" s="1555"/>
      <c r="Y835" s="1555"/>
      <c r="Z835" s="1555"/>
      <c r="AA835" s="1555"/>
      <c r="AB835" s="1555"/>
      <c r="AC835" s="1555"/>
      <c r="AD835" s="1555"/>
      <c r="AE835" s="1555"/>
      <c r="AF835" s="1555"/>
      <c r="AG835" s="1555"/>
      <c r="AH835" s="1555"/>
      <c r="AI835" s="1555"/>
      <c r="AJ835" s="1555"/>
      <c r="AK835" s="1555"/>
    </row>
    <row r="836" spans="1:37" s="1373" customFormat="1">
      <c r="A836" s="1401"/>
      <c r="B836" s="1401"/>
      <c r="C836" s="75" t="s">
        <v>1484</v>
      </c>
      <c r="D836" s="1838"/>
      <c r="E836" s="1838"/>
      <c r="F836" s="1397"/>
      <c r="G836" s="1470"/>
      <c r="H836" s="40">
        <v>1182795</v>
      </c>
      <c r="I836" s="40">
        <v>166361</v>
      </c>
      <c r="J836" s="1566"/>
      <c r="K836" s="1612"/>
      <c r="L836" s="1612"/>
      <c r="M836" s="1612"/>
      <c r="N836" s="1612"/>
      <c r="O836" s="1555"/>
      <c r="P836" s="1555"/>
      <c r="Q836" s="1555"/>
      <c r="R836" s="1555"/>
      <c r="S836" s="1555"/>
      <c r="T836" s="1555"/>
      <c r="U836" s="1555"/>
      <c r="V836" s="1555"/>
      <c r="W836" s="1555"/>
      <c r="X836" s="1555"/>
      <c r="Y836" s="1555"/>
      <c r="Z836" s="1555"/>
      <c r="AA836" s="1555"/>
      <c r="AB836" s="1555"/>
      <c r="AC836" s="1555"/>
      <c r="AD836" s="1555"/>
      <c r="AE836" s="1555"/>
      <c r="AF836" s="1555"/>
      <c r="AG836" s="1555"/>
      <c r="AH836" s="1555"/>
      <c r="AI836" s="1555"/>
      <c r="AJ836" s="1555"/>
      <c r="AK836" s="1555"/>
    </row>
    <row r="837" spans="1:37" s="1373" customFormat="1">
      <c r="A837" s="1401"/>
      <c r="B837" s="1401"/>
      <c r="C837" s="75" t="s">
        <v>1445</v>
      </c>
      <c r="D837" s="1838"/>
      <c r="E837" s="1838"/>
      <c r="F837" s="1397"/>
      <c r="G837" s="1470"/>
      <c r="H837" s="40">
        <v>69620</v>
      </c>
      <c r="I837" s="40">
        <v>66546</v>
      </c>
      <c r="J837" s="1566"/>
      <c r="K837" s="1612"/>
      <c r="L837" s="1612"/>
      <c r="M837" s="1612"/>
      <c r="N837" s="1612"/>
      <c r="O837" s="1555"/>
      <c r="P837" s="1555"/>
      <c r="Q837" s="1555"/>
      <c r="R837" s="1555"/>
      <c r="S837" s="1555"/>
      <c r="T837" s="1555"/>
      <c r="U837" s="1555"/>
      <c r="V837" s="1555"/>
      <c r="W837" s="1555"/>
      <c r="X837" s="1555"/>
      <c r="Y837" s="1555"/>
      <c r="Z837" s="1555"/>
      <c r="AA837" s="1555"/>
      <c r="AB837" s="1555"/>
      <c r="AC837" s="1555"/>
      <c r="AD837" s="1555"/>
      <c r="AE837" s="1555"/>
      <c r="AF837" s="1555"/>
      <c r="AG837" s="1555"/>
      <c r="AH837" s="1555"/>
      <c r="AI837" s="1555"/>
      <c r="AJ837" s="1555"/>
      <c r="AK837" s="1555"/>
    </row>
    <row r="838" spans="1:37" s="1373" customFormat="1">
      <c r="A838" s="1401"/>
      <c r="B838" s="1401"/>
      <c r="C838" s="75" t="s">
        <v>1453</v>
      </c>
      <c r="D838" s="1838"/>
      <c r="E838" s="1838"/>
      <c r="F838" s="1397"/>
      <c r="G838" s="1470"/>
      <c r="H838" s="40">
        <v>144240</v>
      </c>
      <c r="I838" s="40">
        <v>83180</v>
      </c>
      <c r="J838" s="1566"/>
      <c r="K838" s="1612"/>
      <c r="L838" s="1612"/>
      <c r="M838" s="1612"/>
      <c r="N838" s="1612"/>
      <c r="O838" s="1555"/>
      <c r="P838" s="1555"/>
      <c r="Q838" s="1555"/>
      <c r="R838" s="1555"/>
      <c r="S838" s="1555"/>
      <c r="T838" s="1555"/>
      <c r="U838" s="1555"/>
      <c r="V838" s="1555"/>
      <c r="W838" s="1555"/>
      <c r="X838" s="1555"/>
      <c r="Y838" s="1555"/>
      <c r="Z838" s="1555"/>
      <c r="AA838" s="1555"/>
      <c r="AB838" s="1555"/>
      <c r="AC838" s="1555"/>
      <c r="AD838" s="1555"/>
      <c r="AE838" s="1555"/>
      <c r="AF838" s="1555"/>
      <c r="AG838" s="1555"/>
      <c r="AH838" s="1555"/>
      <c r="AI838" s="1555"/>
      <c r="AJ838" s="1555"/>
      <c r="AK838" s="1555"/>
    </row>
    <row r="839" spans="1:37" s="1373" customFormat="1">
      <c r="A839" s="1401"/>
      <c r="B839" s="1401"/>
      <c r="C839" s="75" t="s">
        <v>1444</v>
      </c>
      <c r="D839" s="1838"/>
      <c r="E839" s="1838"/>
      <c r="F839" s="1397"/>
      <c r="G839" s="1470"/>
      <c r="H839" s="40">
        <v>130537</v>
      </c>
      <c r="I839" s="40">
        <v>124771</v>
      </c>
      <c r="J839" s="1566"/>
      <c r="K839" s="1612"/>
      <c r="L839" s="1612"/>
      <c r="M839" s="1612"/>
      <c r="N839" s="1612"/>
      <c r="O839" s="1555"/>
      <c r="P839" s="1555"/>
      <c r="Q839" s="1555"/>
      <c r="R839" s="1555"/>
      <c r="S839" s="1555"/>
      <c r="T839" s="1555"/>
      <c r="U839" s="1555"/>
      <c r="V839" s="1555"/>
      <c r="W839" s="1555"/>
      <c r="X839" s="1555"/>
      <c r="Y839" s="1555"/>
      <c r="Z839" s="1555"/>
      <c r="AA839" s="1555"/>
      <c r="AB839" s="1555"/>
      <c r="AC839" s="1555"/>
      <c r="AD839" s="1555"/>
      <c r="AE839" s="1555"/>
      <c r="AF839" s="1555"/>
      <c r="AG839" s="1555"/>
      <c r="AH839" s="1555"/>
      <c r="AI839" s="1555"/>
      <c r="AJ839" s="1555"/>
      <c r="AK839" s="1555"/>
    </row>
    <row r="840" spans="1:37" s="1373" customFormat="1">
      <c r="A840" s="1401"/>
      <c r="B840" s="1401"/>
      <c r="C840" s="75" t="s">
        <v>1473</v>
      </c>
      <c r="D840" s="1838"/>
      <c r="E840" s="1838"/>
      <c r="F840" s="1397"/>
      <c r="G840" s="1470"/>
      <c r="H840" s="40">
        <v>277240</v>
      </c>
      <c r="I840" s="40">
        <v>66546</v>
      </c>
      <c r="J840" s="1566"/>
      <c r="K840" s="1612"/>
      <c r="L840" s="1612"/>
      <c r="M840" s="1612"/>
      <c r="N840" s="1612"/>
      <c r="O840" s="1555"/>
      <c r="P840" s="1555"/>
      <c r="Q840" s="1555"/>
      <c r="R840" s="1555"/>
      <c r="S840" s="1555"/>
      <c r="T840" s="1555"/>
      <c r="U840" s="1555"/>
      <c r="V840" s="1555"/>
      <c r="W840" s="1555"/>
      <c r="X840" s="1555"/>
      <c r="Y840" s="1555"/>
      <c r="Z840" s="1555"/>
      <c r="AA840" s="1555"/>
      <c r="AB840" s="1555"/>
      <c r="AC840" s="1555"/>
      <c r="AD840" s="1555"/>
      <c r="AE840" s="1555"/>
      <c r="AF840" s="1555"/>
      <c r="AG840" s="1555"/>
      <c r="AH840" s="1555"/>
      <c r="AI840" s="1555"/>
      <c r="AJ840" s="1555"/>
      <c r="AK840" s="1555"/>
    </row>
    <row r="841" spans="1:37" s="1373" customFormat="1">
      <c r="A841" s="1401"/>
      <c r="B841" s="1401"/>
      <c r="C841" s="75" t="s">
        <v>1472</v>
      </c>
      <c r="D841" s="1838"/>
      <c r="E841" s="1838"/>
      <c r="F841" s="1397"/>
      <c r="G841" s="1470"/>
      <c r="H841" s="40">
        <v>261073</v>
      </c>
      <c r="I841" s="40">
        <v>249542</v>
      </c>
      <c r="J841" s="1566"/>
      <c r="K841" s="1612"/>
      <c r="L841" s="1612"/>
      <c r="M841" s="1612"/>
      <c r="N841" s="1612"/>
      <c r="O841" s="1555"/>
      <c r="P841" s="1555"/>
      <c r="Q841" s="1555"/>
      <c r="R841" s="1555"/>
      <c r="S841" s="1555"/>
      <c r="T841" s="1555"/>
      <c r="U841" s="1555"/>
      <c r="V841" s="1555"/>
      <c r="W841" s="1555"/>
      <c r="X841" s="1555"/>
      <c r="Y841" s="1555"/>
      <c r="Z841" s="1555"/>
      <c r="AA841" s="1555"/>
      <c r="AB841" s="1555"/>
      <c r="AC841" s="1555"/>
      <c r="AD841" s="1555"/>
      <c r="AE841" s="1555"/>
      <c r="AF841" s="1555"/>
      <c r="AG841" s="1555"/>
      <c r="AH841" s="1555"/>
      <c r="AI841" s="1555"/>
      <c r="AJ841" s="1555"/>
      <c r="AK841" s="1555"/>
    </row>
    <row r="842" spans="1:37" s="1373" customFormat="1">
      <c r="A842" s="1401"/>
      <c r="B842" s="1401"/>
      <c r="C842" s="75" t="s">
        <v>1490</v>
      </c>
      <c r="D842" s="1838"/>
      <c r="E842" s="1838"/>
      <c r="F842" s="1397"/>
      <c r="G842" s="1470"/>
      <c r="H842" s="40">
        <v>87024</v>
      </c>
      <c r="I842" s="40">
        <v>83180</v>
      </c>
      <c r="J842" s="1566"/>
      <c r="K842" s="1612"/>
      <c r="L842" s="1612"/>
      <c r="M842" s="1612"/>
      <c r="N842" s="1612"/>
      <c r="O842" s="1555"/>
      <c r="P842" s="1555"/>
      <c r="Q842" s="1555"/>
      <c r="R842" s="1555"/>
      <c r="S842" s="1555"/>
      <c r="T842" s="1555"/>
      <c r="U842" s="1555"/>
      <c r="V842" s="1555"/>
      <c r="W842" s="1555"/>
      <c r="X842" s="1555"/>
      <c r="Y842" s="1555"/>
      <c r="Z842" s="1555"/>
      <c r="AA842" s="1555"/>
      <c r="AB842" s="1555"/>
      <c r="AC842" s="1555"/>
      <c r="AD842" s="1555"/>
      <c r="AE842" s="1555"/>
      <c r="AF842" s="1555"/>
      <c r="AG842" s="1555"/>
      <c r="AH842" s="1555"/>
      <c r="AI842" s="1555"/>
      <c r="AJ842" s="1555"/>
      <c r="AK842" s="1555"/>
    </row>
    <row r="843" spans="1:37" s="1373" customFormat="1">
      <c r="A843" s="1401"/>
      <c r="B843" s="1401"/>
      <c r="C843" s="75" t="s">
        <v>1451</v>
      </c>
      <c r="D843" s="1838"/>
      <c r="E843" s="1838"/>
      <c r="F843" s="1397"/>
      <c r="G843" s="1470"/>
      <c r="H843" s="40">
        <v>1190092</v>
      </c>
      <c r="I843" s="40">
        <v>133089</v>
      </c>
      <c r="J843" s="1566"/>
      <c r="K843" s="1612"/>
      <c r="L843" s="1612"/>
      <c r="M843" s="1612"/>
      <c r="N843" s="1612"/>
      <c r="O843" s="1555"/>
      <c r="P843" s="1555"/>
      <c r="Q843" s="1555"/>
      <c r="R843" s="1555"/>
      <c r="S843" s="1555"/>
      <c r="T843" s="1555"/>
      <c r="U843" s="1555"/>
      <c r="V843" s="1555"/>
      <c r="W843" s="1555"/>
      <c r="X843" s="1555"/>
      <c r="Y843" s="1555"/>
      <c r="Z843" s="1555"/>
      <c r="AA843" s="1555"/>
      <c r="AB843" s="1555"/>
      <c r="AC843" s="1555"/>
      <c r="AD843" s="1555"/>
      <c r="AE843" s="1555"/>
      <c r="AF843" s="1555"/>
      <c r="AG843" s="1555"/>
      <c r="AH843" s="1555"/>
      <c r="AI843" s="1555"/>
      <c r="AJ843" s="1555"/>
      <c r="AK843" s="1555"/>
    </row>
    <row r="844" spans="1:37" s="1373" customFormat="1">
      <c r="A844" s="1401"/>
      <c r="B844" s="1401"/>
      <c r="C844" s="75" t="s">
        <v>1435</v>
      </c>
      <c r="D844" s="1838"/>
      <c r="E844" s="1838"/>
      <c r="F844" s="1397"/>
      <c r="G844" s="1470"/>
      <c r="H844" s="40">
        <v>463089</v>
      </c>
      <c r="I844" s="40">
        <v>486131</v>
      </c>
      <c r="J844" s="1566"/>
      <c r="K844" s="1612"/>
      <c r="L844" s="1612"/>
      <c r="M844" s="1612"/>
      <c r="N844" s="1612"/>
      <c r="O844" s="1555"/>
      <c r="P844" s="1555"/>
      <c r="Q844" s="1555"/>
      <c r="R844" s="1555"/>
      <c r="S844" s="1555"/>
      <c r="T844" s="1555"/>
      <c r="U844" s="1555"/>
      <c r="V844" s="1555"/>
      <c r="W844" s="1555"/>
      <c r="X844" s="1555"/>
      <c r="Y844" s="1555"/>
      <c r="Z844" s="1555"/>
      <c r="AA844" s="1555"/>
      <c r="AB844" s="1555"/>
      <c r="AC844" s="1555"/>
      <c r="AD844" s="1555"/>
      <c r="AE844" s="1555"/>
      <c r="AF844" s="1555"/>
      <c r="AG844" s="1555"/>
      <c r="AH844" s="1555"/>
      <c r="AI844" s="1555"/>
      <c r="AJ844" s="1555"/>
      <c r="AK844" s="1555"/>
    </row>
    <row r="845" spans="1:37" s="1373" customFormat="1">
      <c r="A845" s="1401"/>
      <c r="B845" s="1401"/>
      <c r="C845" s="75" t="s">
        <v>1477</v>
      </c>
      <c r="D845" s="1838"/>
      <c r="E845" s="1838"/>
      <c r="F845" s="1397"/>
      <c r="G845" s="1470"/>
      <c r="H845" s="40">
        <v>2165420</v>
      </c>
      <c r="I845" s="40">
        <v>0</v>
      </c>
      <c r="J845" s="1566"/>
      <c r="K845" s="1612"/>
      <c r="L845" s="1612"/>
      <c r="M845" s="1612"/>
      <c r="N845" s="1612"/>
      <c r="O845" s="1555"/>
      <c r="P845" s="1555"/>
      <c r="Q845" s="1555"/>
      <c r="R845" s="1555"/>
      <c r="S845" s="1555"/>
      <c r="T845" s="1555"/>
      <c r="U845" s="1555"/>
      <c r="V845" s="1555"/>
      <c r="W845" s="1555"/>
      <c r="X845" s="1555"/>
      <c r="Y845" s="1555"/>
      <c r="Z845" s="1555"/>
      <c r="AA845" s="1555"/>
      <c r="AB845" s="1555"/>
      <c r="AC845" s="1555"/>
      <c r="AD845" s="1555"/>
      <c r="AE845" s="1555"/>
      <c r="AF845" s="1555"/>
      <c r="AG845" s="1555"/>
      <c r="AH845" s="1555"/>
      <c r="AI845" s="1555"/>
      <c r="AJ845" s="1555"/>
      <c r="AK845" s="1555"/>
    </row>
    <row r="846" spans="1:37" s="1373" customFormat="1">
      <c r="A846" s="1401"/>
      <c r="B846" s="1401"/>
      <c r="C846" s="75"/>
      <c r="D846" s="1838"/>
      <c r="E846" s="1838"/>
      <c r="F846" s="1397"/>
      <c r="G846" s="1470"/>
      <c r="H846" s="40"/>
      <c r="I846" s="40"/>
      <c r="J846" s="1566"/>
      <c r="K846" s="1612"/>
      <c r="L846" s="1612"/>
      <c r="M846" s="1612"/>
      <c r="N846" s="1612"/>
      <c r="O846" s="1555"/>
      <c r="P846" s="1555"/>
      <c r="Q846" s="1555"/>
      <c r="R846" s="1555"/>
      <c r="S846" s="1555"/>
      <c r="T846" s="1555"/>
      <c r="U846" s="1555"/>
      <c r="V846" s="1555"/>
      <c r="W846" s="1555"/>
      <c r="X846" s="1555"/>
      <c r="Y846" s="1555"/>
      <c r="Z846" s="1555"/>
      <c r="AA846" s="1555"/>
      <c r="AB846" s="1555"/>
      <c r="AC846" s="1555"/>
      <c r="AD846" s="1555"/>
      <c r="AE846" s="1555"/>
      <c r="AF846" s="1555"/>
      <c r="AG846" s="1555"/>
      <c r="AH846" s="1555"/>
      <c r="AI846" s="1555"/>
      <c r="AJ846" s="1555"/>
      <c r="AK846" s="1555"/>
    </row>
    <row r="847" spans="1:37">
      <c r="A847" s="1401"/>
      <c r="B847" s="1401"/>
      <c r="C847" s="1429" t="s">
        <v>1486</v>
      </c>
      <c r="D847" s="1838"/>
      <c r="E847" s="1838"/>
      <c r="F847" s="1397"/>
      <c r="G847" s="1470"/>
      <c r="H847" s="40"/>
      <c r="I847" s="40"/>
      <c r="J847" s="1566"/>
      <c r="K847" s="1612"/>
      <c r="L847" s="1612"/>
      <c r="M847" s="1612"/>
      <c r="N847" s="1612"/>
    </row>
    <row r="848" spans="1:37">
      <c r="A848" s="1401"/>
      <c r="B848" s="1401"/>
      <c r="C848" s="75" t="s">
        <v>1435</v>
      </c>
      <c r="D848" s="1838"/>
      <c r="E848" s="1838"/>
      <c r="F848" s="1397"/>
      <c r="G848" s="1470"/>
      <c r="H848" s="40">
        <v>1100000</v>
      </c>
      <c r="I848" s="40">
        <v>600000</v>
      </c>
      <c r="J848" s="1566"/>
      <c r="K848" s="1612"/>
      <c r="L848" s="1612"/>
      <c r="M848" s="1612"/>
      <c r="N848" s="1612"/>
    </row>
    <row r="849" spans="1:61">
      <c r="A849" s="1401"/>
      <c r="B849" s="1401"/>
      <c r="C849" s="75" t="s">
        <v>1484</v>
      </c>
      <c r="D849" s="1838"/>
      <c r="E849" s="1838"/>
      <c r="F849" s="1397"/>
      <c r="G849" s="1470"/>
      <c r="H849" s="40">
        <v>1000000</v>
      </c>
      <c r="I849" s="40">
        <v>0</v>
      </c>
      <c r="J849" s="1566"/>
      <c r="K849" s="1612"/>
      <c r="L849" s="1612"/>
      <c r="M849" s="1612"/>
      <c r="N849" s="1612"/>
    </row>
    <row r="850" spans="1:61" hidden="1">
      <c r="A850" s="1424"/>
      <c r="B850" s="1424"/>
      <c r="C850" s="52"/>
      <c r="D850" s="1846"/>
      <c r="E850" s="1846"/>
      <c r="F850" s="1404"/>
      <c r="G850" s="1472"/>
      <c r="H850" s="55"/>
      <c r="I850" s="85"/>
      <c r="J850" s="1566"/>
      <c r="K850" s="1612"/>
      <c r="L850" s="1612"/>
      <c r="M850" s="1612"/>
      <c r="N850" s="1612"/>
    </row>
    <row r="851" spans="1:61" hidden="1">
      <c r="C851" s="2166" t="s">
        <v>1065</v>
      </c>
      <c r="D851" s="2167"/>
      <c r="E851" s="2167"/>
      <c r="F851" s="2167"/>
      <c r="G851" s="2167"/>
      <c r="H851" s="2167"/>
      <c r="I851" s="2168"/>
      <c r="J851" s="1623"/>
      <c r="K851" s="1624"/>
      <c r="L851" s="1624"/>
      <c r="M851" s="1624"/>
      <c r="N851" s="1612"/>
    </row>
    <row r="852" spans="1:61" s="1375" customFormat="1" hidden="1">
      <c r="A852" s="1371"/>
      <c r="B852" s="1371"/>
      <c r="C852" s="2169" t="s">
        <v>1546</v>
      </c>
      <c r="D852" s="2170"/>
      <c r="E852" s="2170"/>
      <c r="F852" s="2170"/>
      <c r="G852" s="2170"/>
      <c r="H852" s="2170"/>
      <c r="I852" s="2171"/>
      <c r="J852" s="1623"/>
      <c r="K852" s="1624"/>
      <c r="L852" s="1624"/>
      <c r="M852" s="1624"/>
      <c r="N852" s="1635"/>
      <c r="O852" s="1608"/>
      <c r="P852" s="1608"/>
      <c r="Q852" s="1608"/>
      <c r="R852" s="1608"/>
      <c r="S852" s="1608"/>
      <c r="T852" s="1608"/>
      <c r="U852" s="1608"/>
      <c r="V852" s="1608"/>
      <c r="W852" s="1608"/>
      <c r="X852" s="1608"/>
      <c r="Y852" s="1608"/>
      <c r="Z852" s="1608"/>
      <c r="AA852" s="1608"/>
      <c r="AB852" s="1608"/>
      <c r="AC852" s="1608"/>
      <c r="AD852" s="1608"/>
      <c r="AE852" s="1608"/>
      <c r="AF852" s="1608"/>
      <c r="AG852" s="1608"/>
      <c r="AH852" s="1608"/>
      <c r="AI852" s="1608"/>
      <c r="AJ852" s="1608"/>
      <c r="AK852" s="1608"/>
      <c r="AL852" s="1425"/>
      <c r="AM852" s="1425"/>
      <c r="AN852" s="1425"/>
      <c r="AO852" s="1425"/>
      <c r="AP852" s="1425"/>
      <c r="AQ852" s="1425"/>
      <c r="AR852" s="1425"/>
      <c r="AS852" s="1425"/>
      <c r="AT852" s="1425"/>
      <c r="AU852" s="1425"/>
      <c r="AV852" s="1425"/>
      <c r="AW852" s="1425"/>
      <c r="AX852" s="1425"/>
      <c r="AY852" s="1425"/>
      <c r="AZ852" s="1425"/>
      <c r="BA852" s="1425"/>
      <c r="BB852" s="1425"/>
      <c r="BC852" s="1425"/>
      <c r="BD852" s="1425"/>
      <c r="BE852" s="1425"/>
      <c r="BF852" s="1425"/>
      <c r="BG852" s="1425"/>
      <c r="BH852" s="1425"/>
      <c r="BI852" s="1425"/>
    </row>
    <row r="853" spans="1:61" hidden="1">
      <c r="C853" s="1426" t="s">
        <v>402</v>
      </c>
      <c r="D853" s="1869"/>
      <c r="E853" s="1869"/>
      <c r="F853" s="1942"/>
      <c r="G853" s="1942"/>
      <c r="H853" s="15" t="str">
        <f>+H832</f>
        <v xml:space="preserve">As At </v>
      </c>
      <c r="I853" s="15" t="str">
        <f>+I832</f>
        <v xml:space="preserve"> As At</v>
      </c>
      <c r="J853" s="1558"/>
      <c r="K853" s="1559"/>
      <c r="L853" s="1559"/>
      <c r="M853" s="1559"/>
      <c r="N853" s="1624"/>
    </row>
    <row r="854" spans="1:61" hidden="1">
      <c r="C854" s="52"/>
      <c r="D854" s="1844"/>
      <c r="E854" s="1844"/>
      <c r="F854" s="1404"/>
      <c r="G854" s="1404"/>
      <c r="H854" s="16" t="s">
        <v>1545</v>
      </c>
      <c r="I854" s="191" t="s">
        <v>1069</v>
      </c>
      <c r="J854" s="1561"/>
      <c r="K854" s="1562"/>
      <c r="L854" s="1562"/>
      <c r="M854" s="1562"/>
      <c r="N854" s="1587"/>
    </row>
    <row r="855" spans="1:61">
      <c r="C855" s="75"/>
      <c r="D855" s="1838"/>
      <c r="E855" s="1838"/>
      <c r="F855" s="1397"/>
      <c r="G855" s="1397"/>
      <c r="H855" s="21"/>
      <c r="I855" s="25"/>
      <c r="J855" s="1561"/>
      <c r="K855" s="1562"/>
      <c r="L855" s="1562"/>
      <c r="M855" s="1562"/>
      <c r="N855" s="1587"/>
    </row>
    <row r="856" spans="1:61">
      <c r="C856" s="1514" t="s">
        <v>1487</v>
      </c>
      <c r="D856" s="1841" t="s">
        <v>1488</v>
      </c>
      <c r="E856" s="1841"/>
      <c r="F856" s="1841"/>
      <c r="G856" s="1841"/>
      <c r="H856" s="198"/>
      <c r="I856" s="181"/>
      <c r="J856" s="1566"/>
      <c r="K856" s="1612"/>
      <c r="L856" s="1612"/>
      <c r="M856" s="1612"/>
      <c r="N856" s="1562"/>
    </row>
    <row r="857" spans="1:61">
      <c r="C857" s="75"/>
      <c r="D857" s="2066" t="s">
        <v>2528</v>
      </c>
      <c r="E857" s="2066"/>
      <c r="F857" s="2066" t="s">
        <v>1215</v>
      </c>
      <c r="G857" s="2066"/>
      <c r="H857" s="24"/>
      <c r="I857" s="181"/>
      <c r="J857" s="1566"/>
      <c r="K857" s="1612"/>
      <c r="L857" s="1612"/>
      <c r="M857" s="1612"/>
      <c r="N857" s="1612"/>
    </row>
    <row r="858" spans="1:61">
      <c r="C858" s="74" t="s">
        <v>1489</v>
      </c>
      <c r="D858" s="1875"/>
      <c r="E858" s="1875"/>
      <c r="F858" s="1875"/>
      <c r="G858" s="1875"/>
      <c r="H858" s="22"/>
      <c r="I858" s="181"/>
      <c r="J858" s="1566"/>
      <c r="K858" s="1612"/>
      <c r="L858" s="1612"/>
      <c r="M858" s="1612"/>
      <c r="N858" s="1612"/>
    </row>
    <row r="859" spans="1:61">
      <c r="C859" s="75" t="s">
        <v>1484</v>
      </c>
      <c r="D859" s="1850">
        <v>3499185</v>
      </c>
      <c r="E859" s="1850"/>
      <c r="F859" s="1850">
        <v>2353055</v>
      </c>
      <c r="G859" s="1839"/>
      <c r="H859" s="82">
        <v>2535850</v>
      </c>
      <c r="I859" s="142">
        <v>2353055</v>
      </c>
      <c r="J859" s="1566"/>
      <c r="K859" s="1554"/>
      <c r="L859" s="1554"/>
      <c r="M859" s="1554"/>
      <c r="N859" s="1612"/>
    </row>
    <row r="860" spans="1:61">
      <c r="C860" s="75" t="s">
        <v>1444</v>
      </c>
      <c r="D860" s="1850">
        <v>1895328</v>
      </c>
      <c r="E860" s="1850"/>
      <c r="F860" s="1850">
        <v>1764791</v>
      </c>
      <c r="G860" s="1839"/>
      <c r="H860" s="82">
        <v>1895328</v>
      </c>
      <c r="I860" s="142">
        <v>1764791</v>
      </c>
      <c r="J860" s="1566"/>
      <c r="K860" s="1554"/>
      <c r="L860" s="1554"/>
      <c r="M860" s="1554"/>
      <c r="N860" s="1554"/>
    </row>
    <row r="861" spans="1:61">
      <c r="C861" s="75" t="s">
        <v>1490</v>
      </c>
      <c r="D861" s="1850">
        <v>1263552</v>
      </c>
      <c r="E861" s="1850"/>
      <c r="F861" s="1850">
        <v>1176528</v>
      </c>
      <c r="G861" s="1839"/>
      <c r="H861" s="82">
        <v>1263552</v>
      </c>
      <c r="I861" s="142">
        <v>1176528</v>
      </c>
      <c r="J861" s="1566"/>
      <c r="K861" s="1554"/>
      <c r="L861" s="1554"/>
      <c r="M861" s="1554"/>
      <c r="N861" s="1554"/>
    </row>
    <row r="862" spans="1:61">
      <c r="C862" s="75" t="s">
        <v>1445</v>
      </c>
      <c r="D862" s="1850">
        <v>1010842</v>
      </c>
      <c r="E862" s="1850"/>
      <c r="F862" s="1850">
        <v>941222</v>
      </c>
      <c r="G862" s="1839"/>
      <c r="H862" s="82">
        <v>1010842</v>
      </c>
      <c r="I862" s="142">
        <v>941222</v>
      </c>
      <c r="J862" s="1566"/>
      <c r="K862" s="1554"/>
      <c r="L862" s="1554"/>
      <c r="M862" s="1554"/>
      <c r="N862" s="1554"/>
    </row>
    <row r="863" spans="1:61">
      <c r="C863" s="75" t="s">
        <v>1472</v>
      </c>
      <c r="D863" s="1850">
        <v>3790656</v>
      </c>
      <c r="E863" s="1850"/>
      <c r="F863" s="1850">
        <v>3529583</v>
      </c>
      <c r="G863" s="1839"/>
      <c r="H863" s="82">
        <v>3790656</v>
      </c>
      <c r="I863" s="142">
        <v>3529583</v>
      </c>
      <c r="J863" s="1566"/>
      <c r="K863" s="1554"/>
      <c r="L863" s="1554"/>
      <c r="M863" s="1554"/>
      <c r="N863" s="1554"/>
    </row>
    <row r="864" spans="1:61">
      <c r="C864" s="75" t="s">
        <v>1435</v>
      </c>
      <c r="D864" s="1850">
        <v>6499080</v>
      </c>
      <c r="E864" s="1850"/>
      <c r="F864" s="1850">
        <v>6893877</v>
      </c>
      <c r="G864" s="1839"/>
      <c r="H864" s="82">
        <v>5747563</v>
      </c>
      <c r="I864" s="142">
        <v>6384474</v>
      </c>
      <c r="J864" s="1566"/>
      <c r="K864" s="1554"/>
      <c r="L864" s="1554"/>
      <c r="M864" s="1554"/>
      <c r="N864" s="1554"/>
    </row>
    <row r="865" spans="1:37" s="1373" customFormat="1">
      <c r="A865" s="1371"/>
      <c r="B865" s="1371"/>
      <c r="C865" s="75" t="s">
        <v>1453</v>
      </c>
      <c r="D865" s="1850">
        <v>1320768</v>
      </c>
      <c r="E865" s="1850"/>
      <c r="F865" s="1850">
        <v>1176528</v>
      </c>
      <c r="G865" s="1839"/>
      <c r="H865" s="82">
        <v>1320768</v>
      </c>
      <c r="I865" s="142">
        <v>1176528</v>
      </c>
      <c r="J865" s="1566"/>
      <c r="K865" s="1554"/>
      <c r="L865" s="1554"/>
      <c r="M865" s="1554"/>
      <c r="N865" s="1554"/>
      <c r="O865" s="1555"/>
      <c r="P865" s="1555"/>
      <c r="Q865" s="1555"/>
      <c r="R865" s="1555"/>
      <c r="S865" s="1555"/>
      <c r="T865" s="1555"/>
      <c r="U865" s="1555"/>
      <c r="V865" s="1555"/>
      <c r="W865" s="1555"/>
      <c r="X865" s="1555"/>
      <c r="Y865" s="1555"/>
      <c r="Z865" s="1555"/>
      <c r="AA865" s="1555"/>
      <c r="AB865" s="1555"/>
      <c r="AC865" s="1555"/>
      <c r="AD865" s="1555"/>
      <c r="AE865" s="1555"/>
      <c r="AF865" s="1555"/>
      <c r="AG865" s="1555"/>
      <c r="AH865" s="1555"/>
      <c r="AI865" s="1555"/>
      <c r="AJ865" s="1555"/>
      <c r="AK865" s="1555"/>
    </row>
    <row r="866" spans="1:37" s="1373" customFormat="1">
      <c r="A866" s="1371"/>
      <c r="B866" s="1371"/>
      <c r="C866" s="75" t="s">
        <v>1473</v>
      </c>
      <c r="D866" s="1850">
        <v>1218462</v>
      </c>
      <c r="E866" s="1850"/>
      <c r="F866" s="1850">
        <v>941222</v>
      </c>
      <c r="G866" s="1839"/>
      <c r="H866" s="82">
        <v>1218462</v>
      </c>
      <c r="I866" s="142">
        <v>941222</v>
      </c>
      <c r="J866" s="1566"/>
      <c r="K866" s="1554"/>
      <c r="L866" s="1554"/>
      <c r="M866" s="1554"/>
      <c r="N866" s="1554"/>
      <c r="O866" s="1555"/>
      <c r="P866" s="1555"/>
      <c r="Q866" s="1555"/>
      <c r="R866" s="1555"/>
      <c r="S866" s="1555"/>
      <c r="T866" s="1555"/>
      <c r="U866" s="1555"/>
      <c r="V866" s="1555"/>
      <c r="W866" s="1555"/>
      <c r="X866" s="1555"/>
      <c r="Y866" s="1555"/>
      <c r="Z866" s="1555"/>
      <c r="AA866" s="1555"/>
      <c r="AB866" s="1555"/>
      <c r="AC866" s="1555"/>
      <c r="AD866" s="1555"/>
      <c r="AE866" s="1555"/>
      <c r="AF866" s="1555"/>
      <c r="AG866" s="1555"/>
      <c r="AH866" s="1555"/>
      <c r="AI866" s="1555"/>
      <c r="AJ866" s="1555"/>
      <c r="AK866" s="1555"/>
    </row>
    <row r="867" spans="1:37" s="1373" customFormat="1">
      <c r="A867" s="1371"/>
      <c r="B867" s="1371"/>
      <c r="C867" s="75" t="s">
        <v>1451</v>
      </c>
      <c r="D867" s="1850">
        <v>3072538</v>
      </c>
      <c r="E867" s="1850"/>
      <c r="F867" s="1850">
        <v>1882446</v>
      </c>
      <c r="G867" s="1839"/>
      <c r="H867" s="82">
        <v>3072538</v>
      </c>
      <c r="I867" s="142">
        <v>1882446</v>
      </c>
      <c r="J867" s="1566"/>
      <c r="K867" s="1554"/>
      <c r="L867" s="1554"/>
      <c r="M867" s="1554"/>
      <c r="N867" s="1554"/>
      <c r="O867" s="1555"/>
      <c r="P867" s="1555"/>
      <c r="Q867" s="1555"/>
      <c r="R867" s="1555"/>
      <c r="S867" s="1555"/>
      <c r="T867" s="1555"/>
      <c r="U867" s="1555"/>
      <c r="V867" s="1555"/>
      <c r="W867" s="1555"/>
      <c r="X867" s="1555"/>
      <c r="Y867" s="1555"/>
      <c r="Z867" s="1555"/>
      <c r="AA867" s="1555"/>
      <c r="AB867" s="1555"/>
      <c r="AC867" s="1555"/>
      <c r="AD867" s="1555"/>
      <c r="AE867" s="1555"/>
      <c r="AF867" s="1555"/>
      <c r="AG867" s="1555"/>
      <c r="AH867" s="1555"/>
      <c r="AI867" s="1555"/>
      <c r="AJ867" s="1555"/>
      <c r="AK867" s="1555"/>
    </row>
    <row r="868" spans="1:37" s="1373" customFormat="1">
      <c r="A868" s="1371"/>
      <c r="B868" s="1371"/>
      <c r="C868" s="75" t="s">
        <v>1477</v>
      </c>
      <c r="D868" s="1850">
        <v>2165420</v>
      </c>
      <c r="E868" s="1850"/>
      <c r="F868" s="1850">
        <v>0</v>
      </c>
      <c r="G868" s="1839"/>
      <c r="H868" s="82">
        <v>2165420</v>
      </c>
      <c r="I868" s="142">
        <v>0</v>
      </c>
      <c r="J868" s="1566"/>
      <c r="K868" s="1554"/>
      <c r="L868" s="1554"/>
      <c r="M868" s="1554"/>
      <c r="N868" s="1554"/>
      <c r="O868" s="1555"/>
      <c r="P868" s="1555"/>
      <c r="Q868" s="1555"/>
      <c r="R868" s="1555"/>
      <c r="S868" s="1555"/>
      <c r="T868" s="1555"/>
      <c r="U868" s="1555"/>
      <c r="V868" s="1555"/>
      <c r="W868" s="1555"/>
      <c r="X868" s="1555"/>
      <c r="Y868" s="1555"/>
      <c r="Z868" s="1555"/>
      <c r="AA868" s="1555"/>
      <c r="AB868" s="1555"/>
      <c r="AC868" s="1555"/>
      <c r="AD868" s="1555"/>
      <c r="AE868" s="1555"/>
      <c r="AF868" s="1555"/>
      <c r="AG868" s="1555"/>
      <c r="AH868" s="1555"/>
      <c r="AI868" s="1555"/>
      <c r="AJ868" s="1555"/>
      <c r="AK868" s="1555"/>
    </row>
    <row r="869" spans="1:37" s="1373" customFormat="1">
      <c r="A869" s="1371"/>
      <c r="B869" s="1371"/>
      <c r="C869" s="75"/>
      <c r="D869" s="1839"/>
      <c r="E869" s="1839"/>
      <c r="F869" s="200"/>
      <c r="G869" s="200"/>
      <c r="H869" s="201"/>
      <c r="I869" s="142"/>
      <c r="J869" s="1566"/>
      <c r="K869" s="1554"/>
      <c r="L869" s="1554"/>
      <c r="M869" s="1554"/>
      <c r="N869" s="1554"/>
      <c r="O869" s="1555"/>
      <c r="P869" s="1555"/>
      <c r="Q869" s="1555"/>
      <c r="R869" s="1555"/>
      <c r="S869" s="1555"/>
      <c r="T869" s="1555"/>
      <c r="U869" s="1555"/>
      <c r="V869" s="1555"/>
      <c r="W869" s="1555"/>
      <c r="X869" s="1555"/>
      <c r="Y869" s="1555"/>
      <c r="Z869" s="1555"/>
      <c r="AA869" s="1555"/>
      <c r="AB869" s="1555"/>
      <c r="AC869" s="1555"/>
      <c r="AD869" s="1555"/>
      <c r="AE869" s="1555"/>
      <c r="AF869" s="1555"/>
      <c r="AG869" s="1555"/>
      <c r="AH869" s="1555"/>
      <c r="AI869" s="1555"/>
      <c r="AJ869" s="1555"/>
      <c r="AK869" s="1555"/>
    </row>
    <row r="870" spans="1:37" s="1373" customFormat="1">
      <c r="A870" s="1371"/>
      <c r="B870" s="1371"/>
      <c r="C870" s="74" t="s">
        <v>1491</v>
      </c>
      <c r="D870" s="1839"/>
      <c r="E870" s="1839"/>
      <c r="F870" s="200"/>
      <c r="G870" s="200"/>
      <c r="H870" s="201"/>
      <c r="I870" s="142"/>
      <c r="J870" s="1566"/>
      <c r="K870" s="1554"/>
      <c r="L870" s="1554"/>
      <c r="M870" s="1554"/>
      <c r="N870" s="1554"/>
      <c r="O870" s="1555"/>
      <c r="P870" s="1555"/>
      <c r="Q870" s="1555"/>
      <c r="R870" s="1555"/>
      <c r="S870" s="1555"/>
      <c r="T870" s="1555"/>
      <c r="U870" s="1555"/>
      <c r="V870" s="1555"/>
      <c r="W870" s="1555"/>
      <c r="X870" s="1555"/>
      <c r="Y870" s="1555"/>
      <c r="Z870" s="1555"/>
      <c r="AA870" s="1555"/>
      <c r="AB870" s="1555"/>
      <c r="AC870" s="1555"/>
      <c r="AD870" s="1555"/>
      <c r="AE870" s="1555"/>
      <c r="AF870" s="1555"/>
      <c r="AG870" s="1555"/>
      <c r="AH870" s="1555"/>
      <c r="AI870" s="1555"/>
      <c r="AJ870" s="1555"/>
      <c r="AK870" s="1555"/>
    </row>
    <row r="871" spans="1:37" s="1373" customFormat="1">
      <c r="A871" s="1371"/>
      <c r="B871" s="1371"/>
      <c r="C871" s="195" t="s">
        <v>1492</v>
      </c>
      <c r="D871" s="1839"/>
      <c r="E871" s="1839"/>
      <c r="F871" s="200"/>
      <c r="G871" s="200"/>
      <c r="H871" s="201">
        <v>0</v>
      </c>
      <c r="I871" s="142">
        <v>0</v>
      </c>
      <c r="J871" s="1566"/>
      <c r="K871" s="1554"/>
      <c r="L871" s="1554"/>
      <c r="M871" s="1554"/>
      <c r="N871" s="1554"/>
      <c r="O871" s="1555"/>
      <c r="P871" s="1555"/>
      <c r="Q871" s="1555"/>
      <c r="R871" s="1555"/>
      <c r="S871" s="1555"/>
      <c r="T871" s="1555"/>
      <c r="U871" s="1555"/>
      <c r="V871" s="1555"/>
      <c r="W871" s="1555"/>
      <c r="X871" s="1555"/>
      <c r="Y871" s="1555"/>
      <c r="Z871" s="1555"/>
      <c r="AA871" s="1555"/>
      <c r="AB871" s="1555"/>
      <c r="AC871" s="1555"/>
      <c r="AD871" s="1555"/>
      <c r="AE871" s="1555"/>
      <c r="AF871" s="1555"/>
      <c r="AG871" s="1555"/>
      <c r="AH871" s="1555"/>
      <c r="AI871" s="1555"/>
      <c r="AJ871" s="1555"/>
      <c r="AK871" s="1555"/>
    </row>
    <row r="872" spans="1:37" s="1373" customFormat="1">
      <c r="A872" s="1371"/>
      <c r="B872" s="1371"/>
      <c r="C872" s="195" t="s">
        <v>1440</v>
      </c>
      <c r="D872" s="1857"/>
      <c r="E872" s="1857"/>
      <c r="F872" s="1845"/>
      <c r="G872" s="1845"/>
      <c r="H872" s="81">
        <v>0</v>
      </c>
      <c r="I872" s="181">
        <v>638291</v>
      </c>
      <c r="J872" s="1566"/>
      <c r="K872" s="1612"/>
      <c r="L872" s="1612"/>
      <c r="M872" s="1612"/>
      <c r="N872" s="1554"/>
      <c r="O872" s="1555"/>
      <c r="P872" s="1555"/>
      <c r="Q872" s="1555"/>
      <c r="R872" s="1555"/>
      <c r="S872" s="1555"/>
      <c r="T872" s="1555"/>
      <c r="U872" s="1555"/>
      <c r="V872" s="1555"/>
      <c r="W872" s="1555"/>
      <c r="X872" s="1555"/>
      <c r="Y872" s="1555"/>
      <c r="Z872" s="1555"/>
      <c r="AA872" s="1555"/>
      <c r="AB872" s="1555"/>
      <c r="AC872" s="1555"/>
      <c r="AD872" s="1555"/>
      <c r="AE872" s="1555"/>
      <c r="AF872" s="1555"/>
      <c r="AG872" s="1555"/>
      <c r="AH872" s="1555"/>
      <c r="AI872" s="1555"/>
      <c r="AJ872" s="1555"/>
      <c r="AK872" s="1555"/>
    </row>
    <row r="873" spans="1:37" s="1373" customFormat="1">
      <c r="A873" s="1371"/>
      <c r="B873" s="1371"/>
      <c r="C873" s="195" t="s">
        <v>1493</v>
      </c>
      <c r="D873" s="1857"/>
      <c r="E873" s="1857"/>
      <c r="F873" s="1845"/>
      <c r="G873" s="1845"/>
      <c r="H873" s="81">
        <f>+GETPIVOTDATA("Sum of Cr. Final 21-22",Pivot!$A$3,"PARTICULARS","Saini Transport Co.","Note",17,"BS Main Head","Trade Payables","BS Sub Head","Trade Payables")</f>
        <v>122753</v>
      </c>
      <c r="I873" s="181">
        <v>331346</v>
      </c>
      <c r="J873" s="1566"/>
      <c r="K873" s="1612"/>
      <c r="L873" s="1612"/>
      <c r="M873" s="1612"/>
      <c r="N873" s="1612"/>
      <c r="O873" s="1555"/>
      <c r="P873" s="1555"/>
      <c r="Q873" s="1555"/>
      <c r="R873" s="1555"/>
      <c r="S873" s="1555"/>
      <c r="T873" s="1555"/>
      <c r="U873" s="1555"/>
      <c r="V873" s="1555"/>
      <c r="W873" s="1555"/>
      <c r="X873" s="1555"/>
      <c r="Y873" s="1555"/>
      <c r="Z873" s="1555"/>
      <c r="AA873" s="1555"/>
      <c r="AB873" s="1555"/>
      <c r="AC873" s="1555"/>
      <c r="AD873" s="1555"/>
      <c r="AE873" s="1555"/>
      <c r="AF873" s="1555"/>
      <c r="AG873" s="1555"/>
      <c r="AH873" s="1555"/>
      <c r="AI873" s="1555"/>
      <c r="AJ873" s="1555"/>
      <c r="AK873" s="1555"/>
    </row>
    <row r="874" spans="1:37" s="1373" customFormat="1">
      <c r="A874" s="1371"/>
      <c r="B874" s="1371"/>
      <c r="C874" s="194" t="s">
        <v>423</v>
      </c>
      <c r="D874" s="1857"/>
      <c r="E874" s="1857"/>
      <c r="F874" s="1845"/>
      <c r="G874" s="1845"/>
      <c r="H874" s="81"/>
      <c r="I874" s="181"/>
      <c r="J874" s="1566"/>
      <c r="K874" s="1612"/>
      <c r="L874" s="1612"/>
      <c r="M874" s="1612"/>
      <c r="N874" s="1612"/>
      <c r="O874" s="1555"/>
      <c r="P874" s="1555"/>
      <c r="Q874" s="1555"/>
      <c r="R874" s="1555"/>
      <c r="S874" s="1555"/>
      <c r="T874" s="1555"/>
      <c r="U874" s="1555"/>
      <c r="V874" s="1555"/>
      <c r="W874" s="1555"/>
      <c r="X874" s="1555"/>
      <c r="Y874" s="1555"/>
      <c r="Z874" s="1555"/>
      <c r="AA874" s="1555"/>
      <c r="AB874" s="1555"/>
      <c r="AC874" s="1555"/>
      <c r="AD874" s="1555"/>
      <c r="AE874" s="1555"/>
      <c r="AF874" s="1555"/>
      <c r="AG874" s="1555"/>
      <c r="AH874" s="1555"/>
      <c r="AI874" s="1555"/>
      <c r="AJ874" s="1555"/>
      <c r="AK874" s="1555"/>
    </row>
    <row r="875" spans="1:37" s="1373" customFormat="1">
      <c r="A875" s="1371"/>
      <c r="B875" s="1371"/>
      <c r="C875" s="195" t="s">
        <v>1440</v>
      </c>
      <c r="D875" s="1839"/>
      <c r="E875" s="1839"/>
      <c r="F875" s="200"/>
      <c r="G875" s="200"/>
      <c r="H875" s="201">
        <f>+GETPIVOTDATA("Sum of Dr. Final 21-22",Pivot!$A$3,"PARTICULARS","CHANDRA SALES CORPORATION(SALE)","Note",6,"BS Main Head","Financial Assets","BS Sub Head","Trade Receivables")</f>
        <v>9482492</v>
      </c>
      <c r="I875" s="142">
        <v>396306</v>
      </c>
      <c r="J875" s="1566"/>
      <c r="K875" s="1554"/>
      <c r="L875" s="1554"/>
      <c r="M875" s="1554"/>
      <c r="N875" s="1612"/>
      <c r="O875" s="1555"/>
      <c r="P875" s="1555"/>
      <c r="Q875" s="1555"/>
      <c r="R875" s="1555"/>
      <c r="S875" s="1555"/>
      <c r="T875" s="1555"/>
      <c r="U875" s="1555"/>
      <c r="V875" s="1555"/>
      <c r="W875" s="1555"/>
      <c r="X875" s="1555"/>
      <c r="Y875" s="1555"/>
      <c r="Z875" s="1555"/>
      <c r="AA875" s="1555"/>
      <c r="AB875" s="1555"/>
      <c r="AC875" s="1555"/>
      <c r="AD875" s="1555"/>
      <c r="AE875" s="1555"/>
      <c r="AF875" s="1555"/>
      <c r="AG875" s="1555"/>
      <c r="AH875" s="1555"/>
      <c r="AI875" s="1555"/>
      <c r="AJ875" s="1555"/>
      <c r="AK875" s="1555"/>
    </row>
    <row r="876" spans="1:37" s="1373" customFormat="1">
      <c r="A876" s="1371"/>
      <c r="B876" s="1371"/>
      <c r="C876" s="195" t="s">
        <v>1492</v>
      </c>
      <c r="D876" s="1839"/>
      <c r="E876" s="1839"/>
      <c r="F876" s="200"/>
      <c r="G876" s="200"/>
      <c r="H876" s="201">
        <v>0</v>
      </c>
      <c r="I876" s="142">
        <v>2655823</v>
      </c>
      <c r="J876" s="1566"/>
      <c r="K876" s="1554"/>
      <c r="L876" s="1554"/>
      <c r="M876" s="1554"/>
      <c r="N876" s="1554"/>
      <c r="O876" s="1555"/>
      <c r="P876" s="1555"/>
      <c r="Q876" s="1555"/>
      <c r="R876" s="1555"/>
      <c r="S876" s="1555"/>
      <c r="T876" s="1555"/>
      <c r="U876" s="1555"/>
      <c r="V876" s="1555"/>
      <c r="W876" s="1555"/>
      <c r="X876" s="1555"/>
      <c r="Y876" s="1555"/>
      <c r="Z876" s="1555"/>
      <c r="AA876" s="1555"/>
      <c r="AB876" s="1555"/>
      <c r="AC876" s="1555"/>
      <c r="AD876" s="1555"/>
      <c r="AE876" s="1555"/>
      <c r="AF876" s="1555"/>
      <c r="AG876" s="1555"/>
      <c r="AH876" s="1555"/>
      <c r="AI876" s="1555"/>
      <c r="AJ876" s="1555"/>
      <c r="AK876" s="1555"/>
    </row>
    <row r="877" spans="1:37" s="1373" customFormat="1">
      <c r="A877" s="1371"/>
      <c r="B877" s="1371"/>
      <c r="C877" s="52"/>
      <c r="D877" s="1858"/>
      <c r="E877" s="1858"/>
      <c r="F877" s="1404"/>
      <c r="G877" s="1404"/>
      <c r="H877" s="111"/>
      <c r="I877" s="178"/>
      <c r="J877" s="1566"/>
      <c r="K877" s="1612"/>
      <c r="L877" s="1612"/>
      <c r="M877" s="1612"/>
      <c r="N877" s="1554"/>
      <c r="O877" s="1555"/>
      <c r="P877" s="1555"/>
      <c r="Q877" s="1555"/>
      <c r="R877" s="1555"/>
      <c r="S877" s="1555"/>
      <c r="T877" s="1555"/>
      <c r="U877" s="1555"/>
      <c r="V877" s="1555"/>
      <c r="W877" s="1555"/>
      <c r="X877" s="1555"/>
      <c r="Y877" s="1555"/>
      <c r="Z877" s="1555"/>
      <c r="AA877" s="1555"/>
      <c r="AB877" s="1555"/>
      <c r="AC877" s="1555"/>
      <c r="AD877" s="1555"/>
      <c r="AE877" s="1555"/>
      <c r="AF877" s="1555"/>
      <c r="AG877" s="1555"/>
      <c r="AH877" s="1555"/>
      <c r="AI877" s="1555"/>
      <c r="AJ877" s="1555"/>
      <c r="AK877" s="1555"/>
    </row>
    <row r="878" spans="1:37" s="1373" customFormat="1">
      <c r="A878" s="1371"/>
      <c r="B878" s="1371"/>
      <c r="C878" s="202"/>
      <c r="D878" s="1868"/>
      <c r="E878" s="1868"/>
      <c r="F878" s="1870"/>
      <c r="G878" s="1870"/>
      <c r="H878" s="86"/>
      <c r="I878" s="203"/>
      <c r="J878" s="1561"/>
      <c r="K878" s="1613"/>
      <c r="L878" s="1613"/>
      <c r="M878" s="1613"/>
      <c r="N878" s="1612"/>
      <c r="O878" s="1555"/>
      <c r="P878" s="1555"/>
      <c r="Q878" s="1555"/>
      <c r="R878" s="1555"/>
      <c r="S878" s="1555"/>
      <c r="T878" s="1555"/>
      <c r="U878" s="1555"/>
      <c r="V878" s="1555"/>
      <c r="W878" s="1555"/>
      <c r="X878" s="1555"/>
      <c r="Y878" s="1555"/>
      <c r="Z878" s="1555"/>
      <c r="AA878" s="1555"/>
      <c r="AB878" s="1555"/>
      <c r="AC878" s="1555"/>
      <c r="AD878" s="1555"/>
      <c r="AE878" s="1555"/>
      <c r="AF878" s="1555"/>
      <c r="AG878" s="1555"/>
      <c r="AH878" s="1555"/>
      <c r="AI878" s="1555"/>
      <c r="AJ878" s="1555"/>
      <c r="AK878" s="1555"/>
    </row>
    <row r="879" spans="1:37" s="1373" customFormat="1">
      <c r="A879" s="1371"/>
      <c r="B879" s="1371"/>
      <c r="C879" s="1847" t="s">
        <v>1494</v>
      </c>
      <c r="D879" s="1848"/>
      <c r="E879" s="1848"/>
      <c r="F879" s="1423"/>
      <c r="G879" s="1423"/>
      <c r="H879" s="115"/>
      <c r="I879" s="94"/>
      <c r="J879" s="1558"/>
      <c r="K879" s="1559"/>
      <c r="L879" s="1559"/>
      <c r="M879" s="1559"/>
      <c r="N879" s="1613"/>
      <c r="O879" s="1555"/>
      <c r="P879" s="1555"/>
      <c r="Q879" s="1555"/>
      <c r="R879" s="1555"/>
      <c r="S879" s="1555"/>
      <c r="T879" s="1555"/>
      <c r="U879" s="1555"/>
      <c r="V879" s="1555"/>
      <c r="W879" s="1555"/>
      <c r="X879" s="1555"/>
      <c r="Y879" s="1555"/>
      <c r="Z879" s="1555"/>
      <c r="AA879" s="1555"/>
      <c r="AB879" s="1555"/>
      <c r="AC879" s="1555"/>
      <c r="AD879" s="1555"/>
      <c r="AE879" s="1555"/>
      <c r="AF879" s="1555"/>
      <c r="AG879" s="1555"/>
      <c r="AH879" s="1555"/>
      <c r="AI879" s="1555"/>
      <c r="AJ879" s="1555"/>
      <c r="AK879" s="1555"/>
    </row>
    <row r="880" spans="1:37" s="1373" customFormat="1">
      <c r="A880" s="1371"/>
      <c r="B880" s="1371"/>
      <c r="C880" s="75"/>
      <c r="D880" s="1838"/>
      <c r="E880" s="1838"/>
      <c r="F880" s="1423"/>
      <c r="G880" s="1423"/>
      <c r="H880" s="115"/>
      <c r="I880" s="21"/>
      <c r="J880" s="1561"/>
      <c r="K880" s="1562"/>
      <c r="L880" s="1562"/>
      <c r="M880" s="1562"/>
      <c r="N880" s="1559"/>
      <c r="O880" s="1555"/>
      <c r="P880" s="1555"/>
      <c r="Q880" s="1555"/>
      <c r="R880" s="1555"/>
      <c r="S880" s="1555"/>
      <c r="T880" s="1555"/>
      <c r="U880" s="1555"/>
      <c r="V880" s="1555"/>
      <c r="W880" s="1555"/>
      <c r="X880" s="1555"/>
      <c r="Y880" s="1555"/>
      <c r="Z880" s="1555"/>
      <c r="AA880" s="1555"/>
      <c r="AB880" s="1555"/>
      <c r="AC880" s="1555"/>
      <c r="AD880" s="1555"/>
      <c r="AE880" s="1555"/>
      <c r="AF880" s="1555"/>
      <c r="AG880" s="1555"/>
      <c r="AH880" s="1555"/>
      <c r="AI880" s="1555"/>
      <c r="AJ880" s="1555"/>
      <c r="AK880" s="1555"/>
    </row>
    <row r="881" spans="1:37" s="1373" customFormat="1">
      <c r="A881" s="1371"/>
      <c r="B881" s="1371"/>
      <c r="C881" s="97" t="s">
        <v>1495</v>
      </c>
      <c r="D881" s="1845"/>
      <c r="E881" s="1845"/>
      <c r="F881" s="1423"/>
      <c r="G881" s="1423"/>
      <c r="H881" s="115"/>
      <c r="I881" s="81"/>
      <c r="J881" s="1566"/>
      <c r="K881" s="1612"/>
      <c r="L881" s="1612"/>
      <c r="M881" s="1612"/>
      <c r="N881" s="1562"/>
      <c r="O881" s="1555"/>
      <c r="P881" s="1555"/>
      <c r="Q881" s="1555"/>
      <c r="R881" s="1555"/>
      <c r="S881" s="1555"/>
      <c r="T881" s="1555"/>
      <c r="U881" s="1555"/>
      <c r="V881" s="1555"/>
      <c r="W881" s="1555"/>
      <c r="X881" s="1555"/>
      <c r="Y881" s="1555"/>
      <c r="Z881" s="1555"/>
      <c r="AA881" s="1555"/>
      <c r="AB881" s="1555"/>
      <c r="AC881" s="1555"/>
      <c r="AD881" s="1555"/>
      <c r="AE881" s="1555"/>
      <c r="AF881" s="1555"/>
      <c r="AG881" s="1555"/>
      <c r="AH881" s="1555"/>
      <c r="AI881" s="1555"/>
      <c r="AJ881" s="1555"/>
      <c r="AK881" s="1555"/>
    </row>
    <row r="882" spans="1:37" s="1373" customFormat="1">
      <c r="A882" s="1371"/>
      <c r="B882" s="1371"/>
      <c r="C882" s="1431" t="s">
        <v>1496</v>
      </c>
      <c r="D882" s="1845"/>
      <c r="E882" s="1845"/>
      <c r="F882" s="1423"/>
      <c r="G882" s="1857"/>
      <c r="H882" s="81">
        <v>5000000</v>
      </c>
      <c r="I882" s="81">
        <v>5000000</v>
      </c>
      <c r="J882" s="1566"/>
      <c r="K882" s="1612"/>
      <c r="L882" s="1612"/>
      <c r="M882" s="1612"/>
      <c r="N882" s="1612"/>
      <c r="O882" s="1555"/>
      <c r="P882" s="1555"/>
      <c r="Q882" s="1555"/>
      <c r="R882" s="1555"/>
      <c r="S882" s="1555"/>
      <c r="T882" s="1555"/>
      <c r="U882" s="1555"/>
      <c r="V882" s="1555"/>
      <c r="W882" s="1555"/>
      <c r="X882" s="1555"/>
      <c r="Y882" s="1555"/>
      <c r="Z882" s="1555"/>
      <c r="AA882" s="1555"/>
      <c r="AB882" s="1555"/>
      <c r="AC882" s="1555"/>
      <c r="AD882" s="1555"/>
      <c r="AE882" s="1555"/>
      <c r="AF882" s="1555"/>
      <c r="AG882" s="1555"/>
      <c r="AH882" s="1555"/>
      <c r="AI882" s="1555"/>
      <c r="AJ882" s="1555"/>
      <c r="AK882" s="1555"/>
    </row>
    <row r="883" spans="1:37" s="1373" customFormat="1">
      <c r="A883" s="1371"/>
      <c r="B883" s="1371"/>
      <c r="C883" s="1431" t="s">
        <v>3551</v>
      </c>
      <c r="D883" s="1838"/>
      <c r="E883" s="1838"/>
      <c r="F883" s="1423"/>
      <c r="G883" s="1857"/>
      <c r="H883" s="22">
        <v>825000</v>
      </c>
      <c r="I883" s="22">
        <v>825000</v>
      </c>
      <c r="J883" s="1566"/>
      <c r="K883" s="1554"/>
      <c r="L883" s="1554"/>
      <c r="M883" s="1554"/>
      <c r="N883" s="1612"/>
      <c r="O883" s="1555"/>
      <c r="P883" s="1555"/>
      <c r="Q883" s="1555"/>
      <c r="R883" s="1555"/>
      <c r="S883" s="1555"/>
      <c r="T883" s="1555"/>
      <c r="U883" s="1555"/>
      <c r="V883" s="1555"/>
      <c r="W883" s="1555"/>
      <c r="X883" s="1555"/>
      <c r="Y883" s="1555"/>
      <c r="Z883" s="1555"/>
      <c r="AA883" s="1555"/>
      <c r="AB883" s="1555"/>
      <c r="AC883" s="1555"/>
      <c r="AD883" s="1555"/>
      <c r="AE883" s="1555"/>
      <c r="AF883" s="1555"/>
      <c r="AG883" s="1555"/>
      <c r="AH883" s="1555"/>
      <c r="AI883" s="1555"/>
      <c r="AJ883" s="1555"/>
      <c r="AK883" s="1555"/>
    </row>
    <row r="884" spans="1:37" s="1373" customFormat="1">
      <c r="A884" s="1371"/>
      <c r="B884" s="1371"/>
      <c r="C884" s="1431" t="s">
        <v>1497</v>
      </c>
      <c r="D884" s="1838"/>
      <c r="E884" s="1838"/>
      <c r="F884" s="1423"/>
      <c r="G884" s="1857"/>
      <c r="H884" s="22">
        <v>500000</v>
      </c>
      <c r="I884" s="22">
        <v>500000</v>
      </c>
      <c r="J884" s="1566"/>
      <c r="K884" s="1554"/>
      <c r="L884" s="1554"/>
      <c r="M884" s="1554"/>
      <c r="N884" s="1554"/>
      <c r="O884" s="1555"/>
      <c r="P884" s="1555"/>
      <c r="Q884" s="1555"/>
      <c r="R884" s="1555"/>
      <c r="S884" s="1555"/>
      <c r="T884" s="1555"/>
      <c r="U884" s="1555"/>
      <c r="V884" s="1555"/>
      <c r="W884" s="1555"/>
      <c r="X884" s="1555"/>
      <c r="Y884" s="1555"/>
      <c r="Z884" s="1555"/>
      <c r="AA884" s="1555"/>
      <c r="AB884" s="1555"/>
      <c r="AC884" s="1555"/>
      <c r="AD884" s="1555"/>
      <c r="AE884" s="1555"/>
      <c r="AF884" s="1555"/>
      <c r="AG884" s="1555"/>
      <c r="AH884" s="1555"/>
      <c r="AI884" s="1555"/>
      <c r="AJ884" s="1555"/>
      <c r="AK884" s="1555"/>
    </row>
    <row r="885" spans="1:37" s="1373" customFormat="1">
      <c r="A885" s="1371"/>
      <c r="B885" s="1371"/>
      <c r="C885" s="1431"/>
      <c r="D885" s="1838"/>
      <c r="E885" s="1838"/>
      <c r="F885" s="1423"/>
      <c r="G885" s="1857"/>
      <c r="H885" s="22"/>
      <c r="I885" s="22"/>
      <c r="J885" s="1566"/>
      <c r="K885" s="1554"/>
      <c r="L885" s="1554"/>
      <c r="M885" s="1554"/>
      <c r="N885" s="1554"/>
      <c r="O885" s="1555"/>
      <c r="P885" s="1555"/>
      <c r="Q885" s="1555"/>
      <c r="R885" s="1555"/>
      <c r="S885" s="1555"/>
      <c r="T885" s="1555"/>
      <c r="U885" s="1555"/>
      <c r="V885" s="1555"/>
      <c r="W885" s="1555"/>
      <c r="X885" s="1555"/>
      <c r="Y885" s="1555"/>
      <c r="Z885" s="1555"/>
      <c r="AA885" s="1555"/>
      <c r="AB885" s="1555"/>
      <c r="AC885" s="1555"/>
      <c r="AD885" s="1555"/>
      <c r="AE885" s="1555"/>
      <c r="AF885" s="1555"/>
      <c r="AG885" s="1555"/>
      <c r="AH885" s="1555"/>
      <c r="AI885" s="1555"/>
      <c r="AJ885" s="1555"/>
      <c r="AK885" s="1555"/>
    </row>
    <row r="886" spans="1:37" s="1373" customFormat="1">
      <c r="A886" s="1371"/>
      <c r="B886" s="1371"/>
      <c r="C886" s="1433" t="s">
        <v>1498</v>
      </c>
      <c r="D886" s="1838"/>
      <c r="E886" s="1838"/>
      <c r="F886" s="1423"/>
      <c r="G886" s="1423"/>
      <c r="H886" s="22">
        <v>0</v>
      </c>
      <c r="I886" s="22">
        <v>0</v>
      </c>
      <c r="J886" s="1566"/>
      <c r="K886" s="1554"/>
      <c r="L886" s="1554"/>
      <c r="M886" s="1554"/>
      <c r="N886" s="1554"/>
      <c r="O886" s="1555"/>
      <c r="P886" s="1555"/>
      <c r="Q886" s="1555"/>
      <c r="R886" s="1555"/>
      <c r="S886" s="1555"/>
      <c r="T886" s="1555"/>
      <c r="U886" s="1555"/>
      <c r="V886" s="1555"/>
      <c r="W886" s="1555"/>
      <c r="X886" s="1555"/>
      <c r="Y886" s="1555"/>
      <c r="Z886" s="1555"/>
      <c r="AA886" s="1555"/>
      <c r="AB886" s="1555"/>
      <c r="AC886" s="1555"/>
      <c r="AD886" s="1555"/>
      <c r="AE886" s="1555"/>
      <c r="AF886" s="1555"/>
      <c r="AG886" s="1555"/>
      <c r="AH886" s="1555"/>
      <c r="AI886" s="1555"/>
      <c r="AJ886" s="1555"/>
      <c r="AK886" s="1555"/>
    </row>
    <row r="887" spans="1:37" s="1373" customFormat="1" ht="9" customHeight="1">
      <c r="A887" s="1371"/>
      <c r="B887" s="1371"/>
      <c r="C887" s="1401" t="s">
        <v>1126</v>
      </c>
      <c r="D887" s="1845"/>
      <c r="E887" s="1845"/>
      <c r="F887" s="1423"/>
      <c r="G887" s="1423"/>
      <c r="H887" s="22" t="s">
        <v>1126</v>
      </c>
      <c r="I887" s="22" t="s">
        <v>1126</v>
      </c>
      <c r="J887" s="1566"/>
      <c r="K887" s="1554"/>
      <c r="L887" s="1554"/>
      <c r="M887" s="1554"/>
      <c r="N887" s="1554"/>
      <c r="O887" s="1555"/>
      <c r="P887" s="1555"/>
      <c r="Q887" s="1555"/>
      <c r="R887" s="1555"/>
      <c r="S887" s="1555"/>
      <c r="T887" s="1555"/>
      <c r="U887" s="1555"/>
      <c r="V887" s="1555"/>
      <c r="W887" s="1555"/>
      <c r="X887" s="1555"/>
      <c r="Y887" s="1555"/>
      <c r="Z887" s="1555"/>
      <c r="AA887" s="1555"/>
      <c r="AB887" s="1555"/>
      <c r="AC887" s="1555"/>
      <c r="AD887" s="1555"/>
      <c r="AE887" s="1555"/>
      <c r="AF887" s="1555"/>
      <c r="AG887" s="1555"/>
      <c r="AH887" s="1555"/>
      <c r="AI887" s="1555"/>
      <c r="AJ887" s="1555"/>
      <c r="AK887" s="1555"/>
    </row>
    <row r="888" spans="1:37" s="1373" customFormat="1">
      <c r="A888" s="1371"/>
      <c r="B888" s="1371"/>
      <c r="C888" s="1433" t="s">
        <v>1499</v>
      </c>
      <c r="D888" s="1845"/>
      <c r="E888" s="1845"/>
      <c r="F888" s="1423"/>
      <c r="G888" s="1423"/>
      <c r="H888" s="22">
        <v>50620</v>
      </c>
      <c r="I888" s="22">
        <v>47300</v>
      </c>
      <c r="J888" s="1566"/>
      <c r="K888" s="1554"/>
      <c r="L888" s="1554"/>
      <c r="M888" s="1554"/>
      <c r="N888" s="1554"/>
      <c r="O888" s="1555"/>
      <c r="P888" s="1555"/>
      <c r="Q888" s="1555"/>
      <c r="R888" s="1555"/>
      <c r="S888" s="1555"/>
      <c r="T888" s="1555"/>
      <c r="U888" s="1555"/>
      <c r="V888" s="1555"/>
      <c r="W888" s="1555"/>
      <c r="X888" s="1555"/>
      <c r="Y888" s="1555"/>
      <c r="Z888" s="1555"/>
      <c r="AA888" s="1555"/>
      <c r="AB888" s="1555"/>
      <c r="AC888" s="1555"/>
      <c r="AD888" s="1555"/>
      <c r="AE888" s="1555"/>
      <c r="AF888" s="1555"/>
      <c r="AG888" s="1555"/>
      <c r="AH888" s="1555"/>
      <c r="AI888" s="1555"/>
      <c r="AJ888" s="1555"/>
      <c r="AK888" s="1555"/>
    </row>
    <row r="889" spans="1:37" s="1373" customFormat="1">
      <c r="A889" s="1371"/>
      <c r="B889" s="1371"/>
      <c r="C889" s="1401"/>
      <c r="D889" s="1845"/>
      <c r="E889" s="1845"/>
      <c r="F889" s="1423"/>
      <c r="G889" s="1423"/>
      <c r="H889" s="22"/>
      <c r="I889" s="22"/>
      <c r="J889" s="1566"/>
      <c r="K889" s="1554"/>
      <c r="L889" s="1554"/>
      <c r="M889" s="1554"/>
      <c r="N889" s="1554"/>
      <c r="O889" s="1555"/>
      <c r="P889" s="1555"/>
      <c r="Q889" s="1555"/>
      <c r="R889" s="1555"/>
      <c r="S889" s="1555"/>
      <c r="T889" s="1555"/>
      <c r="U889" s="1555"/>
      <c r="V889" s="1555"/>
      <c r="W889" s="1555"/>
      <c r="X889" s="1555"/>
      <c r="Y889" s="1555"/>
      <c r="Z889" s="1555"/>
      <c r="AA889" s="1555"/>
      <c r="AB889" s="1555"/>
      <c r="AC889" s="1555"/>
      <c r="AD889" s="1555"/>
      <c r="AE889" s="1555"/>
      <c r="AF889" s="1555"/>
      <c r="AG889" s="1555"/>
      <c r="AH889" s="1555"/>
      <c r="AI889" s="1555"/>
      <c r="AJ889" s="1555"/>
      <c r="AK889" s="1555"/>
    </row>
    <row r="890" spans="1:37" s="1373" customFormat="1">
      <c r="A890" s="1371"/>
      <c r="B890" s="1371"/>
      <c r="C890" s="1433" t="s">
        <v>1500</v>
      </c>
      <c r="D890" s="1845"/>
      <c r="E890" s="1845"/>
      <c r="F890" s="1423"/>
      <c r="G890" s="1423"/>
      <c r="H890" s="22"/>
      <c r="I890" s="22"/>
      <c r="J890" s="1566"/>
      <c r="K890" s="1554"/>
      <c r="L890" s="1554"/>
      <c r="M890" s="1554"/>
      <c r="N890" s="1554"/>
      <c r="O890" s="1555"/>
      <c r="P890" s="1555"/>
      <c r="Q890" s="1555"/>
      <c r="R890" s="1555"/>
      <c r="S890" s="1555"/>
      <c r="T890" s="1555"/>
      <c r="U890" s="1555"/>
      <c r="V890" s="1555"/>
      <c r="W890" s="1555"/>
      <c r="X890" s="1555"/>
      <c r="Y890" s="1555"/>
      <c r="Z890" s="1555"/>
      <c r="AA890" s="1555"/>
      <c r="AB890" s="1555"/>
      <c r="AC890" s="1555"/>
      <c r="AD890" s="1555"/>
      <c r="AE890" s="1555"/>
      <c r="AF890" s="1555"/>
      <c r="AG890" s="1555"/>
      <c r="AH890" s="1555"/>
      <c r="AI890" s="1555"/>
      <c r="AJ890" s="1555"/>
      <c r="AK890" s="1555"/>
    </row>
    <row r="891" spans="1:37" s="1373" customFormat="1">
      <c r="A891" s="1371"/>
      <c r="B891" s="1371"/>
      <c r="C891" s="1431" t="s">
        <v>1501</v>
      </c>
      <c r="D891" s="1845"/>
      <c r="E891" s="1845"/>
      <c r="F891" s="1423"/>
      <c r="G891" s="1423"/>
      <c r="H891" s="22">
        <v>17225881</v>
      </c>
      <c r="I891" s="22">
        <v>17225881</v>
      </c>
      <c r="J891" s="1566"/>
      <c r="K891" s="1554"/>
      <c r="L891" s="1554"/>
      <c r="M891" s="1554"/>
      <c r="N891" s="1554"/>
      <c r="O891" s="1555"/>
      <c r="P891" s="1555"/>
      <c r="Q891" s="1555"/>
      <c r="R891" s="1555"/>
      <c r="S891" s="1555"/>
      <c r="T891" s="1555"/>
      <c r="U891" s="1555"/>
      <c r="V891" s="1555"/>
      <c r="W891" s="1555"/>
      <c r="X891" s="1555"/>
      <c r="Y891" s="1555"/>
      <c r="Z891" s="1555"/>
      <c r="AA891" s="1555"/>
      <c r="AB891" s="1555"/>
      <c r="AC891" s="1555"/>
      <c r="AD891" s="1555"/>
      <c r="AE891" s="1555"/>
      <c r="AF891" s="1555"/>
      <c r="AG891" s="1555"/>
      <c r="AH891" s="1555"/>
      <c r="AI891" s="1555"/>
      <c r="AJ891" s="1555"/>
      <c r="AK891" s="1555"/>
    </row>
    <row r="892" spans="1:37" s="1373" customFormat="1">
      <c r="A892" s="1371"/>
      <c r="B892" s="1371"/>
      <c r="C892" s="1431" t="s">
        <v>1502</v>
      </c>
      <c r="D892" s="1845"/>
      <c r="E892" s="1845"/>
      <c r="F892" s="1423"/>
      <c r="G892" s="1423"/>
      <c r="H892" s="22">
        <v>10080910</v>
      </c>
      <c r="I892" s="22">
        <v>10080910</v>
      </c>
      <c r="J892" s="1566"/>
      <c r="K892" s="1554"/>
      <c r="L892" s="1554"/>
      <c r="M892" s="1554"/>
      <c r="N892" s="1554"/>
      <c r="O892" s="1555"/>
      <c r="P892" s="1555"/>
      <c r="Q892" s="1555"/>
      <c r="R892" s="1555"/>
      <c r="S892" s="1555"/>
      <c r="T892" s="1555"/>
      <c r="U892" s="1555"/>
      <c r="V892" s="1555"/>
      <c r="W892" s="1555"/>
      <c r="X892" s="1555"/>
      <c r="Y892" s="1555"/>
      <c r="Z892" s="1555"/>
      <c r="AA892" s="1555"/>
      <c r="AB892" s="1555"/>
      <c r="AC892" s="1555"/>
      <c r="AD892" s="1555"/>
      <c r="AE892" s="1555"/>
      <c r="AF892" s="1555"/>
      <c r="AG892" s="1555"/>
      <c r="AH892" s="1555"/>
      <c r="AI892" s="1555"/>
      <c r="AJ892" s="1555"/>
      <c r="AK892" s="1555"/>
    </row>
    <row r="893" spans="1:37" s="1373" customFormat="1" ht="96" customHeight="1">
      <c r="A893" s="1371"/>
      <c r="B893" s="1371"/>
      <c r="C893" s="2136" t="s">
        <v>1503</v>
      </c>
      <c r="D893" s="2137"/>
      <c r="E893" s="2137"/>
      <c r="F893" s="2137"/>
      <c r="G893" s="2137"/>
      <c r="H893" s="22"/>
      <c r="I893" s="22"/>
      <c r="J893" s="1566"/>
      <c r="K893" s="1554"/>
      <c r="L893" s="1554"/>
      <c r="M893" s="1554"/>
      <c r="N893" s="1554"/>
      <c r="O893" s="1555"/>
      <c r="P893" s="1555"/>
      <c r="Q893" s="1555"/>
      <c r="R893" s="1555"/>
      <c r="S893" s="1555"/>
      <c r="T893" s="1555"/>
      <c r="U893" s="1555"/>
      <c r="V893" s="1555"/>
      <c r="W893" s="1555"/>
      <c r="X893" s="1555"/>
      <c r="Y893" s="1555"/>
      <c r="Z893" s="1555"/>
      <c r="AA893" s="1555"/>
      <c r="AB893" s="1555"/>
      <c r="AC893" s="1555"/>
      <c r="AD893" s="1555"/>
      <c r="AE893" s="1555"/>
      <c r="AF893" s="1555"/>
      <c r="AG893" s="1555"/>
      <c r="AH893" s="1555"/>
      <c r="AI893" s="1555"/>
      <c r="AJ893" s="1555"/>
      <c r="AK893" s="1555"/>
    </row>
    <row r="894" spans="1:37" s="1373" customFormat="1">
      <c r="A894" s="1371"/>
      <c r="B894" s="1371"/>
      <c r="C894" s="1382"/>
      <c r="D894" s="2067"/>
      <c r="E894" s="2067"/>
      <c r="F894" s="2067"/>
      <c r="G894" s="2068"/>
      <c r="H894" s="22"/>
      <c r="I894" s="22"/>
      <c r="J894" s="1566"/>
      <c r="K894" s="1554"/>
      <c r="L894" s="1554"/>
      <c r="M894" s="1554"/>
      <c r="N894" s="1554"/>
      <c r="O894" s="1555"/>
      <c r="P894" s="1555"/>
      <c r="Q894" s="1555"/>
      <c r="R894" s="1555"/>
      <c r="S894" s="1555"/>
      <c r="T894" s="1555"/>
      <c r="U894" s="1555"/>
      <c r="V894" s="1555"/>
      <c r="W894" s="1555"/>
      <c r="X894" s="1555"/>
      <c r="Y894" s="1555"/>
      <c r="Z894" s="1555"/>
      <c r="AA894" s="1555"/>
      <c r="AB894" s="1555"/>
      <c r="AC894" s="1555"/>
      <c r="AD894" s="1555"/>
      <c r="AE894" s="1555"/>
      <c r="AF894" s="1555"/>
      <c r="AG894" s="1555"/>
      <c r="AH894" s="1555"/>
      <c r="AI894" s="1555"/>
      <c r="AJ894" s="1555"/>
      <c r="AK894" s="1555"/>
    </row>
    <row r="895" spans="1:37" s="1373" customFormat="1">
      <c r="A895" s="1371"/>
      <c r="B895" s="1371"/>
      <c r="C895" s="1433" t="s">
        <v>1504</v>
      </c>
      <c r="D895" s="2068"/>
      <c r="E895" s="2068"/>
      <c r="F895" s="2068"/>
      <c r="G895" s="2068"/>
      <c r="H895" s="22"/>
      <c r="I895" s="22"/>
      <c r="J895" s="1566"/>
      <c r="K895" s="1554"/>
      <c r="L895" s="1554"/>
      <c r="M895" s="1554"/>
      <c r="N895" s="1554"/>
      <c r="O895" s="1555"/>
      <c r="P895" s="1555"/>
      <c r="Q895" s="1555"/>
      <c r="R895" s="1555"/>
      <c r="S895" s="1555"/>
      <c r="T895" s="1555"/>
      <c r="U895" s="1555"/>
      <c r="V895" s="1555"/>
      <c r="W895" s="1555"/>
      <c r="X895" s="1555"/>
      <c r="Y895" s="1555"/>
      <c r="Z895" s="1555"/>
      <c r="AA895" s="1555"/>
      <c r="AB895" s="1555"/>
      <c r="AC895" s="1555"/>
      <c r="AD895" s="1555"/>
      <c r="AE895" s="1555"/>
      <c r="AF895" s="1555"/>
      <c r="AG895" s="1555"/>
      <c r="AH895" s="1555"/>
      <c r="AI895" s="1555"/>
      <c r="AJ895" s="1555"/>
      <c r="AK895" s="1555"/>
    </row>
    <row r="896" spans="1:37" s="1373" customFormat="1">
      <c r="A896" s="1371"/>
      <c r="B896" s="1371"/>
      <c r="C896" s="1431" t="s">
        <v>1501</v>
      </c>
      <c r="D896" s="2068"/>
      <c r="E896" s="2068"/>
      <c r="F896" s="2068"/>
      <c r="G896" s="2068"/>
      <c r="H896" s="22">
        <v>0</v>
      </c>
      <c r="I896" s="22">
        <v>0</v>
      </c>
      <c r="J896" s="1566"/>
      <c r="K896" s="1554"/>
      <c r="L896" s="1554"/>
      <c r="M896" s="1554"/>
      <c r="N896" s="1554"/>
      <c r="O896" s="1555"/>
      <c r="P896" s="1555"/>
      <c r="Q896" s="1555"/>
      <c r="R896" s="1555"/>
      <c r="S896" s="1555"/>
      <c r="T896" s="1555"/>
      <c r="U896" s="1555"/>
      <c r="V896" s="1555"/>
      <c r="W896" s="1555"/>
      <c r="X896" s="1555"/>
      <c r="Y896" s="1555"/>
      <c r="Z896" s="1555"/>
      <c r="AA896" s="1555"/>
      <c r="AB896" s="1555"/>
      <c r="AC896" s="1555"/>
      <c r="AD896" s="1555"/>
      <c r="AE896" s="1555"/>
      <c r="AF896" s="1555"/>
      <c r="AG896" s="1555"/>
      <c r="AH896" s="1555"/>
      <c r="AI896" s="1555"/>
      <c r="AJ896" s="1555"/>
      <c r="AK896" s="1555"/>
    </row>
    <row r="897" spans="1:37" s="1373" customFormat="1">
      <c r="A897" s="1371"/>
      <c r="B897" s="1371"/>
      <c r="C897" s="1431" t="s">
        <v>1502</v>
      </c>
      <c r="D897" s="2068"/>
      <c r="E897" s="2068"/>
      <c r="F897" s="2068"/>
      <c r="G897" s="2068"/>
      <c r="H897" s="22">
        <v>667226</v>
      </c>
      <c r="I897" s="22">
        <v>667226</v>
      </c>
      <c r="J897" s="1566"/>
      <c r="K897" s="1554"/>
      <c r="L897" s="1554"/>
      <c r="M897" s="1554"/>
      <c r="N897" s="1554"/>
      <c r="O897" s="1555"/>
      <c r="P897" s="1555"/>
      <c r="Q897" s="1555"/>
      <c r="R897" s="1555"/>
      <c r="S897" s="1555"/>
      <c r="T897" s="1555"/>
      <c r="U897" s="1555"/>
      <c r="V897" s="1555"/>
      <c r="W897" s="1555"/>
      <c r="X897" s="1555"/>
      <c r="Y897" s="1555"/>
      <c r="Z897" s="1555"/>
      <c r="AA897" s="1555"/>
      <c r="AB897" s="1555"/>
      <c r="AC897" s="1555"/>
      <c r="AD897" s="1555"/>
      <c r="AE897" s="1555"/>
      <c r="AF897" s="1555"/>
      <c r="AG897" s="1555"/>
      <c r="AH897" s="1555"/>
      <c r="AI897" s="1555"/>
      <c r="AJ897" s="1555"/>
      <c r="AK897" s="1555"/>
    </row>
    <row r="898" spans="1:37" s="1373" customFormat="1">
      <c r="A898" s="1371"/>
      <c r="B898" s="1371"/>
      <c r="C898" s="1433" t="s">
        <v>1505</v>
      </c>
      <c r="D898" s="2068"/>
      <c r="E898" s="2068"/>
      <c r="F898" s="2068"/>
      <c r="G898" s="2068"/>
      <c r="H898" s="22"/>
      <c r="I898" s="22"/>
      <c r="J898" s="1566"/>
      <c r="K898" s="1554"/>
      <c r="L898" s="1554"/>
      <c r="M898" s="1554"/>
      <c r="N898" s="1554"/>
      <c r="O898" s="1555"/>
      <c r="P898" s="1555"/>
      <c r="Q898" s="1555"/>
      <c r="R898" s="1555"/>
      <c r="S898" s="1555"/>
      <c r="T898" s="1555"/>
      <c r="U898" s="1555"/>
      <c r="V898" s="1555"/>
      <c r="W898" s="1555"/>
      <c r="X898" s="1555"/>
      <c r="Y898" s="1555"/>
      <c r="Z898" s="1555"/>
      <c r="AA898" s="1555"/>
      <c r="AB898" s="1555"/>
      <c r="AC898" s="1555"/>
      <c r="AD898" s="1555"/>
      <c r="AE898" s="1555"/>
      <c r="AF898" s="1555"/>
      <c r="AG898" s="1555"/>
      <c r="AH898" s="1555"/>
      <c r="AI898" s="1555"/>
      <c r="AJ898" s="1555"/>
      <c r="AK898" s="1555"/>
    </row>
    <row r="899" spans="1:37" s="1373" customFormat="1">
      <c r="A899" s="1371"/>
      <c r="B899" s="1371"/>
      <c r="C899" s="1431" t="s">
        <v>1501</v>
      </c>
      <c r="D899" s="2068"/>
      <c r="E899" s="2068"/>
      <c r="F899" s="2068"/>
      <c r="G899" s="2068"/>
      <c r="H899" s="22">
        <v>0</v>
      </c>
      <c r="I899" s="22">
        <v>0</v>
      </c>
      <c r="J899" s="1566"/>
      <c r="K899" s="1554"/>
      <c r="L899" s="1554"/>
      <c r="M899" s="1554"/>
      <c r="N899" s="1554"/>
      <c r="O899" s="1555"/>
      <c r="P899" s="1555"/>
      <c r="Q899" s="1555"/>
      <c r="R899" s="1555"/>
      <c r="S899" s="1555"/>
      <c r="T899" s="1555"/>
      <c r="U899" s="1555"/>
      <c r="V899" s="1555"/>
      <c r="W899" s="1555"/>
      <c r="X899" s="1555"/>
      <c r="Y899" s="1555"/>
      <c r="Z899" s="1555"/>
      <c r="AA899" s="1555"/>
      <c r="AB899" s="1555"/>
      <c r="AC899" s="1555"/>
      <c r="AD899" s="1555"/>
      <c r="AE899" s="1555"/>
      <c r="AF899" s="1555"/>
      <c r="AG899" s="1555"/>
      <c r="AH899" s="1555"/>
      <c r="AI899" s="1555"/>
      <c r="AJ899" s="1555"/>
      <c r="AK899" s="1555"/>
    </row>
    <row r="900" spans="1:37" s="1373" customFormat="1">
      <c r="A900" s="1371"/>
      <c r="B900" s="1371"/>
      <c r="C900" s="1431" t="s">
        <v>1502</v>
      </c>
      <c r="D900" s="2068"/>
      <c r="E900" s="2068"/>
      <c r="F900" s="2068"/>
      <c r="G900" s="2068"/>
      <c r="H900" s="22">
        <v>627223</v>
      </c>
      <c r="I900" s="22">
        <v>627223</v>
      </c>
      <c r="J900" s="1566"/>
      <c r="K900" s="1554"/>
      <c r="L900" s="1554"/>
      <c r="M900" s="1554"/>
      <c r="N900" s="1554"/>
      <c r="O900" s="1555"/>
      <c r="P900" s="1555"/>
      <c r="Q900" s="1555"/>
      <c r="R900" s="1555"/>
      <c r="S900" s="1555"/>
      <c r="T900" s="1555"/>
      <c r="U900" s="1555"/>
      <c r="V900" s="1555"/>
      <c r="W900" s="1555"/>
      <c r="X900" s="1555"/>
      <c r="Y900" s="1555"/>
      <c r="Z900" s="1555"/>
      <c r="AA900" s="1555"/>
      <c r="AB900" s="1555"/>
      <c r="AC900" s="1555"/>
      <c r="AD900" s="1555"/>
      <c r="AE900" s="1555"/>
      <c r="AF900" s="1555"/>
      <c r="AG900" s="1555"/>
      <c r="AH900" s="1555"/>
      <c r="AI900" s="1555"/>
      <c r="AJ900" s="1555"/>
      <c r="AK900" s="1555"/>
    </row>
    <row r="901" spans="1:37" s="1373" customFormat="1" ht="132.75" customHeight="1">
      <c r="A901" s="1371"/>
      <c r="B901" s="1371"/>
      <c r="C901" s="2172" t="s">
        <v>1506</v>
      </c>
      <c r="D901" s="2173"/>
      <c r="E901" s="2173"/>
      <c r="F901" s="2173"/>
      <c r="G901" s="2173"/>
      <c r="H901" s="120"/>
      <c r="I901" s="22"/>
      <c r="J901" s="1566"/>
      <c r="K901" s="1554"/>
      <c r="L901" s="1554"/>
      <c r="M901" s="1554"/>
      <c r="N901" s="1554"/>
      <c r="O901" s="1555"/>
      <c r="P901" s="1555"/>
      <c r="Q901" s="1555"/>
      <c r="R901" s="1555"/>
      <c r="S901" s="1555"/>
      <c r="T901" s="1555"/>
      <c r="U901" s="1555"/>
      <c r="V901" s="1555"/>
      <c r="W901" s="1555"/>
      <c r="X901" s="1555"/>
      <c r="Y901" s="1555"/>
      <c r="Z901" s="1555"/>
      <c r="AA901" s="1555"/>
      <c r="AB901" s="1555"/>
      <c r="AC901" s="1555"/>
      <c r="AD901" s="1555"/>
      <c r="AE901" s="1555"/>
      <c r="AF901" s="1555"/>
      <c r="AG901" s="1555"/>
      <c r="AH901" s="1555"/>
      <c r="AI901" s="1555"/>
      <c r="AJ901" s="1555"/>
      <c r="AK901" s="1555"/>
    </row>
    <row r="902" spans="1:37" s="1373" customFormat="1">
      <c r="A902" s="1371"/>
      <c r="B902" s="1371"/>
      <c r="C902" s="2012"/>
      <c r="D902" s="2069"/>
      <c r="E902" s="2069"/>
      <c r="F902" s="2069"/>
      <c r="G902" s="2069"/>
      <c r="H902" s="120"/>
      <c r="I902" s="22"/>
      <c r="J902" s="1566"/>
      <c r="K902" s="1554"/>
      <c r="L902" s="1554"/>
      <c r="M902" s="1554"/>
      <c r="N902" s="1554"/>
      <c r="O902" s="1555"/>
      <c r="P902" s="1555"/>
      <c r="Q902" s="1555"/>
      <c r="R902" s="1555"/>
      <c r="S902" s="1555"/>
      <c r="T902" s="1555"/>
      <c r="U902" s="1555"/>
      <c r="V902" s="1555"/>
      <c r="W902" s="1555"/>
      <c r="X902" s="1555"/>
      <c r="Y902" s="1555"/>
      <c r="Z902" s="1555"/>
      <c r="AA902" s="1555"/>
      <c r="AB902" s="1555"/>
      <c r="AC902" s="1555"/>
      <c r="AD902" s="1555"/>
      <c r="AE902" s="1555"/>
      <c r="AF902" s="1555"/>
      <c r="AG902" s="1555"/>
      <c r="AH902" s="1555"/>
      <c r="AI902" s="1555"/>
      <c r="AJ902" s="1555"/>
      <c r="AK902" s="1555"/>
    </row>
    <row r="903" spans="1:37" s="1373" customFormat="1">
      <c r="A903" s="1371"/>
      <c r="B903" s="1371"/>
      <c r="C903" s="1515" t="s">
        <v>1507</v>
      </c>
      <c r="D903" s="2069"/>
      <c r="E903" s="2069"/>
      <c r="F903" s="2069"/>
      <c r="G903" s="2069"/>
      <c r="H903" s="120"/>
      <c r="I903" s="22"/>
      <c r="J903" s="1566"/>
      <c r="K903" s="1554"/>
      <c r="L903" s="1554"/>
      <c r="M903" s="1554"/>
      <c r="N903" s="1554"/>
      <c r="O903" s="1555"/>
      <c r="P903" s="1555"/>
      <c r="Q903" s="1555"/>
      <c r="R903" s="1555"/>
      <c r="S903" s="1555"/>
      <c r="T903" s="1555"/>
      <c r="U903" s="1555"/>
      <c r="V903" s="1555"/>
      <c r="W903" s="1555"/>
      <c r="X903" s="1555"/>
      <c r="Y903" s="1555"/>
      <c r="Z903" s="1555"/>
      <c r="AA903" s="1555"/>
      <c r="AB903" s="1555"/>
      <c r="AC903" s="1555"/>
      <c r="AD903" s="1555"/>
      <c r="AE903" s="1555"/>
      <c r="AF903" s="1555"/>
      <c r="AG903" s="1555"/>
      <c r="AH903" s="1555"/>
      <c r="AI903" s="1555"/>
      <c r="AJ903" s="1555"/>
      <c r="AK903" s="1555"/>
    </row>
    <row r="904" spans="1:37" s="1373" customFormat="1" ht="21.75" customHeight="1">
      <c r="A904" s="1371"/>
      <c r="B904" s="1371"/>
      <c r="C904" s="2131" t="s">
        <v>1508</v>
      </c>
      <c r="D904" s="2132"/>
      <c r="E904" s="2132"/>
      <c r="F904" s="2132"/>
      <c r="G904" s="2133"/>
      <c r="H904" s="1973">
        <v>0</v>
      </c>
      <c r="I904" s="118">
        <v>24705000</v>
      </c>
      <c r="J904" s="1566"/>
      <c r="K904" s="1554"/>
      <c r="L904" s="1554"/>
      <c r="M904" s="1554"/>
      <c r="N904" s="1554"/>
      <c r="O904" s="1555"/>
      <c r="P904" s="1555"/>
      <c r="Q904" s="1555"/>
      <c r="R904" s="1555"/>
      <c r="S904" s="1555"/>
      <c r="T904" s="1555"/>
      <c r="U904" s="1555"/>
      <c r="V904" s="1555"/>
      <c r="W904" s="1555"/>
      <c r="X904" s="1555"/>
      <c r="Y904" s="1555"/>
      <c r="Z904" s="1555"/>
      <c r="AA904" s="1555"/>
      <c r="AB904" s="1555"/>
      <c r="AC904" s="1555"/>
      <c r="AD904" s="1555"/>
      <c r="AE904" s="1555"/>
      <c r="AF904" s="1555"/>
      <c r="AG904" s="1555"/>
      <c r="AH904" s="1555"/>
      <c r="AI904" s="1555"/>
      <c r="AJ904" s="1555"/>
      <c r="AK904" s="1555"/>
    </row>
    <row r="905" spans="1:37" s="1373" customFormat="1">
      <c r="A905" s="1371"/>
      <c r="B905" s="1371"/>
      <c r="C905" s="1516"/>
      <c r="D905" s="1393"/>
      <c r="E905" s="1393"/>
      <c r="F905" s="1393"/>
      <c r="G905" s="1393"/>
      <c r="H905" s="34"/>
      <c r="I905" s="37"/>
      <c r="J905" s="1563"/>
      <c r="K905" s="1564"/>
      <c r="L905" s="1564"/>
      <c r="M905" s="1564"/>
      <c r="N905" s="1554"/>
      <c r="O905" s="1555"/>
      <c r="P905" s="1555"/>
      <c r="Q905" s="1555"/>
      <c r="R905" s="1555"/>
      <c r="S905" s="1555"/>
      <c r="T905" s="1555"/>
      <c r="U905" s="1555"/>
      <c r="V905" s="1555"/>
      <c r="W905" s="1555"/>
      <c r="X905" s="1555"/>
      <c r="Y905" s="1555"/>
      <c r="Z905" s="1555"/>
      <c r="AA905" s="1555"/>
      <c r="AB905" s="1555"/>
      <c r="AC905" s="1555"/>
      <c r="AD905" s="1555"/>
      <c r="AE905" s="1555"/>
      <c r="AF905" s="1555"/>
      <c r="AG905" s="1555"/>
      <c r="AH905" s="1555"/>
      <c r="AI905" s="1555"/>
      <c r="AJ905" s="1555"/>
      <c r="AK905" s="1555"/>
    </row>
    <row r="906" spans="1:37" s="1373" customFormat="1">
      <c r="A906" s="1371"/>
      <c r="B906" s="1371"/>
      <c r="C906" s="1847" t="s">
        <v>1509</v>
      </c>
      <c r="D906" s="1845"/>
      <c r="E906" s="1845"/>
      <c r="F906" s="1423"/>
      <c r="G906" s="1423"/>
      <c r="H906" s="48"/>
      <c r="I906" s="181"/>
      <c r="J906" s="1566"/>
      <c r="K906" s="1612"/>
      <c r="L906" s="1612"/>
      <c r="M906" s="1612"/>
      <c r="N906" s="1703"/>
      <c r="O906" s="1555"/>
      <c r="P906" s="1555"/>
      <c r="Q906" s="1555"/>
      <c r="R906" s="1555"/>
      <c r="S906" s="1555"/>
      <c r="T906" s="1555"/>
      <c r="U906" s="1555"/>
      <c r="V906" s="1555"/>
      <c r="W906" s="1555"/>
      <c r="X906" s="1555"/>
      <c r="Y906" s="1555"/>
      <c r="Z906" s="1555"/>
      <c r="AA906" s="1555"/>
      <c r="AB906" s="1555"/>
      <c r="AC906" s="1555"/>
      <c r="AD906" s="1555"/>
      <c r="AE906" s="1555"/>
      <c r="AF906" s="1555"/>
      <c r="AG906" s="1555"/>
      <c r="AH906" s="1555"/>
      <c r="AI906" s="1555"/>
      <c r="AJ906" s="1555"/>
      <c r="AK906" s="1555"/>
    </row>
    <row r="907" spans="1:37" s="1373" customFormat="1">
      <c r="A907" s="1371"/>
      <c r="B907" s="1371"/>
      <c r="C907" s="2136" t="s">
        <v>1510</v>
      </c>
      <c r="D907" s="2137"/>
      <c r="E907" s="2137"/>
      <c r="F907" s="2137"/>
      <c r="G907" s="2137"/>
      <c r="H907" s="2137"/>
      <c r="I907" s="2138"/>
      <c r="J907" s="1694"/>
      <c r="K907" s="1694"/>
      <c r="L907" s="1694"/>
      <c r="M907" s="1694"/>
      <c r="N907" s="1612"/>
      <c r="O907" s="1555"/>
      <c r="P907" s="1555"/>
      <c r="Q907" s="1555"/>
      <c r="R907" s="1555"/>
      <c r="S907" s="1555"/>
      <c r="T907" s="1555"/>
      <c r="U907" s="1555"/>
      <c r="V907" s="1555"/>
      <c r="W907" s="1555"/>
      <c r="X907" s="1555"/>
      <c r="Y907" s="1555"/>
      <c r="Z907" s="1555"/>
      <c r="AA907" s="1555"/>
      <c r="AB907" s="1555"/>
      <c r="AC907" s="1555"/>
      <c r="AD907" s="1555"/>
      <c r="AE907" s="1555"/>
      <c r="AF907" s="1555"/>
      <c r="AG907" s="1555"/>
      <c r="AH907" s="1555"/>
      <c r="AI907" s="1555"/>
      <c r="AJ907" s="1555"/>
      <c r="AK907" s="1555"/>
    </row>
    <row r="908" spans="1:37" s="1373" customFormat="1">
      <c r="A908" s="1371"/>
      <c r="B908" s="1371"/>
      <c r="C908" s="2011"/>
      <c r="D908" s="2015"/>
      <c r="E908" s="2015"/>
      <c r="F908" s="2015"/>
      <c r="G908" s="2015"/>
      <c r="H908" s="164"/>
      <c r="I908" s="25"/>
      <c r="J908" s="1561"/>
      <c r="K908" s="1562"/>
      <c r="L908" s="1562"/>
      <c r="M908" s="1562"/>
      <c r="N908" s="1624"/>
      <c r="O908" s="1555"/>
      <c r="P908" s="1555"/>
      <c r="Q908" s="1555"/>
      <c r="R908" s="1555"/>
      <c r="S908" s="1555"/>
      <c r="T908" s="1555"/>
      <c r="U908" s="1555"/>
      <c r="V908" s="1555"/>
      <c r="W908" s="1555"/>
      <c r="X908" s="1555"/>
      <c r="Y908" s="1555"/>
      <c r="Z908" s="1555"/>
      <c r="AA908" s="1555"/>
      <c r="AB908" s="1555"/>
      <c r="AC908" s="1555"/>
      <c r="AD908" s="1555"/>
      <c r="AE908" s="1555"/>
      <c r="AF908" s="1555"/>
      <c r="AG908" s="1555"/>
      <c r="AH908" s="1555"/>
      <c r="AI908" s="1555"/>
      <c r="AJ908" s="1555"/>
      <c r="AK908" s="1555"/>
    </row>
    <row r="909" spans="1:37" s="1373" customFormat="1">
      <c r="A909" s="1371"/>
      <c r="B909" s="1371"/>
      <c r="C909" s="1847" t="s">
        <v>1511</v>
      </c>
      <c r="D909" s="1845"/>
      <c r="E909" s="1845"/>
      <c r="F909" s="1423"/>
      <c r="G909" s="1423"/>
      <c r="H909" s="48"/>
      <c r="I909" s="181"/>
      <c r="J909" s="1566"/>
      <c r="K909" s="1612"/>
      <c r="L909" s="1612"/>
      <c r="M909" s="1612"/>
      <c r="N909" s="1624"/>
      <c r="O909" s="1555"/>
      <c r="P909" s="1555"/>
      <c r="Q909" s="1555"/>
      <c r="R909" s="1555"/>
      <c r="S909" s="1555"/>
      <c r="T909" s="1555"/>
      <c r="U909" s="1555"/>
      <c r="V909" s="1555"/>
      <c r="W909" s="1555"/>
      <c r="X909" s="1555"/>
      <c r="Y909" s="1555"/>
      <c r="Z909" s="1555"/>
      <c r="AA909" s="1555"/>
      <c r="AB909" s="1555"/>
      <c r="AC909" s="1555"/>
      <c r="AD909" s="1555"/>
      <c r="AE909" s="1555"/>
      <c r="AF909" s="1555"/>
      <c r="AG909" s="1555"/>
      <c r="AH909" s="1555"/>
      <c r="AI909" s="1555"/>
      <c r="AJ909" s="1555"/>
      <c r="AK909" s="1555"/>
    </row>
    <row r="910" spans="1:37" s="1373" customFormat="1" ht="42" customHeight="1">
      <c r="A910" s="1371"/>
      <c r="B910" s="1371"/>
      <c r="C910" s="2139" t="s">
        <v>3552</v>
      </c>
      <c r="D910" s="2140"/>
      <c r="E910" s="2140"/>
      <c r="F910" s="2140"/>
      <c r="G910" s="2140"/>
      <c r="H910" s="2140"/>
      <c r="I910" s="2141"/>
      <c r="J910" s="1694"/>
      <c r="K910" s="1694"/>
      <c r="L910" s="1694"/>
      <c r="M910" s="1694"/>
      <c r="N910" s="1612"/>
      <c r="O910" s="1555"/>
      <c r="P910" s="1555"/>
      <c r="Q910" s="1555"/>
      <c r="R910" s="1555"/>
      <c r="S910" s="1555"/>
      <c r="T910" s="1555"/>
      <c r="U910" s="1555"/>
      <c r="V910" s="1555"/>
      <c r="W910" s="1555"/>
      <c r="X910" s="1555"/>
      <c r="Y910" s="1555"/>
      <c r="Z910" s="1555"/>
      <c r="AA910" s="1555"/>
      <c r="AB910" s="1555"/>
      <c r="AC910" s="1555"/>
      <c r="AD910" s="1555"/>
      <c r="AE910" s="1555"/>
      <c r="AF910" s="1555"/>
      <c r="AG910" s="1555"/>
      <c r="AH910" s="1555"/>
      <c r="AI910" s="1555"/>
      <c r="AJ910" s="1555"/>
      <c r="AK910" s="1555"/>
    </row>
    <row r="911" spans="1:37" s="1373" customFormat="1" hidden="1">
      <c r="A911" s="1371"/>
      <c r="B911" s="1371"/>
      <c r="C911" s="1517"/>
      <c r="D911" s="1518"/>
      <c r="E911" s="1881"/>
      <c r="F911" s="1518"/>
      <c r="G911" s="1518"/>
      <c r="H911" s="204"/>
      <c r="I911" s="205"/>
      <c r="J911" s="1625"/>
      <c r="K911" s="1626"/>
      <c r="L911" s="1626"/>
      <c r="M911" s="1626"/>
      <c r="N911" s="1694"/>
      <c r="O911" s="1555"/>
      <c r="P911" s="1555"/>
      <c r="Q911" s="1555"/>
      <c r="R911" s="1555"/>
      <c r="S911" s="1555"/>
      <c r="T911" s="1555"/>
      <c r="U911" s="1555"/>
      <c r="V911" s="1555"/>
      <c r="W911" s="1555"/>
      <c r="X911" s="1555"/>
      <c r="Y911" s="1555"/>
      <c r="Z911" s="1555"/>
      <c r="AA911" s="1555"/>
      <c r="AB911" s="1555"/>
      <c r="AC911" s="1555"/>
      <c r="AD911" s="1555"/>
      <c r="AE911" s="1555"/>
      <c r="AF911" s="1555"/>
      <c r="AG911" s="1555"/>
      <c r="AH911" s="1555"/>
      <c r="AI911" s="1555"/>
      <c r="AJ911" s="1555"/>
      <c r="AK911" s="1555"/>
    </row>
    <row r="912" spans="1:37" s="1373" customFormat="1">
      <c r="A912" s="1371"/>
      <c r="B912" s="1371"/>
      <c r="C912" s="2142" t="s">
        <v>1065</v>
      </c>
      <c r="D912" s="2143"/>
      <c r="E912" s="2143"/>
      <c r="F912" s="2143"/>
      <c r="G912" s="2143"/>
      <c r="H912" s="2143"/>
      <c r="I912" s="2144"/>
      <c r="J912" s="1623"/>
      <c r="K912" s="1624"/>
      <c r="L912" s="1624"/>
      <c r="M912" s="1624"/>
      <c r="N912" s="1694"/>
      <c r="O912" s="1555"/>
      <c r="P912" s="1555"/>
      <c r="Q912" s="1555"/>
      <c r="R912" s="1555"/>
      <c r="S912" s="1555"/>
      <c r="T912" s="1555"/>
      <c r="U912" s="1555"/>
      <c r="V912" s="1555"/>
      <c r="W912" s="1555"/>
      <c r="X912" s="1555"/>
      <c r="Y912" s="1555"/>
      <c r="Z912" s="1555"/>
      <c r="AA912" s="1555"/>
      <c r="AB912" s="1555"/>
      <c r="AC912" s="1555"/>
      <c r="AD912" s="1555"/>
      <c r="AE912" s="1555"/>
      <c r="AF912" s="1555"/>
      <c r="AG912" s="1555"/>
      <c r="AH912" s="1555"/>
      <c r="AI912" s="1555"/>
      <c r="AJ912" s="1555"/>
      <c r="AK912" s="1555"/>
    </row>
    <row r="913" spans="1:61" s="1375" customFormat="1">
      <c r="A913" s="1371"/>
      <c r="B913" s="1371"/>
      <c r="C913" s="2142" t="s">
        <v>1546</v>
      </c>
      <c r="D913" s="2143"/>
      <c r="E913" s="2143"/>
      <c r="F913" s="2143"/>
      <c r="G913" s="2143"/>
      <c r="H913" s="2143"/>
      <c r="I913" s="2144"/>
      <c r="J913" s="1634"/>
      <c r="K913" s="1635"/>
      <c r="L913" s="1635"/>
      <c r="M913" s="1635"/>
      <c r="N913" s="1635"/>
      <c r="O913" s="1608"/>
      <c r="P913" s="1608"/>
      <c r="Q913" s="1608"/>
      <c r="R913" s="1608"/>
      <c r="S913" s="1608"/>
      <c r="T913" s="1608"/>
      <c r="U913" s="1608"/>
      <c r="V913" s="1608"/>
      <c r="W913" s="1608"/>
      <c r="X913" s="1608"/>
      <c r="Y913" s="1608"/>
      <c r="Z913" s="1608"/>
      <c r="AA913" s="1608"/>
      <c r="AB913" s="1608"/>
      <c r="AC913" s="1608"/>
      <c r="AD913" s="1608"/>
      <c r="AE913" s="1608"/>
      <c r="AF913" s="1608"/>
      <c r="AG913" s="1608"/>
      <c r="AH913" s="1608"/>
      <c r="AI913" s="1608"/>
      <c r="AJ913" s="1608"/>
      <c r="AK913" s="1608"/>
      <c r="AL913" s="1425"/>
      <c r="AM913" s="1425"/>
      <c r="AN913" s="1425"/>
      <c r="AO913" s="1425"/>
      <c r="AP913" s="1425"/>
      <c r="AQ913" s="1425"/>
      <c r="AR913" s="1425"/>
      <c r="AS913" s="1425"/>
      <c r="AT913" s="1425"/>
      <c r="AU913" s="1425"/>
      <c r="AV913" s="1425"/>
      <c r="AW913" s="1425"/>
      <c r="AX913" s="1425"/>
      <c r="AY913" s="1425"/>
      <c r="AZ913" s="1425"/>
      <c r="BA913" s="1425"/>
      <c r="BB913" s="1425"/>
      <c r="BC913" s="1425"/>
      <c r="BD913" s="1425"/>
      <c r="BE913" s="1425"/>
      <c r="BF913" s="1425"/>
      <c r="BG913" s="1425"/>
      <c r="BH913" s="1425"/>
      <c r="BI913" s="1425"/>
    </row>
    <row r="914" spans="1:61">
      <c r="C914" s="1847" t="s">
        <v>1512</v>
      </c>
      <c r="D914" s="2068"/>
      <c r="E914" s="2068"/>
      <c r="F914" s="2068"/>
      <c r="G914" s="2068"/>
      <c r="H914" s="92"/>
      <c r="I914" s="99"/>
      <c r="J914" s="1625"/>
      <c r="K914" s="1626"/>
      <c r="L914" s="1626"/>
      <c r="M914" s="1626"/>
      <c r="N914" s="1626"/>
    </row>
    <row r="915" spans="1:61">
      <c r="C915" s="2136" t="s">
        <v>3553</v>
      </c>
      <c r="D915" s="2137"/>
      <c r="E915" s="2137"/>
      <c r="F915" s="2137"/>
      <c r="G915" s="2137"/>
      <c r="H915" s="2137"/>
      <c r="I915" s="2138"/>
      <c r="J915" s="1694"/>
      <c r="K915" s="1694"/>
      <c r="L915" s="1694"/>
      <c r="M915" s="1694"/>
      <c r="N915" s="1626"/>
    </row>
    <row r="916" spans="1:61">
      <c r="C916" s="2136"/>
      <c r="D916" s="2137"/>
      <c r="E916" s="2137"/>
      <c r="F916" s="2137"/>
      <c r="G916" s="2137"/>
      <c r="H916" s="2137"/>
      <c r="I916" s="2138"/>
      <c r="J916" s="1694"/>
      <c r="K916" s="1694"/>
      <c r="L916" s="1694"/>
      <c r="M916" s="1694"/>
      <c r="N916" s="1694"/>
    </row>
    <row r="917" spans="1:61" ht="19.5" customHeight="1">
      <c r="C917" s="2136"/>
      <c r="D917" s="2137"/>
      <c r="E917" s="2137"/>
      <c r="F917" s="2137"/>
      <c r="G917" s="2137"/>
      <c r="H917" s="2137"/>
      <c r="I917" s="2138"/>
      <c r="J917" s="1694"/>
      <c r="K917" s="1694"/>
      <c r="L917" s="1694"/>
      <c r="M917" s="1694"/>
      <c r="N917" s="1694"/>
    </row>
    <row r="918" spans="1:61">
      <c r="C918" s="2006"/>
      <c r="D918" s="2020"/>
      <c r="E918" s="2020"/>
      <c r="F918" s="2020"/>
      <c r="G918" s="2020"/>
      <c r="H918" s="2020"/>
      <c r="I918" s="2007"/>
      <c r="J918" s="1694"/>
      <c r="K918" s="1694"/>
      <c r="L918" s="1694"/>
      <c r="M918" s="1694"/>
      <c r="N918" s="1694"/>
    </row>
    <row r="919" spans="1:61">
      <c r="C919" s="1847" t="s">
        <v>1513</v>
      </c>
      <c r="D919" s="2020"/>
      <c r="E919" s="2020"/>
      <c r="F919" s="2020"/>
      <c r="G919" s="2020"/>
      <c r="H919" s="1862"/>
      <c r="I919" s="1882"/>
      <c r="J919" s="1625"/>
      <c r="K919" s="1625"/>
      <c r="L919" s="1625"/>
      <c r="M919" s="1625"/>
      <c r="N919" s="1694"/>
    </row>
    <row r="920" spans="1:61" ht="22.5" customHeight="1">
      <c r="C920" s="2136" t="s">
        <v>3513</v>
      </c>
      <c r="D920" s="2137"/>
      <c r="E920" s="2137"/>
      <c r="F920" s="2137"/>
      <c r="G920" s="2137"/>
      <c r="H920" s="2137"/>
      <c r="I920" s="2138"/>
      <c r="J920" s="1694"/>
      <c r="K920" s="1694"/>
      <c r="L920" s="1694"/>
      <c r="M920" s="1694"/>
      <c r="N920" s="1694"/>
    </row>
    <row r="921" spans="1:61">
      <c r="C921" s="2006"/>
      <c r="D921" s="2020"/>
      <c r="E921" s="2020"/>
      <c r="F921" s="2020"/>
      <c r="G921" s="2020"/>
      <c r="H921" s="1862"/>
      <c r="I921" s="1882"/>
      <c r="J921" s="1625"/>
      <c r="K921" s="1625"/>
      <c r="L921" s="1625"/>
      <c r="M921" s="1625"/>
      <c r="N921" s="1694"/>
    </row>
    <row r="922" spans="1:61">
      <c r="C922" s="1847" t="s">
        <v>3510</v>
      </c>
      <c r="D922" s="2020"/>
      <c r="E922" s="2020"/>
      <c r="F922" s="2020"/>
      <c r="G922" s="2020"/>
      <c r="H922" s="1862"/>
      <c r="I922" s="1882"/>
      <c r="J922" s="1625"/>
      <c r="K922" s="1625"/>
      <c r="L922" s="1625"/>
      <c r="M922" s="1625"/>
      <c r="N922" s="1694"/>
    </row>
    <row r="923" spans="1:61">
      <c r="C923" s="2006"/>
      <c r="D923" s="2020"/>
      <c r="E923" s="2020"/>
      <c r="F923" s="2020"/>
      <c r="G923" s="2020"/>
      <c r="H923" s="1862"/>
      <c r="I923" s="1882"/>
      <c r="J923" s="1625"/>
      <c r="K923" s="1625"/>
      <c r="L923" s="1625"/>
      <c r="M923" s="1625"/>
      <c r="N923" s="1694"/>
    </row>
    <row r="924" spans="1:61" ht="36.75" customHeight="1">
      <c r="C924" s="2049" t="s">
        <v>9</v>
      </c>
      <c r="D924" s="2048" t="s">
        <v>2366</v>
      </c>
      <c r="E924" s="2049" t="s">
        <v>2367</v>
      </c>
      <c r="F924" s="2048" t="s">
        <v>3474</v>
      </c>
      <c r="G924" s="2049" t="s">
        <v>3475</v>
      </c>
      <c r="H924" s="2050" t="s">
        <v>3471</v>
      </c>
      <c r="I924" s="2079" t="s">
        <v>3476</v>
      </c>
      <c r="J924" s="1625"/>
      <c r="K924" s="1625"/>
      <c r="L924" s="1625"/>
      <c r="M924" s="1625"/>
      <c r="N924" s="1694"/>
    </row>
    <row r="925" spans="1:61" ht="37.5">
      <c r="C925" s="1898" t="s">
        <v>3477</v>
      </c>
      <c r="D925" s="2020" t="s">
        <v>3478</v>
      </c>
      <c r="E925" s="1898" t="s">
        <v>2249</v>
      </c>
      <c r="F925" s="2051">
        <v>1.5774426388801153</v>
      </c>
      <c r="G925" s="1899">
        <v>1.8453072226284841</v>
      </c>
      <c r="H925" s="1897">
        <v>-0.14515988474093675</v>
      </c>
      <c r="I925" s="2080" t="s">
        <v>1278</v>
      </c>
      <c r="J925" s="1625"/>
      <c r="K925" s="1625"/>
      <c r="L925" s="1625"/>
      <c r="M925" s="1625"/>
      <c r="N925" s="1694"/>
    </row>
    <row r="926" spans="1:61">
      <c r="C926" s="1898"/>
      <c r="D926" s="2020"/>
      <c r="E926" s="1898"/>
      <c r="F926" s="2051"/>
      <c r="G926" s="1899"/>
      <c r="H926" s="1897"/>
      <c r="I926" s="2080"/>
      <c r="J926" s="1625"/>
      <c r="K926" s="1625"/>
      <c r="L926" s="1625"/>
      <c r="M926" s="1625"/>
      <c r="N926" s="1694"/>
    </row>
    <row r="927" spans="1:61" ht="37.5">
      <c r="C927" s="1898" t="s">
        <v>3479</v>
      </c>
      <c r="D927" s="2020" t="s">
        <v>2263</v>
      </c>
      <c r="E927" s="1898" t="s">
        <v>2385</v>
      </c>
      <c r="F927" s="2051">
        <v>0.86335344873291631</v>
      </c>
      <c r="G927" s="1899">
        <v>0.736473724137931</v>
      </c>
      <c r="H927" s="1897">
        <v>0.17228004263628358</v>
      </c>
      <c r="I927" s="2080" t="s">
        <v>1278</v>
      </c>
      <c r="J927" s="1625"/>
      <c r="K927" s="1625"/>
      <c r="L927" s="1625"/>
      <c r="M927" s="1625"/>
      <c r="N927" s="1694"/>
    </row>
    <row r="928" spans="1:61">
      <c r="C928" s="1898"/>
      <c r="D928" s="2020"/>
      <c r="E928" s="1898"/>
      <c r="F928" s="2051"/>
      <c r="G928" s="1899"/>
      <c r="H928" s="1897"/>
      <c r="I928" s="2080"/>
      <c r="J928" s="1625"/>
      <c r="K928" s="1625"/>
      <c r="L928" s="1625"/>
      <c r="M928" s="1625"/>
      <c r="N928" s="1694"/>
    </row>
    <row r="929" spans="3:14" ht="150.75" customHeight="1">
      <c r="C929" s="1898" t="s">
        <v>3480</v>
      </c>
      <c r="D929" s="2020" t="s">
        <v>3481</v>
      </c>
      <c r="E929" s="1898" t="s">
        <v>3473</v>
      </c>
      <c r="F929" s="2051">
        <v>2.5070183275179998</v>
      </c>
      <c r="G929" s="1899">
        <v>9.1606635058837806</v>
      </c>
      <c r="H929" s="1897">
        <v>-0.72632786632673796</v>
      </c>
      <c r="I929" s="109" t="s">
        <v>3502</v>
      </c>
      <c r="J929" s="1625"/>
      <c r="K929" s="1625"/>
      <c r="L929" s="1625"/>
      <c r="M929" s="1625"/>
      <c r="N929" s="1694"/>
    </row>
    <row r="930" spans="3:14">
      <c r="C930" s="1898"/>
      <c r="D930" s="2020"/>
      <c r="E930" s="1898"/>
      <c r="F930" s="2051"/>
      <c r="G930" s="1899"/>
      <c r="H930" s="1897"/>
      <c r="I930" s="109"/>
      <c r="J930" s="1625"/>
      <c r="K930" s="1625"/>
      <c r="L930" s="1625"/>
      <c r="M930" s="1625"/>
      <c r="N930" s="1694"/>
    </row>
    <row r="931" spans="3:14" ht="152.25" customHeight="1">
      <c r="C931" s="1898" t="s">
        <v>3482</v>
      </c>
      <c r="D931" s="2020" t="s">
        <v>3483</v>
      </c>
      <c r="E931" s="1898" t="s">
        <v>3484</v>
      </c>
      <c r="F931" s="1901">
        <v>1.4127997271611896E-2</v>
      </c>
      <c r="G931" s="1900">
        <v>0.13676852994960378</v>
      </c>
      <c r="H931" s="1897">
        <v>-0.89670140289715949</v>
      </c>
      <c r="I931" s="109" t="s">
        <v>3503</v>
      </c>
      <c r="J931" s="1625"/>
      <c r="K931" s="1625"/>
      <c r="L931" s="1625"/>
      <c r="M931" s="1625"/>
      <c r="N931" s="1694"/>
    </row>
    <row r="932" spans="3:14">
      <c r="C932" s="1898"/>
      <c r="D932" s="2020"/>
      <c r="E932" s="1898"/>
      <c r="F932" s="2051"/>
      <c r="G932" s="1899"/>
      <c r="H932" s="1897"/>
      <c r="I932" s="109"/>
      <c r="J932" s="1625"/>
      <c r="K932" s="1625"/>
      <c r="L932" s="1625"/>
      <c r="M932" s="1625"/>
      <c r="N932" s="1694"/>
    </row>
    <row r="933" spans="3:14" ht="113.25" customHeight="1">
      <c r="C933" s="1898" t="s">
        <v>3485</v>
      </c>
      <c r="D933" s="2020" t="s">
        <v>3486</v>
      </c>
      <c r="E933" s="1898" t="s">
        <v>2400</v>
      </c>
      <c r="F933" s="2051">
        <v>26.483116961073108</v>
      </c>
      <c r="G933" s="1899">
        <v>12.45575986177505</v>
      </c>
      <c r="H933" s="1897">
        <v>1.1261743366092032</v>
      </c>
      <c r="I933" s="109" t="s">
        <v>3504</v>
      </c>
      <c r="J933" s="1625"/>
      <c r="K933" s="1625"/>
      <c r="L933" s="1625"/>
      <c r="M933" s="1625"/>
      <c r="N933" s="1694"/>
    </row>
    <row r="934" spans="3:14">
      <c r="C934" s="1898"/>
      <c r="D934" s="2020"/>
      <c r="E934" s="1898"/>
      <c r="F934" s="2051"/>
      <c r="G934" s="1899"/>
      <c r="H934" s="1897"/>
      <c r="I934" s="109"/>
      <c r="J934" s="1625"/>
      <c r="K934" s="1625"/>
      <c r="L934" s="1625"/>
      <c r="M934" s="1625"/>
      <c r="N934" s="1694"/>
    </row>
    <row r="935" spans="3:14" ht="38.25" customHeight="1">
      <c r="C935" s="1898" t="s">
        <v>3488</v>
      </c>
      <c r="D935" s="2020" t="s">
        <v>3489</v>
      </c>
      <c r="E935" s="1898" t="s">
        <v>3487</v>
      </c>
      <c r="F935" s="2051">
        <v>6.9746814306236669</v>
      </c>
      <c r="G935" s="1899">
        <v>6.5419937463017845</v>
      </c>
      <c r="H935" s="1897">
        <v>6.6140033314229685E-2</v>
      </c>
      <c r="I935" s="2080" t="s">
        <v>1278</v>
      </c>
      <c r="J935" s="1625"/>
      <c r="K935" s="1625"/>
      <c r="L935" s="1625"/>
      <c r="M935" s="1625"/>
      <c r="N935" s="1694"/>
    </row>
    <row r="936" spans="3:14">
      <c r="C936" s="1898"/>
      <c r="D936" s="2020"/>
      <c r="E936" s="1898"/>
      <c r="F936" s="2051"/>
      <c r="G936" s="1899"/>
      <c r="H936" s="1897"/>
      <c r="I936" s="109"/>
      <c r="J936" s="1625"/>
      <c r="K936" s="1625"/>
      <c r="L936" s="1625"/>
      <c r="M936" s="1625"/>
      <c r="N936" s="1694"/>
    </row>
    <row r="937" spans="3:14" ht="93.75">
      <c r="C937" s="1898" t="s">
        <v>3490</v>
      </c>
      <c r="D937" s="2020" t="s">
        <v>3491</v>
      </c>
      <c r="E937" s="1898" t="s">
        <v>3492</v>
      </c>
      <c r="F937" s="2051">
        <v>10.162283695540484</v>
      </c>
      <c r="G937" s="1899">
        <v>7.9046511043994281</v>
      </c>
      <c r="H937" s="1897">
        <v>0.28560812632002741</v>
      </c>
      <c r="I937" s="109" t="s">
        <v>3505</v>
      </c>
      <c r="J937" s="1625"/>
      <c r="K937" s="1625"/>
      <c r="L937" s="1625"/>
      <c r="M937" s="1625"/>
      <c r="N937" s="1694"/>
    </row>
    <row r="938" spans="3:14">
      <c r="C938" s="1898"/>
      <c r="D938" s="2020"/>
      <c r="E938" s="1898"/>
      <c r="F938" s="2051"/>
      <c r="G938" s="1899"/>
      <c r="H938" s="1897"/>
      <c r="I938" s="109"/>
      <c r="J938" s="1625"/>
      <c r="K938" s="1625"/>
      <c r="L938" s="1625"/>
      <c r="M938" s="1625"/>
      <c r="N938" s="1694"/>
    </row>
    <row r="939" spans="3:14" ht="114" customHeight="1">
      <c r="C939" s="1898" t="s">
        <v>3493</v>
      </c>
      <c r="D939" s="2020" t="s">
        <v>3494</v>
      </c>
      <c r="E939" s="1898" t="s">
        <v>3495</v>
      </c>
      <c r="F939" s="2051">
        <v>13.187172654061897</v>
      </c>
      <c r="G939" s="1899">
        <v>7.6504938905446949</v>
      </c>
      <c r="H939" s="1897">
        <v>0.72370213514712123</v>
      </c>
      <c r="I939" s="109" t="s">
        <v>3507</v>
      </c>
      <c r="J939" s="1625"/>
      <c r="K939" s="1625"/>
      <c r="L939" s="1625"/>
      <c r="M939" s="1625"/>
      <c r="N939" s="1694"/>
    </row>
    <row r="940" spans="3:14">
      <c r="C940" s="1898"/>
      <c r="D940" s="2020"/>
      <c r="E940" s="1898"/>
      <c r="F940" s="2051"/>
      <c r="G940" s="1899"/>
      <c r="H940" s="1897"/>
      <c r="I940" s="109"/>
      <c r="J940" s="1625"/>
      <c r="K940" s="1625"/>
      <c r="L940" s="1625"/>
      <c r="M940" s="1625"/>
      <c r="N940" s="1694"/>
    </row>
    <row r="941" spans="3:14" ht="114.75" customHeight="1">
      <c r="C941" s="1898" t="s">
        <v>3496</v>
      </c>
      <c r="D941" s="2020" t="s">
        <v>3497</v>
      </c>
      <c r="E941" s="1898" t="s">
        <v>2415</v>
      </c>
      <c r="F941" s="1901">
        <v>3.4032168903900557E-3</v>
      </c>
      <c r="G941" s="1900">
        <v>4.1808962697180027E-2</v>
      </c>
      <c r="H941" s="1897">
        <v>-0.91860078148698965</v>
      </c>
      <c r="I941" s="109" t="s">
        <v>3506</v>
      </c>
      <c r="J941" s="1625"/>
      <c r="K941" s="1625"/>
      <c r="L941" s="1625"/>
      <c r="M941" s="1625"/>
      <c r="N941" s="1694"/>
    </row>
    <row r="942" spans="3:14">
      <c r="C942" s="1898"/>
      <c r="D942" s="2020"/>
      <c r="E942" s="1898"/>
      <c r="F942" s="2051"/>
      <c r="G942" s="1899"/>
      <c r="H942" s="1897"/>
      <c r="I942" s="109"/>
      <c r="J942" s="1625"/>
      <c r="K942" s="1625"/>
      <c r="L942" s="1625"/>
      <c r="M942" s="1625"/>
      <c r="N942" s="1694"/>
    </row>
    <row r="943" spans="3:14" ht="153" customHeight="1">
      <c r="C943" s="1898" t="s">
        <v>2422</v>
      </c>
      <c r="D943" s="2020" t="s">
        <v>3498</v>
      </c>
      <c r="E943" s="1898" t="s">
        <v>3508</v>
      </c>
      <c r="F943" s="1901">
        <v>3.2152073360016874E-2</v>
      </c>
      <c r="G943" s="1900">
        <v>0.17086983656816213</v>
      </c>
      <c r="H943" s="1902">
        <v>-0.81183294836715658</v>
      </c>
      <c r="I943" s="109" t="s">
        <v>3509</v>
      </c>
      <c r="J943" s="1625"/>
      <c r="K943" s="1625"/>
      <c r="L943" s="1625"/>
      <c r="M943" s="1625"/>
      <c r="N943" s="1694"/>
    </row>
    <row r="944" spans="3:14">
      <c r="C944" s="2006"/>
      <c r="D944" s="2020"/>
      <c r="E944" s="2020"/>
      <c r="F944" s="2020"/>
      <c r="G944" s="2020"/>
      <c r="H944" s="1862"/>
      <c r="I944" s="1882"/>
      <c r="J944" s="1625"/>
      <c r="K944" s="1625"/>
      <c r="L944" s="1625"/>
      <c r="M944" s="1625"/>
      <c r="N944" s="1694"/>
    </row>
    <row r="945" spans="3:14">
      <c r="C945" s="1847" t="s">
        <v>3511</v>
      </c>
      <c r="D945" s="1856"/>
      <c r="E945" s="1856"/>
      <c r="F945" s="1423"/>
      <c r="G945" s="1423" t="s">
        <v>1126</v>
      </c>
      <c r="H945" s="48"/>
      <c r="I945" s="142"/>
      <c r="J945" s="1566"/>
      <c r="K945" s="1554"/>
      <c r="L945" s="1554"/>
      <c r="M945" s="1554"/>
      <c r="N945" s="1554"/>
    </row>
    <row r="946" spans="3:14">
      <c r="C946" s="1519" t="s">
        <v>1514</v>
      </c>
      <c r="D946" s="1856"/>
      <c r="E946" s="1856"/>
      <c r="F946" s="1423"/>
      <c r="G946" s="1423"/>
      <c r="H946" s="48"/>
      <c r="I946" s="142"/>
      <c r="J946" s="1638"/>
      <c r="K946" s="1704"/>
      <c r="L946" s="1704"/>
      <c r="M946" s="1704"/>
      <c r="N946" s="1554"/>
    </row>
    <row r="947" spans="3:14" ht="56.25">
      <c r="C947" s="2127" t="s">
        <v>402</v>
      </c>
      <c r="D947" s="2128"/>
      <c r="E947" s="2086" t="s">
        <v>1515</v>
      </c>
      <c r="F947" s="2021" t="s">
        <v>1516</v>
      </c>
      <c r="G947" s="2087" t="s">
        <v>1515</v>
      </c>
      <c r="H947" s="2021" t="s">
        <v>1516</v>
      </c>
      <c r="I947" s="40"/>
      <c r="J947" s="1705"/>
      <c r="K947" s="1706"/>
      <c r="L947" s="1706"/>
      <c r="M947" s="1706"/>
      <c r="N947" s="1704"/>
    </row>
    <row r="948" spans="3:14">
      <c r="C948" s="2129"/>
      <c r="D948" s="2130"/>
      <c r="E948" s="2088" t="s">
        <v>1517</v>
      </c>
      <c r="F948" s="2089" t="s">
        <v>1626</v>
      </c>
      <c r="G948" s="2088" t="s">
        <v>1517</v>
      </c>
      <c r="H948" s="2089" t="s">
        <v>1257</v>
      </c>
      <c r="I948" s="40"/>
      <c r="J948" s="1566"/>
      <c r="K948" s="1554"/>
      <c r="L948" s="1554"/>
      <c r="M948" s="1554"/>
      <c r="N948" s="1707"/>
    </row>
    <row r="949" spans="3:14">
      <c r="C949" s="1401" t="s">
        <v>1518</v>
      </c>
      <c r="D949" s="1388"/>
      <c r="E949" s="206">
        <v>0</v>
      </c>
      <c r="F949" s="22">
        <v>0</v>
      </c>
      <c r="G949" s="206">
        <v>0</v>
      </c>
      <c r="H949" s="22">
        <v>0</v>
      </c>
      <c r="I949" s="40"/>
      <c r="J949" s="1566"/>
      <c r="K949" s="1554"/>
      <c r="L949" s="1554"/>
      <c r="M949" s="1554"/>
      <c r="N949" s="1554"/>
    </row>
    <row r="950" spans="3:14">
      <c r="C950" s="1401"/>
      <c r="D950" s="1388"/>
      <c r="E950" s="206" t="s">
        <v>1519</v>
      </c>
      <c r="F950" s="22" t="s">
        <v>1519</v>
      </c>
      <c r="G950" s="206" t="s">
        <v>1519</v>
      </c>
      <c r="H950" s="22" t="s">
        <v>1519</v>
      </c>
      <c r="I950" s="40"/>
      <c r="J950" s="1566"/>
      <c r="K950" s="1554"/>
      <c r="L950" s="1554"/>
      <c r="M950" s="1554"/>
      <c r="N950" s="1554"/>
    </row>
    <row r="951" spans="3:14">
      <c r="C951" s="1401" t="s">
        <v>1520</v>
      </c>
      <c r="D951" s="1388"/>
      <c r="E951" s="206">
        <v>0</v>
      </c>
      <c r="F951" s="22">
        <v>0</v>
      </c>
      <c r="G951" s="206">
        <v>0</v>
      </c>
      <c r="H951" s="22">
        <v>0</v>
      </c>
      <c r="I951" s="40"/>
      <c r="J951" s="1566"/>
      <c r="K951" s="1554"/>
      <c r="L951" s="1554"/>
      <c r="M951" s="1554"/>
      <c r="N951" s="1554"/>
    </row>
    <row r="952" spans="3:14">
      <c r="C952" s="1970"/>
      <c r="D952" s="1971"/>
      <c r="E952" s="207" t="s">
        <v>1519</v>
      </c>
      <c r="F952" s="118" t="s">
        <v>1519</v>
      </c>
      <c r="G952" s="207" t="s">
        <v>1519</v>
      </c>
      <c r="H952" s="118" t="s">
        <v>1519</v>
      </c>
      <c r="I952" s="40"/>
      <c r="J952" s="1708"/>
      <c r="K952" s="1709"/>
      <c r="L952" s="1709"/>
      <c r="M952" s="1709"/>
      <c r="N952" s="1710"/>
    </row>
    <row r="953" spans="3:14">
      <c r="C953" s="2081"/>
      <c r="D953" s="2082"/>
      <c r="E953" s="2082"/>
      <c r="F953" s="2082"/>
      <c r="G953" s="2082"/>
      <c r="H953" s="2083"/>
      <c r="I953" s="2084"/>
      <c r="J953" s="1566"/>
      <c r="K953" s="1554"/>
      <c r="L953" s="1554"/>
      <c r="M953" s="1554"/>
      <c r="N953" s="1710"/>
    </row>
    <row r="954" spans="3:14">
      <c r="C954" s="2057" t="s">
        <v>3512</v>
      </c>
      <c r="D954" s="1871"/>
      <c r="E954" s="1871"/>
      <c r="F954" s="2022"/>
      <c r="G954" s="2022"/>
      <c r="H954" s="2023"/>
      <c r="I954" s="2058"/>
      <c r="J954" s="1689"/>
      <c r="K954" s="1690"/>
      <c r="L954" s="1690"/>
      <c r="M954" s="1690"/>
      <c r="N954" s="1554"/>
    </row>
    <row r="955" spans="3:14">
      <c r="C955" s="1495" t="s">
        <v>1521</v>
      </c>
      <c r="D955" s="2059"/>
      <c r="E955" s="2059"/>
      <c r="F955" s="2059"/>
      <c r="G955" s="2059"/>
      <c r="H955" s="208"/>
      <c r="I955" s="209"/>
      <c r="J955" s="1563"/>
      <c r="K955" s="1564"/>
      <c r="L955" s="1564"/>
      <c r="M955" s="1564"/>
      <c r="N955" s="1711"/>
    </row>
    <row r="956" spans="3:14">
      <c r="C956" s="1390"/>
      <c r="D956" s="1856"/>
      <c r="E956" s="1856"/>
      <c r="F956" s="1394"/>
      <c r="G956" s="1394"/>
      <c r="H956" s="36"/>
      <c r="I956" s="37"/>
      <c r="J956" s="1566"/>
      <c r="K956" s="1554"/>
      <c r="L956" s="1554"/>
      <c r="M956" s="1554"/>
      <c r="N956" s="1564"/>
    </row>
    <row r="957" spans="3:14">
      <c r="C957" s="1395" t="s">
        <v>1106</v>
      </c>
      <c r="D957" s="1396"/>
      <c r="E957" s="1396"/>
      <c r="F957" s="1397" t="s">
        <v>1107</v>
      </c>
      <c r="G957" s="1397"/>
      <c r="H957" s="1850"/>
      <c r="I957" s="142"/>
      <c r="J957" s="1566"/>
      <c r="K957" s="1554"/>
      <c r="L957" s="1554"/>
      <c r="M957" s="1554"/>
      <c r="N957" s="1564"/>
    </row>
    <row r="958" spans="3:14">
      <c r="C958" s="1395"/>
      <c r="D958" s="1396"/>
      <c r="E958" s="1396"/>
      <c r="F958" s="1397"/>
      <c r="G958" s="1397"/>
      <c r="H958" s="1850"/>
      <c r="I958" s="142"/>
      <c r="J958" s="1566"/>
      <c r="K958" s="1554"/>
      <c r="L958" s="1554"/>
      <c r="M958" s="1554"/>
      <c r="N958" s="1554"/>
    </row>
    <row r="959" spans="3:14">
      <c r="C959" s="1398" t="s">
        <v>1108</v>
      </c>
      <c r="D959" s="1856"/>
      <c r="E959" s="1856"/>
      <c r="F959" s="1423" t="str">
        <f>+G52</f>
        <v>ANIL KUMAR LAKHOTIYA - MANAGING  DIRECTOR</v>
      </c>
      <c r="G959" s="1397"/>
      <c r="H959" s="1850"/>
      <c r="I959" s="142"/>
      <c r="J959" s="1566"/>
      <c r="K959" s="1554"/>
      <c r="L959" s="1554"/>
      <c r="M959" s="1554"/>
      <c r="N959" s="1554"/>
    </row>
    <row r="960" spans="3:14">
      <c r="C960" s="1398" t="s">
        <v>1110</v>
      </c>
      <c r="D960" s="1399"/>
      <c r="E960" s="1399"/>
      <c r="F960" s="1397" t="str">
        <f>+G53</f>
        <v>(DIN:00367361)</v>
      </c>
      <c r="G960" s="1397"/>
      <c r="H960" s="1850"/>
      <c r="I960" s="142"/>
      <c r="J960" s="1566"/>
      <c r="K960" s="1554"/>
      <c r="L960" s="1554"/>
      <c r="M960" s="1554"/>
      <c r="N960" s="1554"/>
    </row>
    <row r="961" spans="1:37">
      <c r="C961" s="1398" t="s">
        <v>1112</v>
      </c>
      <c r="D961" s="1399"/>
      <c r="E961" s="1399"/>
      <c r="F961" s="1397"/>
      <c r="G961" s="1397"/>
      <c r="H961" s="1850"/>
      <c r="I961" s="142"/>
      <c r="J961" s="1566"/>
      <c r="K961" s="1554"/>
      <c r="L961" s="1554"/>
      <c r="M961" s="1554"/>
      <c r="N961" s="1554"/>
    </row>
    <row r="962" spans="1:37">
      <c r="C962" s="1398"/>
      <c r="D962" s="1856"/>
      <c r="E962" s="1856"/>
      <c r="F962" s="1400"/>
      <c r="G962" s="1400"/>
      <c r="H962" s="42"/>
      <c r="I962" s="142"/>
      <c r="J962" s="1566"/>
      <c r="K962" s="1554"/>
      <c r="L962" s="1554"/>
      <c r="M962" s="1554"/>
      <c r="N962" s="1554"/>
    </row>
    <row r="963" spans="1:37">
      <c r="C963" s="75"/>
      <c r="D963" s="1399"/>
      <c r="E963" s="1399"/>
      <c r="F963" s="1397"/>
      <c r="G963" s="1856"/>
      <c r="H963" s="1850"/>
      <c r="I963" s="142"/>
      <c r="J963" s="1566"/>
      <c r="K963" s="1554"/>
      <c r="L963" s="1554"/>
      <c r="M963" s="1554"/>
      <c r="N963" s="1554"/>
    </row>
    <row r="964" spans="1:37">
      <c r="C964" s="75"/>
      <c r="D964" s="1399"/>
      <c r="E964" s="1399"/>
      <c r="F964" s="1423" t="str">
        <f>+G57</f>
        <v>KAILASH AGARWAL - WHOLE TIME DIRECTOR</v>
      </c>
      <c r="G964" s="1856"/>
      <c r="H964" s="1850"/>
      <c r="I964" s="142"/>
      <c r="J964" s="1566"/>
      <c r="K964" s="1554"/>
      <c r="L964" s="1554"/>
      <c r="M964" s="1554"/>
      <c r="N964" s="1554"/>
    </row>
    <row r="965" spans="1:37" s="1373" customFormat="1">
      <c r="A965" s="1371"/>
      <c r="B965" s="1371"/>
      <c r="C965" s="1398" t="s">
        <v>1113</v>
      </c>
      <c r="D965" s="1399"/>
      <c r="E965" s="1399"/>
      <c r="F965" s="1397" t="str">
        <f>+G58</f>
        <v>(DIN:00367292)</v>
      </c>
      <c r="G965" s="1856"/>
      <c r="H965" s="1850"/>
      <c r="I965" s="142"/>
      <c r="J965" s="1566"/>
      <c r="K965" s="1554"/>
      <c r="L965" s="1554"/>
      <c r="M965" s="1554"/>
      <c r="N965" s="1554"/>
      <c r="O965" s="1555"/>
      <c r="P965" s="1555"/>
      <c r="Q965" s="1555"/>
      <c r="R965" s="1555"/>
      <c r="S965" s="1555"/>
      <c r="T965" s="1555"/>
      <c r="U965" s="1555"/>
      <c r="V965" s="1555"/>
      <c r="W965" s="1555"/>
      <c r="X965" s="1555"/>
      <c r="Y965" s="1555"/>
      <c r="Z965" s="1555"/>
      <c r="AA965" s="1555"/>
      <c r="AB965" s="1555"/>
      <c r="AC965" s="1555"/>
      <c r="AD965" s="1555"/>
      <c r="AE965" s="1555"/>
      <c r="AF965" s="1555"/>
      <c r="AG965" s="1555"/>
      <c r="AH965" s="1555"/>
      <c r="AI965" s="1555"/>
      <c r="AJ965" s="1555"/>
      <c r="AK965" s="1555"/>
    </row>
    <row r="966" spans="1:37" s="1373" customFormat="1">
      <c r="A966" s="1371"/>
      <c r="B966" s="1371"/>
      <c r="C966" s="1398" t="s">
        <v>1114</v>
      </c>
      <c r="D966" s="1399"/>
      <c r="E966" s="1399"/>
      <c r="F966" s="1400"/>
      <c r="G966" s="1400"/>
      <c r="H966" s="42"/>
      <c r="I966" s="142"/>
      <c r="J966" s="1566"/>
      <c r="K966" s="1554"/>
      <c r="L966" s="1554"/>
      <c r="M966" s="1554"/>
      <c r="N966" s="1554"/>
      <c r="O966" s="1555"/>
      <c r="P966" s="1555"/>
      <c r="Q966" s="1555"/>
      <c r="R966" s="1555"/>
      <c r="S966" s="1555"/>
      <c r="T966" s="1555"/>
      <c r="U966" s="1555"/>
      <c r="V966" s="1555"/>
      <c r="W966" s="1555"/>
      <c r="X966" s="1555"/>
      <c r="Y966" s="1555"/>
      <c r="Z966" s="1555"/>
      <c r="AA966" s="1555"/>
      <c r="AB966" s="1555"/>
      <c r="AC966" s="1555"/>
      <c r="AD966" s="1555"/>
      <c r="AE966" s="1555"/>
      <c r="AF966" s="1555"/>
      <c r="AG966" s="1555"/>
      <c r="AH966" s="1555"/>
      <c r="AI966" s="1555"/>
      <c r="AJ966" s="1555"/>
      <c r="AK966" s="1555"/>
    </row>
    <row r="967" spans="1:37" s="1373" customFormat="1">
      <c r="A967" s="1371"/>
      <c r="B967" s="1371"/>
      <c r="C967" s="1398" t="s">
        <v>1116</v>
      </c>
      <c r="D967" s="1838"/>
      <c r="E967" s="1838"/>
      <c r="F967" s="1400"/>
      <c r="G967" s="1856"/>
      <c r="H967" s="1850"/>
      <c r="I967" s="142"/>
      <c r="J967" s="1566"/>
      <c r="K967" s="1554"/>
      <c r="L967" s="1554"/>
      <c r="M967" s="1554"/>
      <c r="N967" s="1554"/>
      <c r="O967" s="1555"/>
      <c r="P967" s="1555"/>
      <c r="Q967" s="1555"/>
      <c r="R967" s="1555"/>
      <c r="S967" s="1555"/>
      <c r="T967" s="1555"/>
      <c r="U967" s="1555"/>
      <c r="V967" s="1555"/>
      <c r="W967" s="1555"/>
      <c r="X967" s="1555"/>
      <c r="Y967" s="1555"/>
      <c r="Z967" s="1555"/>
      <c r="AA967" s="1555"/>
      <c r="AB967" s="1555"/>
      <c r="AC967" s="1555"/>
      <c r="AD967" s="1555"/>
      <c r="AE967" s="1555"/>
      <c r="AF967" s="1555"/>
      <c r="AG967" s="1555"/>
      <c r="AH967" s="1555"/>
      <c r="AI967" s="1555"/>
      <c r="AJ967" s="1555"/>
      <c r="AK967" s="1555"/>
    </row>
    <row r="968" spans="1:37" s="1373" customFormat="1">
      <c r="A968" s="1371"/>
      <c r="B968" s="1371"/>
      <c r="C968" s="1398" t="str">
        <f>+C206</f>
        <v>Place: Nagpur</v>
      </c>
      <c r="D968" s="1840"/>
      <c r="E968" s="1840"/>
      <c r="F968" s="1400"/>
      <c r="G968" s="1397"/>
      <c r="H968" s="1850"/>
      <c r="I968" s="142"/>
      <c r="J968" s="1566"/>
      <c r="K968" s="1554"/>
      <c r="L968" s="1554"/>
      <c r="M968" s="1554"/>
      <c r="N968" s="1554"/>
      <c r="O968" s="1555"/>
      <c r="P968" s="1555"/>
      <c r="Q968" s="1555"/>
      <c r="R968" s="1555"/>
      <c r="S968" s="1555"/>
      <c r="T968" s="1555"/>
      <c r="U968" s="1555"/>
      <c r="V968" s="1555"/>
      <c r="W968" s="1555"/>
      <c r="X968" s="1555"/>
      <c r="Y968" s="1555"/>
      <c r="Z968" s="1555"/>
      <c r="AA968" s="1555"/>
      <c r="AB968" s="1555"/>
      <c r="AC968" s="1555"/>
      <c r="AD968" s="1555"/>
      <c r="AE968" s="1555"/>
      <c r="AF968" s="1555"/>
      <c r="AG968" s="1555"/>
      <c r="AH968" s="1555"/>
      <c r="AI968" s="1555"/>
      <c r="AJ968" s="1555"/>
      <c r="AK968" s="1555"/>
    </row>
    <row r="969" spans="1:37" s="1373" customFormat="1">
      <c r="A969" s="1371"/>
      <c r="B969" s="1371"/>
      <c r="C969" s="1398" t="str">
        <f t="shared" ref="C969:C970" si="12">+C207</f>
        <v>Date: 27-05-2022</v>
      </c>
      <c r="D969" s="1840"/>
      <c r="E969" s="1840"/>
      <c r="F969" s="1423" t="str">
        <f>+G61</f>
        <v>JARNAIL SINGH SAINI - CHIEF FINANCIAL OFFICER &amp; EXECUTIVE DIRECTOR</v>
      </c>
      <c r="G969" s="1397"/>
      <c r="H969" s="1850"/>
      <c r="I969" s="142"/>
      <c r="J969" s="1566"/>
      <c r="K969" s="1554"/>
      <c r="L969" s="1554"/>
      <c r="M969" s="1554"/>
      <c r="N969" s="1554"/>
      <c r="O969" s="1555"/>
      <c r="P969" s="1555"/>
      <c r="Q969" s="1555"/>
      <c r="R969" s="1555"/>
      <c r="S969" s="1555"/>
      <c r="T969" s="1555"/>
      <c r="U969" s="1555"/>
      <c r="V969" s="1555"/>
      <c r="W969" s="1555"/>
      <c r="X969" s="1555"/>
      <c r="Y969" s="1555"/>
      <c r="Z969" s="1555"/>
      <c r="AA969" s="1555"/>
      <c r="AB969" s="1555"/>
      <c r="AC969" s="1555"/>
      <c r="AD969" s="1555"/>
      <c r="AE969" s="1555"/>
      <c r="AF969" s="1555"/>
      <c r="AG969" s="1555"/>
      <c r="AH969" s="1555"/>
      <c r="AI969" s="1555"/>
      <c r="AJ969" s="1555"/>
      <c r="AK969" s="1555"/>
    </row>
    <row r="970" spans="1:37" s="1373" customFormat="1">
      <c r="A970" s="1371"/>
      <c r="B970" s="1371"/>
      <c r="C970" s="1398" t="str">
        <f t="shared" si="12"/>
        <v>UDIN: 22144005AKUHQC3197</v>
      </c>
      <c r="D970" s="1840"/>
      <c r="E970" s="1840"/>
      <c r="F970" s="1397" t="str">
        <f>+G62</f>
        <v>(DIN:00367656)</v>
      </c>
      <c r="G970" s="1400"/>
      <c r="H970" s="42"/>
      <c r="I970" s="142"/>
      <c r="J970" s="1566"/>
      <c r="K970" s="1554"/>
      <c r="L970" s="1554"/>
      <c r="M970" s="1554"/>
      <c r="N970" s="1581"/>
      <c r="O970" s="1555"/>
      <c r="P970" s="1555"/>
      <c r="Q970" s="1555"/>
      <c r="R970" s="1555"/>
      <c r="S970" s="1555"/>
      <c r="T970" s="1555"/>
      <c r="U970" s="1555"/>
      <c r="V970" s="1555"/>
      <c r="W970" s="1555"/>
      <c r="X970" s="1555"/>
      <c r="Y970" s="1555"/>
      <c r="Z970" s="1555"/>
      <c r="AA970" s="1555"/>
      <c r="AB970" s="1555"/>
      <c r="AC970" s="1555"/>
      <c r="AD970" s="1555"/>
      <c r="AE970" s="1555"/>
      <c r="AF970" s="1555"/>
      <c r="AG970" s="1555"/>
      <c r="AH970" s="1555"/>
      <c r="AI970" s="1555"/>
      <c r="AJ970" s="1555"/>
      <c r="AK970" s="1555"/>
    </row>
    <row r="971" spans="1:37" s="1373" customFormat="1">
      <c r="A971" s="1371"/>
      <c r="B971" s="1371"/>
      <c r="C971" s="1401"/>
      <c r="D971" s="1840"/>
      <c r="E971" s="1840"/>
      <c r="F971" s="1400"/>
      <c r="G971" s="1856"/>
      <c r="H971" s="1850"/>
      <c r="I971" s="142"/>
      <c r="J971" s="1566"/>
      <c r="K971" s="1554"/>
      <c r="L971" s="1554"/>
      <c r="M971" s="1554"/>
      <c r="N971" s="1554"/>
      <c r="O971" s="1555"/>
      <c r="P971" s="1555"/>
      <c r="Q971" s="1555"/>
      <c r="R971" s="1555"/>
      <c r="S971" s="1555"/>
      <c r="T971" s="1555"/>
      <c r="U971" s="1555"/>
      <c r="V971" s="1555"/>
      <c r="W971" s="1555"/>
      <c r="X971" s="1555"/>
      <c r="Y971" s="1555"/>
      <c r="Z971" s="1555"/>
      <c r="AA971" s="1555"/>
      <c r="AB971" s="1555"/>
      <c r="AC971" s="1555"/>
      <c r="AD971" s="1555"/>
      <c r="AE971" s="1555"/>
      <c r="AF971" s="1555"/>
      <c r="AG971" s="1555"/>
      <c r="AH971" s="1555"/>
      <c r="AI971" s="1555"/>
      <c r="AJ971" s="1555"/>
      <c r="AK971" s="1555"/>
    </row>
    <row r="972" spans="1:37" s="1373" customFormat="1">
      <c r="A972" s="1371"/>
      <c r="B972" s="1371"/>
      <c r="C972" s="1398"/>
      <c r="D972" s="1840"/>
      <c r="E972" s="1840"/>
      <c r="F972" s="1400"/>
      <c r="G972" s="1856"/>
      <c r="H972" s="1850"/>
      <c r="I972" s="142"/>
      <c r="J972" s="1566"/>
      <c r="K972" s="1554"/>
      <c r="L972" s="1554"/>
      <c r="M972" s="1554"/>
      <c r="N972" s="1554"/>
      <c r="O972" s="1555"/>
      <c r="P972" s="1555"/>
      <c r="Q972" s="1555"/>
      <c r="R972" s="1555"/>
      <c r="S972" s="1555"/>
      <c r="T972" s="1555"/>
      <c r="U972" s="1555"/>
      <c r="V972" s="1555"/>
      <c r="W972" s="1555"/>
      <c r="X972" s="1555"/>
      <c r="Y972" s="1555"/>
      <c r="Z972" s="1555"/>
      <c r="AA972" s="1555"/>
      <c r="AB972" s="1555"/>
      <c r="AC972" s="1555"/>
      <c r="AD972" s="1555"/>
      <c r="AE972" s="1555"/>
      <c r="AF972" s="1555"/>
      <c r="AG972" s="1555"/>
      <c r="AH972" s="1555"/>
      <c r="AI972" s="1555"/>
      <c r="AJ972" s="1555"/>
      <c r="AK972" s="1555"/>
    </row>
    <row r="973" spans="1:37" s="1373" customFormat="1">
      <c r="A973" s="1371"/>
      <c r="B973" s="1371"/>
      <c r="C973" s="1398"/>
      <c r="D973" s="1840"/>
      <c r="E973" s="1840"/>
      <c r="F973" s="1400"/>
      <c r="G973" s="1856"/>
      <c r="H973" s="1850"/>
      <c r="I973" s="142"/>
      <c r="J973" s="1566"/>
      <c r="K973" s="1554"/>
      <c r="L973" s="1554"/>
      <c r="M973" s="1554"/>
      <c r="N973" s="1554"/>
      <c r="O973" s="1555"/>
      <c r="P973" s="1555"/>
      <c r="Q973" s="1555"/>
      <c r="R973" s="1555"/>
      <c r="S973" s="1555"/>
      <c r="T973" s="1555"/>
      <c r="U973" s="1555"/>
      <c r="V973" s="1555"/>
      <c r="W973" s="1555"/>
      <c r="X973" s="1555"/>
      <c r="Y973" s="1555"/>
      <c r="Z973" s="1555"/>
      <c r="AA973" s="1555"/>
      <c r="AB973" s="1555"/>
      <c r="AC973" s="1555"/>
      <c r="AD973" s="1555"/>
      <c r="AE973" s="1555"/>
      <c r="AF973" s="1555"/>
      <c r="AG973" s="1555"/>
      <c r="AH973" s="1555"/>
      <c r="AI973" s="1555"/>
      <c r="AJ973" s="1555"/>
      <c r="AK973" s="1555"/>
    </row>
    <row r="974" spans="1:37" s="1373" customFormat="1">
      <c r="A974" s="1371"/>
      <c r="B974" s="1371"/>
      <c r="C974" s="1398"/>
      <c r="D974" s="1840"/>
      <c r="E974" s="1840"/>
      <c r="F974" s="1423" t="str">
        <f>+G66</f>
        <v>OMPRAKASH RATHI - WHOLE TIME DIRECTOR</v>
      </c>
      <c r="G974" s="1400"/>
      <c r="H974" s="42"/>
      <c r="I974" s="142"/>
      <c r="J974" s="1566"/>
      <c r="K974" s="1554"/>
      <c r="L974" s="1554"/>
      <c r="M974" s="1554"/>
      <c r="N974" s="1554"/>
      <c r="O974" s="1555"/>
      <c r="P974" s="1555"/>
      <c r="Q974" s="1555"/>
      <c r="R974" s="1555"/>
      <c r="S974" s="1555"/>
      <c r="T974" s="1555"/>
      <c r="U974" s="1555"/>
      <c r="V974" s="1555"/>
      <c r="W974" s="1555"/>
      <c r="X974" s="1555"/>
      <c r="Y974" s="1555"/>
      <c r="Z974" s="1555"/>
      <c r="AA974" s="1555"/>
      <c r="AB974" s="1555"/>
      <c r="AC974" s="1555"/>
      <c r="AD974" s="1555"/>
      <c r="AE974" s="1555"/>
      <c r="AF974" s="1555"/>
      <c r="AG974" s="1555"/>
      <c r="AH974" s="1555"/>
      <c r="AI974" s="1555"/>
      <c r="AJ974" s="1555"/>
      <c r="AK974" s="1555"/>
    </row>
    <row r="975" spans="1:37" s="1373" customFormat="1">
      <c r="A975" s="1371"/>
      <c r="B975" s="1371"/>
      <c r="C975" s="1398"/>
      <c r="D975" s="1840"/>
      <c r="E975" s="1840"/>
      <c r="F975" s="1397" t="str">
        <f>+G67</f>
        <v>(DIN:00895316)</v>
      </c>
      <c r="G975" s="1403"/>
      <c r="H975" s="50"/>
      <c r="I975" s="142"/>
      <c r="J975" s="1566"/>
      <c r="K975" s="1554"/>
      <c r="L975" s="1554"/>
      <c r="M975" s="1554"/>
      <c r="N975" s="1554"/>
      <c r="O975" s="1555"/>
      <c r="P975" s="1555"/>
      <c r="Q975" s="1555"/>
      <c r="R975" s="1555"/>
      <c r="S975" s="1555"/>
      <c r="T975" s="1555"/>
      <c r="U975" s="1555"/>
      <c r="V975" s="1555"/>
      <c r="W975" s="1555"/>
      <c r="X975" s="1555"/>
      <c r="Y975" s="1555"/>
      <c r="Z975" s="1555"/>
      <c r="AA975" s="1555"/>
      <c r="AB975" s="1555"/>
      <c r="AC975" s="1555"/>
      <c r="AD975" s="1555"/>
      <c r="AE975" s="1555"/>
      <c r="AF975" s="1555"/>
      <c r="AG975" s="1555"/>
      <c r="AH975" s="1555"/>
      <c r="AI975" s="1555"/>
      <c r="AJ975" s="1555"/>
      <c r="AK975" s="1555"/>
    </row>
    <row r="976" spans="1:37" s="1373" customFormat="1">
      <c r="A976" s="1371"/>
      <c r="B976" s="1371"/>
      <c r="C976" s="1398"/>
      <c r="D976" s="1840"/>
      <c r="E976" s="1840"/>
      <c r="F976" s="1400"/>
      <c r="G976" s="1403"/>
      <c r="H976" s="50"/>
      <c r="I976" s="142"/>
      <c r="J976" s="1566"/>
      <c r="K976" s="1554"/>
      <c r="L976" s="1554"/>
      <c r="M976" s="1554"/>
      <c r="N976" s="1554"/>
      <c r="O976" s="1555"/>
      <c r="P976" s="1555"/>
      <c r="Q976" s="1555"/>
      <c r="R976" s="1555"/>
      <c r="S976" s="1555"/>
      <c r="T976" s="1555"/>
      <c r="U976" s="1555"/>
      <c r="V976" s="1555"/>
      <c r="W976" s="1555"/>
      <c r="X976" s="1555"/>
      <c r="Y976" s="1555"/>
      <c r="Z976" s="1555"/>
      <c r="AA976" s="1555"/>
      <c r="AB976" s="1555"/>
      <c r="AC976" s="1555"/>
      <c r="AD976" s="1555"/>
      <c r="AE976" s="1555"/>
      <c r="AF976" s="1555"/>
      <c r="AG976" s="1555"/>
      <c r="AH976" s="1555"/>
      <c r="AI976" s="1555"/>
      <c r="AJ976" s="1555"/>
      <c r="AK976" s="1555"/>
    </row>
    <row r="977" spans="1:37" s="1373" customFormat="1">
      <c r="A977" s="1371"/>
      <c r="B977" s="1371"/>
      <c r="C977" s="1398"/>
      <c r="D977" s="1840"/>
      <c r="E977" s="1840"/>
      <c r="F977" s="1400"/>
      <c r="G977" s="1403"/>
      <c r="H977" s="50"/>
      <c r="I977" s="142"/>
      <c r="J977" s="1566"/>
      <c r="K977" s="1554"/>
      <c r="L977" s="1554"/>
      <c r="M977" s="1554"/>
      <c r="N977" s="1554"/>
      <c r="O977" s="1555"/>
      <c r="P977" s="1555"/>
      <c r="Q977" s="1555"/>
      <c r="R977" s="1555"/>
      <c r="S977" s="1555"/>
      <c r="T977" s="1555"/>
      <c r="U977" s="1555"/>
      <c r="V977" s="1555"/>
      <c r="W977" s="1555"/>
      <c r="X977" s="1555"/>
      <c r="Y977" s="1555"/>
      <c r="Z977" s="1555"/>
      <c r="AA977" s="1555"/>
      <c r="AB977" s="1555"/>
      <c r="AC977" s="1555"/>
      <c r="AD977" s="1555"/>
      <c r="AE977" s="1555"/>
      <c r="AF977" s="1555"/>
      <c r="AG977" s="1555"/>
      <c r="AH977" s="1555"/>
      <c r="AI977" s="1555"/>
      <c r="AJ977" s="1555"/>
      <c r="AK977" s="1555"/>
    </row>
    <row r="978" spans="1:37" s="1373" customFormat="1">
      <c r="A978" s="1371"/>
      <c r="B978" s="1371"/>
      <c r="C978" s="1398"/>
      <c r="D978" s="1840"/>
      <c r="E978" s="1840"/>
      <c r="F978" s="1400"/>
      <c r="G978" s="1403"/>
      <c r="H978" s="50"/>
      <c r="I978" s="142"/>
      <c r="J978" s="1566"/>
      <c r="K978" s="1554"/>
      <c r="L978" s="1554"/>
      <c r="M978" s="1554"/>
      <c r="N978" s="1554"/>
      <c r="O978" s="1555"/>
      <c r="P978" s="1555"/>
      <c r="Q978" s="1555"/>
      <c r="R978" s="1555"/>
      <c r="S978" s="1555"/>
      <c r="T978" s="1555"/>
      <c r="U978" s="1555"/>
      <c r="V978" s="1555"/>
      <c r="W978" s="1555"/>
      <c r="X978" s="1555"/>
      <c r="Y978" s="1555"/>
      <c r="Z978" s="1555"/>
      <c r="AA978" s="1555"/>
      <c r="AB978" s="1555"/>
      <c r="AC978" s="1555"/>
      <c r="AD978" s="1555"/>
      <c r="AE978" s="1555"/>
      <c r="AF978" s="1555"/>
      <c r="AG978" s="1555"/>
      <c r="AH978" s="1555"/>
      <c r="AI978" s="1555"/>
      <c r="AJ978" s="1555"/>
      <c r="AK978" s="1555"/>
    </row>
    <row r="979" spans="1:37" s="1373" customFormat="1">
      <c r="A979" s="1371"/>
      <c r="B979" s="1371"/>
      <c r="C979" s="1398"/>
      <c r="D979" s="1840"/>
      <c r="E979" s="1840"/>
      <c r="F979" s="1423" t="str">
        <f>+G71</f>
        <v>MAYANK LUNIYA - COMPANY SECRETARY</v>
      </c>
      <c r="G979" s="1400"/>
      <c r="H979" s="42"/>
      <c r="I979" s="142"/>
      <c r="J979" s="1566"/>
      <c r="K979" s="1554"/>
      <c r="L979" s="1554"/>
      <c r="M979" s="1554"/>
      <c r="N979" s="1554"/>
      <c r="O979" s="1555"/>
      <c r="P979" s="1555"/>
      <c r="Q979" s="1555"/>
      <c r="R979" s="1555"/>
      <c r="S979" s="1555"/>
      <c r="T979" s="1555"/>
      <c r="U979" s="1555"/>
      <c r="V979" s="1555"/>
      <c r="W979" s="1555"/>
      <c r="X979" s="1555"/>
      <c r="Y979" s="1555"/>
      <c r="Z979" s="1555"/>
      <c r="AA979" s="1555"/>
      <c r="AB979" s="1555"/>
      <c r="AC979" s="1555"/>
      <c r="AD979" s="1555"/>
      <c r="AE979" s="1555"/>
      <c r="AF979" s="1555"/>
      <c r="AG979" s="1555"/>
      <c r="AH979" s="1555"/>
      <c r="AI979" s="1555"/>
      <c r="AJ979" s="1555"/>
      <c r="AK979" s="1555"/>
    </row>
    <row r="980" spans="1:37" s="1373" customFormat="1">
      <c r="A980" s="1371"/>
      <c r="B980" s="1371"/>
      <c r="C980" s="1398"/>
      <c r="D980" s="1840"/>
      <c r="E980" s="1840"/>
      <c r="F980" s="1397"/>
      <c r="G980" s="1403"/>
      <c r="H980" s="50"/>
      <c r="I980" s="142"/>
      <c r="J980" s="1566"/>
      <c r="K980" s="1554"/>
      <c r="L980" s="1554"/>
      <c r="M980" s="1554"/>
      <c r="N980" s="1554"/>
      <c r="O980" s="1555"/>
      <c r="P980" s="1555"/>
      <c r="Q980" s="1555"/>
      <c r="R980" s="1555"/>
      <c r="S980" s="1555"/>
      <c r="T980" s="1555"/>
      <c r="U980" s="1555"/>
      <c r="V980" s="1555"/>
      <c r="W980" s="1555"/>
      <c r="X980" s="1555"/>
      <c r="Y980" s="1555"/>
      <c r="Z980" s="1555"/>
      <c r="AA980" s="1555"/>
      <c r="AB980" s="1555"/>
      <c r="AC980" s="1555"/>
      <c r="AD980" s="1555"/>
      <c r="AE980" s="1555"/>
      <c r="AF980" s="1555"/>
      <c r="AG980" s="1555"/>
      <c r="AH980" s="1555"/>
      <c r="AI980" s="1555"/>
      <c r="AJ980" s="1555"/>
      <c r="AK980" s="1555"/>
    </row>
    <row r="981" spans="1:37" s="1373" customFormat="1">
      <c r="A981" s="1371"/>
      <c r="B981" s="1371"/>
      <c r="C981" s="1398"/>
      <c r="D981" s="1840"/>
      <c r="E981" s="1840"/>
      <c r="F981" s="1397" t="str">
        <f>+G72</f>
        <v>Place: Nagpur</v>
      </c>
      <c r="G981" s="1403"/>
      <c r="H981" s="50"/>
      <c r="I981" s="142"/>
      <c r="J981" s="1566"/>
      <c r="K981" s="1554"/>
      <c r="L981" s="1554"/>
      <c r="M981" s="1554"/>
      <c r="N981" s="1554"/>
      <c r="O981" s="1555"/>
      <c r="P981" s="1555"/>
      <c r="Q981" s="1555"/>
      <c r="R981" s="1555"/>
      <c r="S981" s="1555"/>
      <c r="T981" s="1555"/>
      <c r="U981" s="1555"/>
      <c r="V981" s="1555"/>
      <c r="W981" s="1555"/>
      <c r="X981" s="1555"/>
      <c r="Y981" s="1555"/>
      <c r="Z981" s="1555"/>
      <c r="AA981" s="1555"/>
      <c r="AB981" s="1555"/>
      <c r="AC981" s="1555"/>
      <c r="AD981" s="1555"/>
      <c r="AE981" s="1555"/>
      <c r="AF981" s="1555"/>
      <c r="AG981" s="1555"/>
      <c r="AH981" s="1555"/>
      <c r="AI981" s="1555"/>
      <c r="AJ981" s="1555"/>
      <c r="AK981" s="1555"/>
    </row>
    <row r="982" spans="1:37" s="1373" customFormat="1">
      <c r="A982" s="1371"/>
      <c r="B982" s="1371"/>
      <c r="C982" s="1488"/>
      <c r="D982" s="1859"/>
      <c r="E982" s="1859"/>
      <c r="F982" s="1404" t="s">
        <v>2527</v>
      </c>
      <c r="G982" s="1521"/>
      <c r="H982" s="76"/>
      <c r="I982" s="210"/>
      <c r="J982" s="1689"/>
      <c r="K982" s="1690"/>
      <c r="L982" s="1690"/>
      <c r="M982" s="1690"/>
      <c r="N982" s="1554"/>
      <c r="O982" s="1555"/>
      <c r="P982" s="1555"/>
      <c r="Q982" s="1555"/>
      <c r="R982" s="1555"/>
      <c r="S982" s="1555"/>
      <c r="T982" s="1555"/>
      <c r="U982" s="1555"/>
      <c r="V982" s="1555"/>
      <c r="W982" s="1555"/>
      <c r="X982" s="1555"/>
      <c r="Y982" s="1555"/>
      <c r="Z982" s="1555"/>
      <c r="AA982" s="1555"/>
      <c r="AB982" s="1555"/>
      <c r="AC982" s="1555"/>
      <c r="AD982" s="1555"/>
      <c r="AE982" s="1555"/>
      <c r="AF982" s="1555"/>
      <c r="AG982" s="1555"/>
      <c r="AH982" s="1555"/>
      <c r="AI982" s="1555"/>
      <c r="AJ982" s="1555"/>
      <c r="AK982" s="1555"/>
    </row>
    <row r="983" spans="1:37" s="1373" customFormat="1">
      <c r="A983" s="1371"/>
      <c r="B983" s="1371"/>
      <c r="C983" s="1718"/>
      <c r="D983" s="1520"/>
      <c r="E983" s="1520"/>
      <c r="F983" s="1522"/>
      <c r="G983" s="1520"/>
      <c r="H983" s="208"/>
      <c r="I983" s="208"/>
      <c r="J983" s="1712"/>
      <c r="K983" s="1620"/>
      <c r="L983" s="1620"/>
      <c r="M983" s="1620"/>
      <c r="N983" s="1690"/>
      <c r="O983" s="1555"/>
      <c r="P983" s="1555"/>
      <c r="Q983" s="1555"/>
      <c r="R983" s="1555"/>
      <c r="S983" s="1555"/>
      <c r="T983" s="1555"/>
      <c r="U983" s="1555"/>
      <c r="V983" s="1555"/>
      <c r="W983" s="1555"/>
      <c r="X983" s="1555"/>
      <c r="Y983" s="1555"/>
      <c r="Z983" s="1555"/>
      <c r="AA983" s="1555"/>
      <c r="AB983" s="1555"/>
      <c r="AC983" s="1555"/>
      <c r="AD983" s="1555"/>
      <c r="AE983" s="1555"/>
      <c r="AF983" s="1555"/>
      <c r="AG983" s="1555"/>
      <c r="AH983" s="1555"/>
      <c r="AI983" s="1555"/>
      <c r="AJ983" s="1555"/>
      <c r="AK983" s="1555"/>
    </row>
  </sheetData>
  <sortState ref="C342:I348">
    <sortCondition descending="1" ref="H342:H348"/>
  </sortState>
  <mergeCells count="134">
    <mergeCell ref="C359:I359"/>
    <mergeCell ref="C360:I360"/>
    <mergeCell ref="C283:D283"/>
    <mergeCell ref="D261:E261"/>
    <mergeCell ref="D262:E262"/>
    <mergeCell ref="C2:I2"/>
    <mergeCell ref="C3:I3"/>
    <mergeCell ref="G4:G5"/>
    <mergeCell ref="G8:G9"/>
    <mergeCell ref="G61:I61"/>
    <mergeCell ref="C74:I74"/>
    <mergeCell ref="C108:F108"/>
    <mergeCell ref="C110:D110"/>
    <mergeCell ref="C111:D111"/>
    <mergeCell ref="C87:D87"/>
    <mergeCell ref="G127:I127"/>
    <mergeCell ref="G128:I128"/>
    <mergeCell ref="C139:I139"/>
    <mergeCell ref="C75:I75"/>
    <mergeCell ref="G76:G77"/>
    <mergeCell ref="C91:D91"/>
    <mergeCell ref="C101:D101"/>
    <mergeCell ref="C102:D102"/>
    <mergeCell ref="C226:G226"/>
    <mergeCell ref="C140:I140"/>
    <mergeCell ref="G206:I206"/>
    <mergeCell ref="G207:I207"/>
    <mergeCell ref="C218:I218"/>
    <mergeCell ref="C219:I219"/>
    <mergeCell ref="C225:G225"/>
    <mergeCell ref="C252:C253"/>
    <mergeCell ref="C259:C260"/>
    <mergeCell ref="D253:E253"/>
    <mergeCell ref="D252:I252"/>
    <mergeCell ref="D254:E254"/>
    <mergeCell ref="D255:E255"/>
    <mergeCell ref="D256:E256"/>
    <mergeCell ref="D257:E257"/>
    <mergeCell ref="D259:I259"/>
    <mergeCell ref="D260:E260"/>
    <mergeCell ref="C266:I266"/>
    <mergeCell ref="C267:I269"/>
    <mergeCell ref="C369:G369"/>
    <mergeCell ref="C371:G371"/>
    <mergeCell ref="C374:G374"/>
    <mergeCell ref="C375:G375"/>
    <mergeCell ref="C381:I381"/>
    <mergeCell ref="C382:I382"/>
    <mergeCell ref="C299:I299"/>
    <mergeCell ref="C309:G310"/>
    <mergeCell ref="C323:G323"/>
    <mergeCell ref="C331:G331"/>
    <mergeCell ref="C329:I329"/>
    <mergeCell ref="C333:I336"/>
    <mergeCell ref="C313:D314"/>
    <mergeCell ref="C315:D315"/>
    <mergeCell ref="C316:D316"/>
    <mergeCell ref="C317:D317"/>
    <mergeCell ref="C318:D318"/>
    <mergeCell ref="C319:D319"/>
    <mergeCell ref="C320:D320"/>
    <mergeCell ref="C370:G370"/>
    <mergeCell ref="C284:G284"/>
    <mergeCell ref="C298:I298"/>
    <mergeCell ref="C441:G441"/>
    <mergeCell ref="C442:G442"/>
    <mergeCell ref="C443:G443"/>
    <mergeCell ref="C444:G444"/>
    <mergeCell ref="C464:I464"/>
    <mergeCell ref="C465:I465"/>
    <mergeCell ref="C390:F390"/>
    <mergeCell ref="C408:G409"/>
    <mergeCell ref="C420:I422"/>
    <mergeCell ref="C437:G437"/>
    <mergeCell ref="C438:G438"/>
    <mergeCell ref="C439:G439"/>
    <mergeCell ref="C423:C424"/>
    <mergeCell ref="C430:C431"/>
    <mergeCell ref="C411:I411"/>
    <mergeCell ref="C412:I412"/>
    <mergeCell ref="D423:H423"/>
    <mergeCell ref="D430:H430"/>
    <mergeCell ref="C622:I622"/>
    <mergeCell ref="C623:I623"/>
    <mergeCell ref="C643:G643"/>
    <mergeCell ref="C645:I645"/>
    <mergeCell ref="C647:I647"/>
    <mergeCell ref="C650:I650"/>
    <mergeCell ref="C502:I502"/>
    <mergeCell ref="C503:I503"/>
    <mergeCell ref="C536:I536"/>
    <mergeCell ref="C537:I537"/>
    <mergeCell ref="C572:G572"/>
    <mergeCell ref="C592:G592"/>
    <mergeCell ref="C655:I655"/>
    <mergeCell ref="C656:I656"/>
    <mergeCell ref="C920:I920"/>
    <mergeCell ref="C830:I830"/>
    <mergeCell ref="C831:I831"/>
    <mergeCell ref="C851:I851"/>
    <mergeCell ref="C852:I852"/>
    <mergeCell ref="C893:G893"/>
    <mergeCell ref="C901:G901"/>
    <mergeCell ref="C725:I729"/>
    <mergeCell ref="C731:I734"/>
    <mergeCell ref="C753:I753"/>
    <mergeCell ref="C754:I754"/>
    <mergeCell ref="C782:I782"/>
    <mergeCell ref="C783:I783"/>
    <mergeCell ref="C657:I657"/>
    <mergeCell ref="C947:D948"/>
    <mergeCell ref="C904:G904"/>
    <mergeCell ref="D263:E263"/>
    <mergeCell ref="D264:E264"/>
    <mergeCell ref="C907:I907"/>
    <mergeCell ref="C910:I910"/>
    <mergeCell ref="C912:I912"/>
    <mergeCell ref="C913:I913"/>
    <mergeCell ref="C915:I917"/>
    <mergeCell ref="C672:I672"/>
    <mergeCell ref="C674:I674"/>
    <mergeCell ref="C675:I675"/>
    <mergeCell ref="C681:G681"/>
    <mergeCell ref="C722:I722"/>
    <mergeCell ref="C723:I723"/>
    <mergeCell ref="C658:I658"/>
    <mergeCell ref="C660:I660"/>
    <mergeCell ref="C666:G666"/>
    <mergeCell ref="C669:I669"/>
    <mergeCell ref="C670:I670"/>
    <mergeCell ref="C671:I671"/>
    <mergeCell ref="C652:I652"/>
    <mergeCell ref="C653:I653"/>
    <mergeCell ref="C654:I654"/>
  </mergeCells>
  <printOptions horizontalCentered="1"/>
  <pageMargins left="0.43307086614173229" right="0.15748031496062992" top="0.31496062992125984" bottom="0.15748031496062992" header="0.31496062992125984" footer="0.15748031496062992"/>
  <pageSetup paperSize="9" scale="10" orientation="portrait" r:id="rId1"/>
  <rowBreaks count="14" manualBreakCount="14">
    <brk id="73" min="2" max="8" man="1"/>
    <brk id="138" min="2" max="8" man="1"/>
    <brk id="217" min="2" max="8" man="1"/>
    <brk id="297" min="2" max="8" man="1"/>
    <brk id="358" min="2" max="8" man="1"/>
    <brk id="410" min="2" max="8" man="1"/>
    <brk id="463" min="2" max="8" man="1"/>
    <brk id="535" min="2" max="8" man="1"/>
    <brk id="621" min="2" max="8" man="1"/>
    <brk id="672" min="2" max="8" man="1"/>
    <brk id="752" min="2" max="8" man="1"/>
    <brk id="829" min="2" max="8" man="1"/>
    <brk id="911" min="2" max="8" man="1"/>
    <brk id="953" min="2" max="8"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99"/>
  <sheetViews>
    <sheetView view="pageBreakPreview" zoomScale="60" zoomScaleNormal="100" workbookViewId="0">
      <selection activeCell="A9" sqref="A9"/>
    </sheetView>
  </sheetViews>
  <sheetFormatPr defaultRowHeight="15"/>
  <cols>
    <col min="1" max="1" width="30.42578125" style="230" customWidth="1"/>
    <col min="2" max="2" width="22.140625" style="230" customWidth="1"/>
    <col min="3" max="4" width="19.5703125" style="230" customWidth="1"/>
    <col min="5" max="5" width="22.140625" style="230" customWidth="1"/>
    <col min="6" max="6" width="21.7109375" style="230" customWidth="1"/>
    <col min="7" max="8" width="19.5703125" style="230" customWidth="1"/>
    <col min="9" max="9" width="21.28515625" style="230" bestFit="1" customWidth="1"/>
    <col min="10" max="10" width="20.7109375" style="230" customWidth="1"/>
    <col min="11" max="11" width="22.85546875" style="230" customWidth="1"/>
    <col min="12" max="12" width="13.42578125" style="230" bestFit="1" customWidth="1"/>
    <col min="13" max="13" width="14.140625" style="230" bestFit="1" customWidth="1"/>
    <col min="14" max="14" width="12.28515625" style="230" bestFit="1" customWidth="1"/>
    <col min="15" max="15" width="10.140625" style="230" bestFit="1" customWidth="1"/>
    <col min="16" max="16" width="9.7109375" style="230" bestFit="1" customWidth="1"/>
    <col min="17" max="17" width="10.5703125" style="230" bestFit="1" customWidth="1"/>
    <col min="18" max="18" width="12.28515625" style="230" bestFit="1" customWidth="1"/>
    <col min="19" max="16384" width="9.140625" style="230"/>
  </cols>
  <sheetData>
    <row r="1" spans="1:61" s="1371" customFormat="1" ht="26.25">
      <c r="A1" s="2283" t="s">
        <v>1065</v>
      </c>
      <c r="B1" s="2283"/>
      <c r="C1" s="2283"/>
      <c r="D1" s="2283"/>
      <c r="E1" s="2283"/>
      <c r="F1" s="2283"/>
      <c r="G1" s="2283"/>
      <c r="H1" s="2283"/>
      <c r="I1" s="2283"/>
      <c r="J1" s="2283"/>
      <c r="K1" s="1557"/>
      <c r="L1" s="1557"/>
      <c r="M1" s="1557"/>
      <c r="N1" s="1557"/>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373"/>
      <c r="AM1" s="1373"/>
      <c r="AN1" s="1373"/>
      <c r="AO1" s="1373"/>
      <c r="AP1" s="1373"/>
      <c r="AQ1" s="1373"/>
      <c r="AR1" s="1373"/>
      <c r="AS1" s="1373"/>
      <c r="AT1" s="1373"/>
      <c r="AU1" s="1373"/>
      <c r="AV1" s="1373"/>
      <c r="AW1" s="1373"/>
      <c r="AX1" s="1373"/>
      <c r="AY1" s="1373"/>
      <c r="AZ1" s="1373"/>
      <c r="BA1" s="1373"/>
      <c r="BB1" s="1373"/>
      <c r="BC1" s="1373"/>
      <c r="BD1" s="1373"/>
      <c r="BE1" s="1373"/>
      <c r="BF1" s="1373"/>
      <c r="BG1" s="1373"/>
      <c r="BH1" s="1373"/>
      <c r="BI1" s="1373"/>
    </row>
    <row r="2" spans="1:61">
      <c r="A2" s="2024" t="s">
        <v>2318</v>
      </c>
      <c r="B2" s="836"/>
      <c r="C2" s="836"/>
      <c r="D2" s="836"/>
      <c r="E2" s="836"/>
      <c r="F2" s="836"/>
      <c r="G2" s="836"/>
      <c r="H2" s="836"/>
      <c r="I2" s="836"/>
      <c r="J2" s="836"/>
    </row>
    <row r="3" spans="1:61">
      <c r="A3" s="2024"/>
      <c r="B3" s="836"/>
      <c r="C3" s="836"/>
      <c r="D3" s="836"/>
      <c r="E3" s="836"/>
      <c r="F3" s="836"/>
      <c r="G3" s="836"/>
      <c r="H3" s="836"/>
      <c r="I3" s="836"/>
      <c r="J3" s="836"/>
    </row>
    <row r="4" spans="1:61">
      <c r="A4" s="836"/>
      <c r="B4" s="836"/>
      <c r="C4" s="836"/>
      <c r="D4" s="836"/>
      <c r="E4" s="836"/>
      <c r="F4" s="836"/>
      <c r="G4" s="836"/>
      <c r="H4" s="836"/>
      <c r="I4" s="836"/>
      <c r="J4" s="836"/>
    </row>
    <row r="5" spans="1:61" ht="30">
      <c r="A5" s="925" t="s">
        <v>2319</v>
      </c>
      <c r="B5" s="1001" t="s">
        <v>128</v>
      </c>
      <c r="C5" s="1001" t="s">
        <v>2308</v>
      </c>
      <c r="D5" s="1001" t="s">
        <v>240</v>
      </c>
      <c r="E5" s="1001" t="s">
        <v>2309</v>
      </c>
      <c r="F5" s="1001" t="s">
        <v>2230</v>
      </c>
      <c r="G5" s="1001" t="s">
        <v>2227</v>
      </c>
      <c r="H5" s="1001" t="s">
        <v>2310</v>
      </c>
      <c r="I5" s="1001" t="s">
        <v>2311</v>
      </c>
      <c r="J5" s="925" t="s">
        <v>953</v>
      </c>
    </row>
    <row r="6" spans="1:61">
      <c r="A6" s="2025" t="s">
        <v>2320</v>
      </c>
      <c r="B6" s="851"/>
      <c r="C6" s="851"/>
      <c r="D6" s="851"/>
      <c r="E6" s="851"/>
      <c r="F6" s="851"/>
      <c r="G6" s="851"/>
      <c r="H6" s="851"/>
      <c r="I6" s="851"/>
      <c r="J6" s="2026"/>
    </row>
    <row r="7" spans="1:61">
      <c r="A7" s="2025" t="s">
        <v>2325</v>
      </c>
      <c r="B7" s="2027">
        <f>+B63</f>
        <v>33964999.899999999</v>
      </c>
      <c r="C7" s="2027">
        <f>+B85</f>
        <v>56016203.549999997</v>
      </c>
      <c r="D7" s="2027">
        <f>+B86</f>
        <v>217294094.07799998</v>
      </c>
      <c r="E7" s="2028">
        <f>+B87</f>
        <v>2991111</v>
      </c>
      <c r="F7" s="2027">
        <f>+B88</f>
        <v>1057200.7</v>
      </c>
      <c r="G7" s="2027">
        <f>+B89</f>
        <v>884075.03</v>
      </c>
      <c r="H7" s="2027">
        <f>+B90</f>
        <v>1820295</v>
      </c>
      <c r="I7" s="2027">
        <f>+B91</f>
        <v>28507136.800000001</v>
      </c>
      <c r="J7" s="2046">
        <f>+B97</f>
        <v>402479</v>
      </c>
    </row>
    <row r="8" spans="1:61">
      <c r="A8" s="851" t="s">
        <v>2233</v>
      </c>
      <c r="B8" s="2030">
        <f>+C84</f>
        <v>0</v>
      </c>
      <c r="C8" s="2030">
        <f>+C85</f>
        <v>2907026.98</v>
      </c>
      <c r="D8" s="2030">
        <f>+C86</f>
        <v>5234643.66</v>
      </c>
      <c r="E8" s="2031">
        <f>+C87</f>
        <v>0</v>
      </c>
      <c r="F8" s="2030">
        <f>+C88</f>
        <v>0</v>
      </c>
      <c r="G8" s="2030">
        <f>+C89</f>
        <v>415195.47</v>
      </c>
      <c r="H8" s="2030">
        <f>+C90-0.4</f>
        <v>47871.63</v>
      </c>
      <c r="I8" s="2030">
        <f>+C91-0.4</f>
        <v>422774.6</v>
      </c>
      <c r="J8" s="2029">
        <f>+C97</f>
        <v>5973299.6199999992</v>
      </c>
    </row>
    <row r="9" spans="1:61">
      <c r="A9" s="851" t="s">
        <v>3555</v>
      </c>
      <c r="B9" s="2030">
        <f>+D84</f>
        <v>0</v>
      </c>
      <c r="C9" s="2030">
        <f>+D85</f>
        <v>0</v>
      </c>
      <c r="D9" s="2030">
        <f>+D86</f>
        <v>7228395.2299999995</v>
      </c>
      <c r="E9" s="2031">
        <f>+D87</f>
        <v>0</v>
      </c>
      <c r="F9" s="2030">
        <f>+D88</f>
        <v>312675</v>
      </c>
      <c r="G9" s="2030">
        <f>+D89</f>
        <v>275211</v>
      </c>
      <c r="H9" s="2030">
        <f>+D90</f>
        <v>537953</v>
      </c>
      <c r="I9" s="2030">
        <f>+D91+0.4</f>
        <v>2741804.1199999996</v>
      </c>
      <c r="J9" s="2029">
        <f>+D97</f>
        <v>6062771.0800000001</v>
      </c>
    </row>
    <row r="10" spans="1:61">
      <c r="A10" s="2025" t="s">
        <v>2322</v>
      </c>
      <c r="B10" s="2027">
        <f>+B7+B8-B9</f>
        <v>33964999.899999999</v>
      </c>
      <c r="C10" s="2027">
        <f t="shared" ref="C10:J10" si="0">+C7+C8-C9</f>
        <v>58923230.529999994</v>
      </c>
      <c r="D10" s="2027">
        <f t="shared" si="0"/>
        <v>215300342.50799999</v>
      </c>
      <c r="E10" s="2027">
        <f t="shared" si="0"/>
        <v>2991111</v>
      </c>
      <c r="F10" s="2027">
        <f t="shared" si="0"/>
        <v>744525.7</v>
      </c>
      <c r="G10" s="2027">
        <f t="shared" si="0"/>
        <v>1024059.5</v>
      </c>
      <c r="H10" s="2027">
        <f t="shared" si="0"/>
        <v>1330213.6299999999</v>
      </c>
      <c r="I10" s="2027">
        <f t="shared" si="0"/>
        <v>26188107.280000001</v>
      </c>
      <c r="J10" s="2027">
        <f t="shared" si="0"/>
        <v>313007.53999999911</v>
      </c>
      <c r="K10" s="2047">
        <f>+ROUND(B26,0)</f>
        <v>33965000</v>
      </c>
      <c r="L10" s="2047">
        <f t="shared" ref="L10:R10" si="1">+ROUND(C26,0)</f>
        <v>53846158</v>
      </c>
      <c r="M10" s="2047">
        <f t="shared" si="1"/>
        <v>108979471</v>
      </c>
      <c r="N10" s="2047">
        <f t="shared" si="1"/>
        <v>2063243</v>
      </c>
      <c r="O10" s="2047">
        <f t="shared" si="1"/>
        <v>138180</v>
      </c>
      <c r="P10" s="2047">
        <f t="shared" si="1"/>
        <v>411219</v>
      </c>
      <c r="Q10" s="2047">
        <f t="shared" si="1"/>
        <v>281463</v>
      </c>
      <c r="R10" s="2047">
        <f t="shared" si="1"/>
        <v>8262793</v>
      </c>
    </row>
    <row r="11" spans="1:61">
      <c r="A11" s="851" t="s">
        <v>2233</v>
      </c>
      <c r="B11" s="2030">
        <f>+C63</f>
        <v>0</v>
      </c>
      <c r="C11" s="2030">
        <f>+C64</f>
        <v>2363147.9900000002</v>
      </c>
      <c r="D11" s="2030">
        <f>+C65</f>
        <v>6804070.8600000003</v>
      </c>
      <c r="E11" s="2031">
        <f>+C66</f>
        <v>0</v>
      </c>
      <c r="F11" s="2030">
        <f>+C67</f>
        <v>124109.75771976</v>
      </c>
      <c r="G11" s="2030">
        <f>+C68</f>
        <v>99683.63</v>
      </c>
      <c r="H11" s="2030">
        <f>+C69+0.4</f>
        <v>13983.4</v>
      </c>
      <c r="I11" s="2030">
        <f>+C70+0.4</f>
        <v>270480.40000000002</v>
      </c>
      <c r="J11" s="2029">
        <f>+C76-0.1</f>
        <v>44022621.539999992</v>
      </c>
      <c r="K11" s="230">
        <v>33965000</v>
      </c>
      <c r="L11" s="230">
        <v>53846158</v>
      </c>
      <c r="M11" s="230">
        <v>108979471</v>
      </c>
      <c r="N11" s="230">
        <v>2063243</v>
      </c>
      <c r="O11" s="230">
        <v>138180</v>
      </c>
      <c r="P11" s="230">
        <v>411219</v>
      </c>
      <c r="Q11" s="230">
        <v>281463</v>
      </c>
      <c r="R11" s="230">
        <v>8262793</v>
      </c>
    </row>
    <row r="12" spans="1:61">
      <c r="A12" s="851" t="s">
        <v>2321</v>
      </c>
      <c r="B12" s="2030">
        <f>+D63</f>
        <v>0</v>
      </c>
      <c r="C12" s="2030">
        <f>+D64</f>
        <v>0</v>
      </c>
      <c r="D12" s="2030">
        <f>+D65</f>
        <v>0</v>
      </c>
      <c r="E12" s="2031">
        <f>+D66</f>
        <v>0</v>
      </c>
      <c r="F12" s="2030">
        <f>+D67</f>
        <v>0</v>
      </c>
      <c r="G12" s="2030">
        <f>+D68</f>
        <v>0</v>
      </c>
      <c r="H12" s="2030">
        <f>+D69</f>
        <v>0</v>
      </c>
      <c r="I12" s="2030">
        <f>+D70</f>
        <v>0</v>
      </c>
      <c r="J12" s="2029">
        <f>+D76+0.4</f>
        <v>3954879.82</v>
      </c>
    </row>
    <row r="13" spans="1:61">
      <c r="A13" s="925" t="s">
        <v>2326</v>
      </c>
      <c r="B13" s="2032">
        <f>+B10+B11-B12</f>
        <v>33964999.899999999</v>
      </c>
      <c r="C13" s="2032">
        <f t="shared" ref="C13:J13" si="2">+C10+C11-C12</f>
        <v>61286378.519999996</v>
      </c>
      <c r="D13" s="2032">
        <f t="shared" si="2"/>
        <v>222104413.368</v>
      </c>
      <c r="E13" s="2033">
        <f t="shared" si="2"/>
        <v>2991111</v>
      </c>
      <c r="F13" s="2032">
        <f t="shared" si="2"/>
        <v>868635.45771976002</v>
      </c>
      <c r="G13" s="2032">
        <f t="shared" si="2"/>
        <v>1123743.1299999999</v>
      </c>
      <c r="H13" s="2032">
        <f t="shared" si="2"/>
        <v>1344197.0299999998</v>
      </c>
      <c r="I13" s="2032">
        <f t="shared" si="2"/>
        <v>26458587.68</v>
      </c>
      <c r="J13" s="2032">
        <f t="shared" si="2"/>
        <v>40380749.25999999</v>
      </c>
    </row>
    <row r="14" spans="1:61">
      <c r="A14" s="851"/>
      <c r="B14" s="851"/>
      <c r="C14" s="851"/>
      <c r="D14" s="851"/>
      <c r="E14" s="2031"/>
      <c r="F14" s="851"/>
      <c r="G14" s="851"/>
      <c r="H14" s="851"/>
      <c r="I14" s="851"/>
      <c r="J14" s="2026"/>
    </row>
    <row r="15" spans="1:61">
      <c r="A15" s="2025" t="s">
        <v>610</v>
      </c>
      <c r="B15" s="851"/>
      <c r="C15" s="851"/>
      <c r="D15" s="851"/>
      <c r="E15" s="2031"/>
      <c r="F15" s="851"/>
      <c r="G15" s="851"/>
      <c r="H15" s="851"/>
      <c r="I15" s="851"/>
      <c r="J15" s="2026"/>
    </row>
    <row r="16" spans="1:61">
      <c r="A16" s="2025" t="s">
        <v>2325</v>
      </c>
      <c r="B16" s="2027">
        <f>+F84</f>
        <v>0</v>
      </c>
      <c r="C16" s="2027">
        <f>+F85</f>
        <v>3700708.4652456599</v>
      </c>
      <c r="D16" s="2027">
        <f>+F86</f>
        <v>92431426.995565161</v>
      </c>
      <c r="E16" s="2028">
        <f>+F87</f>
        <v>189570.87386887943</v>
      </c>
      <c r="F16" s="2027">
        <f>+F88</f>
        <v>939164.05196346994</v>
      </c>
      <c r="G16" s="2027">
        <f>+F89</f>
        <v>753818.65582759003</v>
      </c>
      <c r="H16" s="2027">
        <f>+F90</f>
        <v>1478166.50856774</v>
      </c>
      <c r="I16" s="2027">
        <f>+F91</f>
        <v>16647092.583539899</v>
      </c>
      <c r="J16" s="2027">
        <v>0</v>
      </c>
    </row>
    <row r="17" spans="1:10">
      <c r="A17" s="851" t="s">
        <v>2233</v>
      </c>
      <c r="B17" s="2030">
        <f>+G84</f>
        <v>0</v>
      </c>
      <c r="C17" s="2030">
        <f>+G85</f>
        <v>1834185.4234531051</v>
      </c>
      <c r="D17" s="2030">
        <f>+G86</f>
        <v>13466160.816718986</v>
      </c>
      <c r="E17" s="2031">
        <f>+G87-0.4</f>
        <v>369148.56419712794</v>
      </c>
      <c r="F17" s="2030">
        <f>+G88</f>
        <v>46789.81352511415</v>
      </c>
      <c r="G17" s="2030">
        <f>+G89</f>
        <v>103252.61500000002</v>
      </c>
      <c r="H17" s="2030">
        <f>+G90-0.4</f>
        <v>46906.237584569171</v>
      </c>
      <c r="I17" s="2030">
        <f>+G91-0.4</f>
        <v>1861536.9326213249</v>
      </c>
      <c r="J17" s="2030">
        <f>+H87</f>
        <v>0</v>
      </c>
    </row>
    <row r="18" spans="1:10">
      <c r="A18" s="851" t="s">
        <v>2321</v>
      </c>
      <c r="B18" s="2030">
        <f>+H84</f>
        <v>0</v>
      </c>
      <c r="C18" s="2030">
        <f>+H85</f>
        <v>0</v>
      </c>
      <c r="D18" s="2030">
        <f>+H86</f>
        <v>6401419.3742230469</v>
      </c>
      <c r="E18" s="2031">
        <f>+H87</f>
        <v>0</v>
      </c>
      <c r="F18" s="2030">
        <f>+H88</f>
        <v>297041</v>
      </c>
      <c r="G18" s="2030">
        <f>+H89</f>
        <v>258544</v>
      </c>
      <c r="H18" s="2030">
        <f>+H90-0.4</f>
        <v>511054.6</v>
      </c>
      <c r="I18" s="2030">
        <f>+H91-0.4</f>
        <v>2163077.6800000002</v>
      </c>
      <c r="J18" s="2030">
        <v>0</v>
      </c>
    </row>
    <row r="19" spans="1:10">
      <c r="A19" s="2025" t="s">
        <v>2322</v>
      </c>
      <c r="B19" s="2027">
        <f>+B16+B17-B18</f>
        <v>0</v>
      </c>
      <c r="C19" s="2027">
        <f t="shared" ref="C19:J19" si="3">+C16+C17-C18</f>
        <v>5534893.8886987651</v>
      </c>
      <c r="D19" s="2027">
        <f t="shared" si="3"/>
        <v>99496168.438061088</v>
      </c>
      <c r="E19" s="2028">
        <f t="shared" si="3"/>
        <v>558719.43806600734</v>
      </c>
      <c r="F19" s="2027">
        <f t="shared" si="3"/>
        <v>688912.86548858415</v>
      </c>
      <c r="G19" s="2027">
        <f t="shared" si="3"/>
        <v>598527.27082759002</v>
      </c>
      <c r="H19" s="2027">
        <f t="shared" si="3"/>
        <v>1014018.1461523093</v>
      </c>
      <c r="I19" s="2027">
        <f t="shared" si="3"/>
        <v>16345551.836161226</v>
      </c>
      <c r="J19" s="2027">
        <f t="shared" si="3"/>
        <v>0</v>
      </c>
    </row>
    <row r="20" spans="1:10">
      <c r="A20" s="851" t="s">
        <v>2233</v>
      </c>
      <c r="B20" s="2030">
        <f>+G63</f>
        <v>0</v>
      </c>
      <c r="C20" s="2030">
        <f>+G64</f>
        <v>1905326.4820191783</v>
      </c>
      <c r="D20" s="2030">
        <f>+G65</f>
        <v>13628774.029168235</v>
      </c>
      <c r="E20" s="2031">
        <f>+G66</f>
        <v>369148.96419712796</v>
      </c>
      <c r="F20" s="2030">
        <f>+G67</f>
        <v>41542.628027397266</v>
      </c>
      <c r="G20" s="2030">
        <f>+G68</f>
        <v>113996.87240821918</v>
      </c>
      <c r="H20" s="2030">
        <f>+G69</f>
        <v>48716.19506216341</v>
      </c>
      <c r="I20" s="2030">
        <f>+G70</f>
        <v>1850243.3204432426</v>
      </c>
      <c r="J20" s="2030">
        <v>0</v>
      </c>
    </row>
    <row r="21" spans="1:10">
      <c r="A21" s="851" t="s">
        <v>2321</v>
      </c>
      <c r="B21" s="2030">
        <f>+H63</f>
        <v>0</v>
      </c>
      <c r="C21" s="2030">
        <f>+H64</f>
        <v>0</v>
      </c>
      <c r="D21" s="2030">
        <f>+H65</f>
        <v>0</v>
      </c>
      <c r="E21" s="2031">
        <f>+H66</f>
        <v>0</v>
      </c>
      <c r="F21" s="2030">
        <f>+H67</f>
        <v>0</v>
      </c>
      <c r="G21" s="2030">
        <f>+H68</f>
        <v>0</v>
      </c>
      <c r="H21" s="2030">
        <f>+H69</f>
        <v>0</v>
      </c>
      <c r="I21" s="2030">
        <f>+H70</f>
        <v>0</v>
      </c>
      <c r="J21" s="2030">
        <v>0</v>
      </c>
    </row>
    <row r="22" spans="1:10">
      <c r="A22" s="925" t="s">
        <v>2326</v>
      </c>
      <c r="B22" s="2032">
        <f>+B19+B20-B21</f>
        <v>0</v>
      </c>
      <c r="C22" s="2032">
        <f t="shared" ref="C22:J22" si="4">+C19+C20-C21</f>
        <v>7440220.3707179436</v>
      </c>
      <c r="D22" s="2032">
        <f t="shared" si="4"/>
        <v>113124942.46722932</v>
      </c>
      <c r="E22" s="2032">
        <f t="shared" si="4"/>
        <v>927868.4022631353</v>
      </c>
      <c r="F22" s="2032">
        <f t="shared" si="4"/>
        <v>730455.49351598136</v>
      </c>
      <c r="G22" s="2032">
        <f t="shared" si="4"/>
        <v>712524.14323580917</v>
      </c>
      <c r="H22" s="2032">
        <f t="shared" si="4"/>
        <v>1062734.3412144727</v>
      </c>
      <c r="I22" s="2032">
        <f t="shared" si="4"/>
        <v>18195795.156604469</v>
      </c>
      <c r="J22" s="2032">
        <f t="shared" si="4"/>
        <v>0</v>
      </c>
    </row>
    <row r="23" spans="1:10">
      <c r="A23" s="851"/>
      <c r="B23" s="851"/>
      <c r="C23" s="851"/>
      <c r="D23" s="851"/>
      <c r="E23" s="851"/>
      <c r="F23" s="851"/>
      <c r="G23" s="851"/>
      <c r="H23" s="851"/>
      <c r="I23" s="851"/>
      <c r="J23" s="2026"/>
    </row>
    <row r="24" spans="1:10">
      <c r="A24" s="925" t="s">
        <v>2325</v>
      </c>
      <c r="B24" s="2032">
        <f>+B7-B16</f>
        <v>33964999.899999999</v>
      </c>
      <c r="C24" s="2032">
        <f t="shared" ref="C24:J24" si="5">+C7-C16</f>
        <v>52315495.08475434</v>
      </c>
      <c r="D24" s="2032">
        <f t="shared" si="5"/>
        <v>124862667.08243482</v>
      </c>
      <c r="E24" s="2032">
        <f t="shared" si="5"/>
        <v>2801540.1261311206</v>
      </c>
      <c r="F24" s="2032">
        <f t="shared" si="5"/>
        <v>118036.64803653001</v>
      </c>
      <c r="G24" s="2032">
        <f t="shared" si="5"/>
        <v>130256.37417241</v>
      </c>
      <c r="H24" s="2032">
        <f t="shared" si="5"/>
        <v>342128.49143226002</v>
      </c>
      <c r="I24" s="2032">
        <f t="shared" si="5"/>
        <v>11860044.216460101</v>
      </c>
      <c r="J24" s="2032">
        <f t="shared" si="5"/>
        <v>402479</v>
      </c>
    </row>
    <row r="25" spans="1:10">
      <c r="A25" s="2034" t="s">
        <v>2322</v>
      </c>
      <c r="B25" s="2035">
        <f>+B10-B19</f>
        <v>33964999.899999999</v>
      </c>
      <c r="C25" s="2035">
        <f t="shared" ref="C25:J25" si="6">+C10-C19</f>
        <v>53388336.64130123</v>
      </c>
      <c r="D25" s="2035">
        <f t="shared" si="6"/>
        <v>115804174.0699389</v>
      </c>
      <c r="E25" s="2035">
        <f t="shared" si="6"/>
        <v>2432391.5619339924</v>
      </c>
      <c r="F25" s="2035">
        <f t="shared" si="6"/>
        <v>55612.8345114158</v>
      </c>
      <c r="G25" s="2035">
        <f t="shared" si="6"/>
        <v>425532.22917240998</v>
      </c>
      <c r="H25" s="2035">
        <f t="shared" si="6"/>
        <v>316195.48384769063</v>
      </c>
      <c r="I25" s="2035">
        <f t="shared" si="6"/>
        <v>9842555.4438387752</v>
      </c>
      <c r="J25" s="2035">
        <f t="shared" si="6"/>
        <v>313007.53999999911</v>
      </c>
    </row>
    <row r="26" spans="1:10">
      <c r="A26" s="2036" t="s">
        <v>2326</v>
      </c>
      <c r="B26" s="2037">
        <f t="shared" ref="B26:J26" si="7">+ROUND(B13-B22,0)</f>
        <v>33965000</v>
      </c>
      <c r="C26" s="2037">
        <f t="shared" si="7"/>
        <v>53846158</v>
      </c>
      <c r="D26" s="2037">
        <f t="shared" si="7"/>
        <v>108979471</v>
      </c>
      <c r="E26" s="2037">
        <f t="shared" si="7"/>
        <v>2063243</v>
      </c>
      <c r="F26" s="2037">
        <f t="shared" si="7"/>
        <v>138180</v>
      </c>
      <c r="G26" s="2037">
        <f t="shared" si="7"/>
        <v>411219</v>
      </c>
      <c r="H26" s="2037">
        <f t="shared" si="7"/>
        <v>281463</v>
      </c>
      <c r="I26" s="2037">
        <f t="shared" si="7"/>
        <v>8262793</v>
      </c>
      <c r="J26" s="2037">
        <f t="shared" si="7"/>
        <v>40380749</v>
      </c>
    </row>
    <row r="27" spans="1:10">
      <c r="A27" s="836"/>
      <c r="B27" s="836"/>
      <c r="C27" s="836"/>
      <c r="D27" s="836"/>
      <c r="E27" s="836"/>
      <c r="F27" s="836"/>
      <c r="G27" s="836"/>
      <c r="H27" s="836"/>
      <c r="I27" s="836"/>
      <c r="J27" s="836"/>
    </row>
    <row r="28" spans="1:10">
      <c r="A28" s="2038" t="s">
        <v>2323</v>
      </c>
      <c r="B28" s="836"/>
      <c r="C28" s="836"/>
      <c r="D28" s="836"/>
      <c r="E28" s="836"/>
      <c r="F28" s="836"/>
      <c r="G28" s="836"/>
      <c r="H28" s="836"/>
      <c r="I28" s="836"/>
      <c r="J28" s="836"/>
    </row>
    <row r="29" spans="1:10">
      <c r="A29" s="836" t="s">
        <v>2324</v>
      </c>
      <c r="B29" s="836"/>
      <c r="C29" s="836"/>
      <c r="D29" s="836"/>
      <c r="E29" s="836"/>
      <c r="F29" s="836"/>
      <c r="G29" s="836"/>
      <c r="H29" s="836"/>
      <c r="I29" s="836"/>
      <c r="J29" s="836"/>
    </row>
    <row r="30" spans="1:10">
      <c r="A30" s="836"/>
      <c r="B30" s="836"/>
      <c r="C30" s="836"/>
      <c r="D30" s="836"/>
      <c r="E30" s="836"/>
      <c r="F30" s="836"/>
      <c r="G30" s="836"/>
      <c r="H30" s="836"/>
      <c r="I30" s="836"/>
      <c r="J30" s="836"/>
    </row>
    <row r="31" spans="1:10">
      <c r="A31" s="1008" t="s">
        <v>2331</v>
      </c>
      <c r="B31" s="836"/>
      <c r="C31" s="836"/>
      <c r="D31" s="836"/>
      <c r="E31" s="836"/>
      <c r="F31" s="836"/>
      <c r="G31" s="836"/>
      <c r="H31" s="836"/>
      <c r="I31" s="836"/>
      <c r="J31" s="836"/>
    </row>
    <row r="32" spans="1:10">
      <c r="A32" s="836"/>
      <c r="B32" s="836"/>
      <c r="C32" s="836"/>
      <c r="D32" s="836"/>
      <c r="E32" s="836"/>
      <c r="F32" s="836"/>
      <c r="G32" s="836"/>
      <c r="H32" s="836"/>
      <c r="I32" s="836"/>
      <c r="J32" s="836"/>
    </row>
    <row r="33" spans="1:10">
      <c r="A33" s="2024" t="s">
        <v>2341</v>
      </c>
      <c r="B33" s="836"/>
      <c r="C33" s="836"/>
      <c r="D33" s="836"/>
      <c r="E33" s="836"/>
      <c r="F33" s="836"/>
      <c r="G33" s="836"/>
      <c r="H33" s="836"/>
      <c r="I33" s="836"/>
      <c r="J33" s="836"/>
    </row>
    <row r="34" spans="1:10">
      <c r="A34" s="836"/>
      <c r="B34" s="836"/>
      <c r="C34" s="836"/>
      <c r="D34" s="836"/>
      <c r="E34" s="836"/>
      <c r="F34" s="836"/>
      <c r="G34" s="836"/>
      <c r="H34" s="836"/>
      <c r="I34" s="836"/>
      <c r="J34" s="836"/>
    </row>
    <row r="35" spans="1:10">
      <c r="A35" s="2284" t="s">
        <v>2332</v>
      </c>
      <c r="B35" s="2285" t="s">
        <v>2338</v>
      </c>
      <c r="C35" s="2285"/>
      <c r="D35" s="2285"/>
      <c r="E35" s="2285"/>
      <c r="F35" s="2285"/>
      <c r="G35" s="836"/>
      <c r="H35" s="836"/>
      <c r="I35" s="836"/>
      <c r="J35" s="836"/>
    </row>
    <row r="36" spans="1:10">
      <c r="A36" s="2284"/>
      <c r="B36" s="925" t="s">
        <v>2333</v>
      </c>
      <c r="C36" s="925" t="s">
        <v>2334</v>
      </c>
      <c r="D36" s="925" t="s">
        <v>2335</v>
      </c>
      <c r="E36" s="925" t="s">
        <v>2336</v>
      </c>
      <c r="F36" s="925" t="s">
        <v>1249</v>
      </c>
      <c r="G36" s="836"/>
      <c r="H36" s="836"/>
      <c r="I36" s="836"/>
      <c r="J36" s="836"/>
    </row>
    <row r="37" spans="1:10">
      <c r="A37" s="2039" t="s">
        <v>2337</v>
      </c>
      <c r="B37" s="870"/>
      <c r="C37" s="870"/>
      <c r="D37" s="870"/>
      <c r="E37" s="870"/>
      <c r="F37" s="870"/>
      <c r="G37" s="836"/>
      <c r="H37" s="836"/>
      <c r="I37" s="836"/>
      <c r="J37" s="836"/>
    </row>
    <row r="38" spans="1:10">
      <c r="A38" s="2039"/>
      <c r="B38" s="870"/>
      <c r="C38" s="870"/>
      <c r="D38" s="870"/>
      <c r="E38" s="870"/>
      <c r="F38" s="870"/>
      <c r="G38" s="836"/>
      <c r="H38" s="836"/>
      <c r="I38" s="836"/>
      <c r="J38" s="836"/>
    </row>
    <row r="39" spans="1:10">
      <c r="A39" s="870" t="s">
        <v>2339</v>
      </c>
      <c r="B39" s="1903">
        <v>19684023.510000002</v>
      </c>
      <c r="C39" s="1977">
        <v>0</v>
      </c>
      <c r="D39" s="1977">
        <v>0</v>
      </c>
      <c r="E39" s="1977">
        <v>0</v>
      </c>
      <c r="F39" s="2040">
        <f>+SUM(B39:E39)</f>
        <v>19684023.510000002</v>
      </c>
      <c r="G39" s="836"/>
      <c r="H39" s="836"/>
      <c r="I39" s="836"/>
      <c r="J39" s="836"/>
    </row>
    <row r="40" spans="1:10">
      <c r="A40" s="870"/>
      <c r="B40" s="687"/>
      <c r="C40" s="2041"/>
      <c r="D40" s="2041"/>
      <c r="E40" s="2041"/>
      <c r="F40" s="870"/>
      <c r="G40" s="836"/>
      <c r="H40" s="836"/>
      <c r="I40" s="836"/>
      <c r="J40" s="836"/>
    </row>
    <row r="41" spans="1:10">
      <c r="A41" s="870" t="s">
        <v>2340</v>
      </c>
      <c r="B41" s="1903">
        <v>20696725.73</v>
      </c>
      <c r="C41" s="1977">
        <v>0</v>
      </c>
      <c r="D41" s="1977">
        <v>0</v>
      </c>
      <c r="E41" s="1977">
        <v>0</v>
      </c>
      <c r="F41" s="2040">
        <f>+SUM(B41:E41)</f>
        <v>20696725.73</v>
      </c>
      <c r="G41" s="836"/>
      <c r="H41" s="836"/>
      <c r="I41" s="836"/>
      <c r="J41" s="836"/>
    </row>
    <row r="42" spans="1:10">
      <c r="A42" s="870"/>
      <c r="B42" s="870"/>
      <c r="C42" s="2042"/>
      <c r="D42" s="2042"/>
      <c r="E42" s="2042"/>
      <c r="F42" s="870"/>
      <c r="G42" s="836"/>
      <c r="H42" s="836"/>
      <c r="I42" s="836"/>
      <c r="J42" s="836"/>
    </row>
    <row r="43" spans="1:10">
      <c r="A43" s="870" t="s">
        <v>1249</v>
      </c>
      <c r="B43" s="2040">
        <f>+B39+B41</f>
        <v>40380749.240000002</v>
      </c>
      <c r="C43" s="2043">
        <f t="shared" ref="C43:F43" si="8">+C39+C41</f>
        <v>0</v>
      </c>
      <c r="D43" s="2044">
        <f t="shared" si="8"/>
        <v>0</v>
      </c>
      <c r="E43" s="2044">
        <f t="shared" si="8"/>
        <v>0</v>
      </c>
      <c r="F43" s="2040">
        <f t="shared" si="8"/>
        <v>40380749.240000002</v>
      </c>
      <c r="G43" s="836"/>
      <c r="H43" s="836"/>
      <c r="I43" s="836"/>
      <c r="J43" s="836"/>
    </row>
    <row r="44" spans="1:10">
      <c r="A44" s="836"/>
      <c r="B44" s="836"/>
      <c r="C44" s="836"/>
      <c r="D44" s="836"/>
      <c r="E44" s="836"/>
      <c r="F44" s="836"/>
      <c r="G44" s="836"/>
      <c r="H44" s="836"/>
      <c r="I44" s="836"/>
      <c r="J44" s="836"/>
    </row>
    <row r="45" spans="1:10">
      <c r="A45" s="2024" t="s">
        <v>2342</v>
      </c>
      <c r="B45" s="836"/>
      <c r="C45" s="836"/>
      <c r="D45" s="836"/>
      <c r="E45" s="836"/>
      <c r="F45" s="836"/>
      <c r="G45" s="836"/>
      <c r="H45" s="836"/>
      <c r="I45" s="836"/>
      <c r="J45" s="836"/>
    </row>
    <row r="46" spans="1:10">
      <c r="A46" s="836"/>
      <c r="B46" s="836"/>
      <c r="C46" s="836"/>
      <c r="D46" s="836"/>
      <c r="E46" s="836"/>
      <c r="F46" s="836"/>
      <c r="G46" s="836"/>
      <c r="H46" s="836"/>
      <c r="I46" s="836"/>
      <c r="J46" s="836"/>
    </row>
    <row r="47" spans="1:10">
      <c r="A47" s="2284" t="s">
        <v>2332</v>
      </c>
      <c r="B47" s="2285" t="s">
        <v>2338</v>
      </c>
      <c r="C47" s="2285"/>
      <c r="D47" s="2285"/>
      <c r="E47" s="2285"/>
      <c r="F47" s="2285"/>
      <c r="G47" s="836"/>
      <c r="H47" s="836"/>
      <c r="I47" s="836"/>
      <c r="J47" s="836"/>
    </row>
    <row r="48" spans="1:10">
      <c r="A48" s="2284"/>
      <c r="B48" s="925" t="s">
        <v>2333</v>
      </c>
      <c r="C48" s="925" t="s">
        <v>2334</v>
      </c>
      <c r="D48" s="925" t="s">
        <v>2335</v>
      </c>
      <c r="E48" s="925" t="s">
        <v>2336</v>
      </c>
      <c r="F48" s="925" t="s">
        <v>1249</v>
      </c>
      <c r="G48" s="836"/>
      <c r="H48" s="836"/>
      <c r="I48" s="836"/>
      <c r="J48" s="836"/>
    </row>
    <row r="49" spans="1:11">
      <c r="A49" s="2039" t="s">
        <v>2337</v>
      </c>
      <c r="B49" s="870"/>
      <c r="C49" s="870"/>
      <c r="D49" s="870"/>
      <c r="E49" s="870"/>
      <c r="F49" s="870"/>
      <c r="G49" s="836"/>
      <c r="H49" s="836"/>
      <c r="I49" s="836"/>
      <c r="J49" s="836"/>
    </row>
    <row r="50" spans="1:11">
      <c r="A50" s="2039"/>
      <c r="B50" s="870"/>
      <c r="C50" s="870"/>
      <c r="D50" s="870"/>
      <c r="E50" s="870"/>
      <c r="F50" s="870"/>
      <c r="G50" s="836"/>
      <c r="H50" s="836"/>
      <c r="I50" s="836"/>
      <c r="J50" s="836"/>
    </row>
    <row r="51" spans="1:11">
      <c r="A51" s="870" t="s">
        <v>2339</v>
      </c>
      <c r="B51" s="1976">
        <v>0</v>
      </c>
      <c r="C51" s="1976">
        <v>0</v>
      </c>
      <c r="D51" s="1976">
        <v>0</v>
      </c>
      <c r="E51" s="1976">
        <v>0</v>
      </c>
      <c r="F51" s="2040">
        <f>+SUM(B51:E51)</f>
        <v>0</v>
      </c>
      <c r="G51" s="836"/>
      <c r="H51" s="836"/>
      <c r="I51" s="836"/>
      <c r="J51" s="836"/>
    </row>
    <row r="52" spans="1:11">
      <c r="A52" s="870"/>
      <c r="B52" s="870"/>
      <c r="C52" s="2045"/>
      <c r="D52" s="2045"/>
      <c r="E52" s="2045"/>
      <c r="F52" s="870"/>
      <c r="G52" s="836"/>
      <c r="H52" s="836"/>
      <c r="I52" s="836"/>
      <c r="J52" s="836"/>
    </row>
    <row r="53" spans="1:11">
      <c r="A53" s="870" t="s">
        <v>2340</v>
      </c>
      <c r="B53" s="1903">
        <v>313008.2</v>
      </c>
      <c r="C53" s="1976">
        <v>0</v>
      </c>
      <c r="D53" s="1976">
        <v>0</v>
      </c>
      <c r="E53" s="1976">
        <v>0</v>
      </c>
      <c r="F53" s="2040">
        <f>+SUM(B53:E53)</f>
        <v>313008.2</v>
      </c>
      <c r="G53" s="836"/>
      <c r="H53" s="836"/>
      <c r="I53" s="836"/>
      <c r="J53" s="836"/>
    </row>
    <row r="54" spans="1:11">
      <c r="A54" s="870"/>
      <c r="B54" s="870"/>
      <c r="C54" s="870"/>
      <c r="D54" s="870"/>
      <c r="E54" s="870"/>
      <c r="F54" s="870"/>
      <c r="G54" s="836"/>
      <c r="H54" s="836"/>
      <c r="I54" s="836"/>
      <c r="J54" s="836"/>
    </row>
    <row r="55" spans="1:11">
      <c r="A55" s="870" t="s">
        <v>1249</v>
      </c>
      <c r="B55" s="2040">
        <f>+B51+B53</f>
        <v>313008.2</v>
      </c>
      <c r="C55" s="2040">
        <f t="shared" ref="C55:F55" si="9">+C51+C53</f>
        <v>0</v>
      </c>
      <c r="D55" s="2040">
        <f t="shared" si="9"/>
        <v>0</v>
      </c>
      <c r="E55" s="2040">
        <f t="shared" si="9"/>
        <v>0</v>
      </c>
      <c r="F55" s="2040">
        <f t="shared" si="9"/>
        <v>313008.2</v>
      </c>
      <c r="G55" s="836"/>
      <c r="H55" s="836"/>
      <c r="I55" s="836"/>
      <c r="J55" s="836"/>
    </row>
    <row r="56" spans="1:11">
      <c r="A56" s="836"/>
      <c r="B56" s="836"/>
      <c r="C56" s="836"/>
      <c r="D56" s="836"/>
      <c r="E56" s="836"/>
      <c r="F56" s="836"/>
      <c r="G56" s="836"/>
      <c r="H56" s="836"/>
      <c r="I56" s="836"/>
      <c r="J56" s="836"/>
    </row>
    <row r="59" spans="1:11" ht="15.75" thickBot="1"/>
    <row r="60" spans="1:11" ht="16.5" thickBot="1">
      <c r="A60" s="962"/>
      <c r="B60" s="2281" t="s">
        <v>2299</v>
      </c>
      <c r="C60" s="2281"/>
      <c r="D60" s="2281"/>
      <c r="E60" s="2281"/>
      <c r="F60" s="2281"/>
      <c r="G60" s="2281"/>
      <c r="H60" s="2281"/>
      <c r="I60" s="2281"/>
      <c r="J60" s="2281"/>
      <c r="K60" s="2282"/>
    </row>
    <row r="61" spans="1:11" ht="15.75">
      <c r="A61" s="2273"/>
      <c r="B61" s="2275" t="s">
        <v>2300</v>
      </c>
      <c r="C61" s="2276"/>
      <c r="D61" s="2276"/>
      <c r="E61" s="2277"/>
      <c r="F61" s="2278" t="s">
        <v>610</v>
      </c>
      <c r="G61" s="2279"/>
      <c r="H61" s="2280"/>
      <c r="I61" s="2279"/>
      <c r="J61" s="963">
        <v>44287</v>
      </c>
      <c r="K61" s="964">
        <v>44651</v>
      </c>
    </row>
    <row r="62" spans="1:11" ht="48" thickBot="1">
      <c r="A62" s="2274"/>
      <c r="B62" s="965">
        <v>44287</v>
      </c>
      <c r="C62" s="966" t="s">
        <v>2301</v>
      </c>
      <c r="D62" s="967" t="s">
        <v>2302</v>
      </c>
      <c r="E62" s="965">
        <v>44651</v>
      </c>
      <c r="F62" s="968" t="s">
        <v>2303</v>
      </c>
      <c r="G62" s="967" t="s">
        <v>2304</v>
      </c>
      <c r="H62" s="969" t="s">
        <v>2305</v>
      </c>
      <c r="I62" s="968" t="s">
        <v>2306</v>
      </c>
      <c r="J62" s="970" t="s">
        <v>2307</v>
      </c>
      <c r="K62" s="971" t="s">
        <v>2307</v>
      </c>
    </row>
    <row r="63" spans="1:11">
      <c r="A63" s="972" t="s">
        <v>2210</v>
      </c>
      <c r="B63" s="973">
        <f>+'[68]Summary-20-21'!E4</f>
        <v>33964999.899999999</v>
      </c>
      <c r="C63" s="974">
        <f>+'[68]Summary 2021-22'!C4</f>
        <v>0</v>
      </c>
      <c r="D63" s="974">
        <f>+'[68]Summary 2021-22'!D4</f>
        <v>0</v>
      </c>
      <c r="E63" s="974">
        <f>B63+C63-D63</f>
        <v>33964999.899999999</v>
      </c>
      <c r="F63" s="974">
        <f>+'[68]Summary-20-21'!I4</f>
        <v>0</v>
      </c>
      <c r="G63" s="974">
        <f>+'[68]Summary 2021-22'!G4</f>
        <v>0</v>
      </c>
      <c r="H63" s="974">
        <f>+'[68]Summary 2021-22'!H4</f>
        <v>0</v>
      </c>
      <c r="I63" s="974">
        <v>0</v>
      </c>
      <c r="J63" s="974">
        <f>B63-F63</f>
        <v>33964999.899999999</v>
      </c>
      <c r="K63" s="975">
        <f t="shared" ref="K63:K70" si="10">E63-I63</f>
        <v>33964999.899999999</v>
      </c>
    </row>
    <row r="64" spans="1:11">
      <c r="A64" s="976" t="s">
        <v>2308</v>
      </c>
      <c r="B64" s="973">
        <f>+'[68]Summary-20-21'!E5</f>
        <v>58923230.529999994</v>
      </c>
      <c r="C64" s="974">
        <f>+'[68]Summary 2021-22'!C5</f>
        <v>2363147.9900000002</v>
      </c>
      <c r="D64" s="974">
        <f>+'[68]Summary 2021-22'!D5</f>
        <v>0</v>
      </c>
      <c r="E64" s="977">
        <f t="shared" ref="E64:E69" si="11">B64+C64-D64</f>
        <v>61286378.519999996</v>
      </c>
      <c r="F64" s="974">
        <f>+'[68]Summary-20-21'!I5</f>
        <v>5534893.9886987675</v>
      </c>
      <c r="G64" s="974">
        <f>+'[68]Summary 2021-22'!G5</f>
        <v>1905326.4820191783</v>
      </c>
      <c r="H64" s="974">
        <f>+'[68]Summary 2021-22'!H5</f>
        <v>0</v>
      </c>
      <c r="I64" s="977">
        <f t="shared" ref="I64:I70" si="12">F64+G64-H64</f>
        <v>7440220.4707179461</v>
      </c>
      <c r="J64" s="977">
        <f t="shared" ref="J64:J70" si="13">B64-F64</f>
        <v>53388336.541301228</v>
      </c>
      <c r="K64" s="978">
        <f t="shared" si="10"/>
        <v>53846158.049282052</v>
      </c>
    </row>
    <row r="65" spans="1:11">
      <c r="A65" s="976" t="s">
        <v>240</v>
      </c>
      <c r="B65" s="973">
        <f>+'[68]Summary-20-21'!E6</f>
        <v>215300342.50799999</v>
      </c>
      <c r="C65" s="974">
        <f>+'[68]Summary 2021-22'!C6-1</f>
        <v>6804070.8600000003</v>
      </c>
      <c r="D65" s="974">
        <f>+'[68]Summary 2021-22'!D6</f>
        <v>0</v>
      </c>
      <c r="E65" s="977">
        <f>B65+C65-D65</f>
        <v>222104413.368</v>
      </c>
      <c r="F65" s="974">
        <f>+'[68]Summary-20-21'!I6</f>
        <v>99496168.438061088</v>
      </c>
      <c r="G65" s="974">
        <f>+'[68]Summary 2021-22'!G6</f>
        <v>13628774.029168235</v>
      </c>
      <c r="H65" s="974">
        <f>+'[68]Summary 2021-22'!H6</f>
        <v>0</v>
      </c>
      <c r="I65" s="977">
        <f>F65+G65-H65</f>
        <v>113124942.46722932</v>
      </c>
      <c r="J65" s="977">
        <f t="shared" si="13"/>
        <v>115804174.0699389</v>
      </c>
      <c r="K65" s="978">
        <f t="shared" si="10"/>
        <v>108979470.90077068</v>
      </c>
    </row>
    <row r="66" spans="1:11">
      <c r="A66" s="976" t="s">
        <v>2309</v>
      </c>
      <c r="B66" s="973">
        <f>+'[68]Summary-20-21'!E7</f>
        <v>2991111</v>
      </c>
      <c r="C66" s="974">
        <f>+'[68]Summary 2021-22'!C7</f>
        <v>0</v>
      </c>
      <c r="D66" s="974">
        <f>+'[68]Summary 2021-22'!D7</f>
        <v>0</v>
      </c>
      <c r="E66" s="977">
        <f t="shared" si="11"/>
        <v>2991111</v>
      </c>
      <c r="F66" s="974">
        <f>+'[68]Summary-20-21'!I7</f>
        <v>558719.83806600736</v>
      </c>
      <c r="G66" s="974">
        <f>+'[68]Summary 2021-22'!G7</f>
        <v>369148.96419712796</v>
      </c>
      <c r="H66" s="974">
        <f>+'[68]Summary 2021-22'!H7</f>
        <v>0</v>
      </c>
      <c r="I66" s="977">
        <f t="shared" si="12"/>
        <v>927868.80226313532</v>
      </c>
      <c r="J66" s="977">
        <f t="shared" si="13"/>
        <v>2432391.1619339925</v>
      </c>
      <c r="K66" s="978">
        <f t="shared" si="10"/>
        <v>2063242.1977368647</v>
      </c>
    </row>
    <row r="67" spans="1:11">
      <c r="A67" s="976" t="s">
        <v>2230</v>
      </c>
      <c r="B67" s="973">
        <f>+'[68]Summary-20-21'!E8</f>
        <v>744525.7</v>
      </c>
      <c r="C67" s="974">
        <f>+'[68]Summary 2021-22'!C8-0.24228024</f>
        <v>124109.75771976</v>
      </c>
      <c r="D67" s="974">
        <f>+'[68]Summary 2021-22'!D8</f>
        <v>0</v>
      </c>
      <c r="E67" s="977">
        <f t="shared" si="11"/>
        <v>868635.45771976002</v>
      </c>
      <c r="F67" s="974">
        <f>+'[68]Summary-20-21'!I8</f>
        <v>688913.61548858462</v>
      </c>
      <c r="G67" s="974">
        <f>+'[68]Summary 2021-22'!G8</f>
        <v>41542.628027397266</v>
      </c>
      <c r="H67" s="974">
        <f>+'[68]Summary 2021-22'!H8</f>
        <v>0</v>
      </c>
      <c r="I67" s="977">
        <f t="shared" si="12"/>
        <v>730456.24351598183</v>
      </c>
      <c r="J67" s="977">
        <f t="shared" si="13"/>
        <v>55612.084511415334</v>
      </c>
      <c r="K67" s="978">
        <f t="shared" si="10"/>
        <v>138179.21420377819</v>
      </c>
    </row>
    <row r="68" spans="1:11">
      <c r="A68" s="976" t="s">
        <v>2227</v>
      </c>
      <c r="B68" s="973">
        <f>+'[68]Summary-20-21'!E9</f>
        <v>1024059.5</v>
      </c>
      <c r="C68" s="974">
        <f>+'[68]Summary 2021-22'!C9</f>
        <v>99683.63</v>
      </c>
      <c r="D68" s="974">
        <f>+'[68]Summary 2021-22'!D9</f>
        <v>0</v>
      </c>
      <c r="E68" s="977">
        <f>B68+C68-D68</f>
        <v>1123743.1299999999</v>
      </c>
      <c r="F68" s="974">
        <f>+'[68]Summary-20-21'!I9</f>
        <v>598525.87082759</v>
      </c>
      <c r="G68" s="974">
        <f>+'[68]Summary 2021-22'!G9</f>
        <v>113996.87240821918</v>
      </c>
      <c r="H68" s="974">
        <f>+'[68]Summary 2021-22'!H9</f>
        <v>0</v>
      </c>
      <c r="I68" s="977">
        <f t="shared" si="12"/>
        <v>712522.74323580915</v>
      </c>
      <c r="J68" s="977">
        <f t="shared" si="13"/>
        <v>425533.62917241</v>
      </c>
      <c r="K68" s="978">
        <f t="shared" si="10"/>
        <v>411220.38676419074</v>
      </c>
    </row>
    <row r="69" spans="1:11">
      <c r="A69" s="976" t="s">
        <v>2310</v>
      </c>
      <c r="B69" s="973">
        <f>+'[68]Summary-20-21'!E10</f>
        <v>1330214.03</v>
      </c>
      <c r="C69" s="974">
        <f>+'[68]Summary 2021-22'!C10</f>
        <v>13983</v>
      </c>
      <c r="D69" s="974">
        <f>+'[68]Summary 2021-22'!D10</f>
        <v>0</v>
      </c>
      <c r="E69" s="977">
        <f t="shared" si="11"/>
        <v>1344197.03</v>
      </c>
      <c r="F69" s="974">
        <f>+'[68]Summary-20-21'!I10</f>
        <v>1014017.3961523059</v>
      </c>
      <c r="G69" s="974">
        <f>+'[68]Summary 2021-22'!G10</f>
        <v>48716.19506216341</v>
      </c>
      <c r="H69" s="974">
        <f>+'[68]Summary 2021-22'!H10</f>
        <v>0</v>
      </c>
      <c r="I69" s="977">
        <f t="shared" si="12"/>
        <v>1062733.5912144694</v>
      </c>
      <c r="J69" s="977">
        <f t="shared" si="13"/>
        <v>316196.63384769415</v>
      </c>
      <c r="K69" s="978">
        <f t="shared" si="10"/>
        <v>281463.43878553063</v>
      </c>
    </row>
    <row r="70" spans="1:11" ht="15.75" thickBot="1">
      <c r="A70" s="979" t="s">
        <v>2311</v>
      </c>
      <c r="B70" s="973">
        <f>+'[68]Summary-20-21'!E11</f>
        <v>26188108.080000002</v>
      </c>
      <c r="C70" s="974">
        <f>+'[68]Summary 2021-22'!C11</f>
        <v>270480</v>
      </c>
      <c r="D70" s="974">
        <f>+'[68]Summary 2021-22'!D11</f>
        <v>0</v>
      </c>
      <c r="E70" s="980">
        <f>B70+C70-D70</f>
        <v>26458588.080000002</v>
      </c>
      <c r="F70" s="974">
        <f>+'[68]Summary-20-21'!I11</f>
        <v>16345550.182161208</v>
      </c>
      <c r="G70" s="974">
        <f>+'[68]Summary 2021-22'!G11</f>
        <v>1850243.3204432426</v>
      </c>
      <c r="H70" s="974">
        <f>+'[68]Summary 2021-22'!H11</f>
        <v>0</v>
      </c>
      <c r="I70" s="980">
        <f t="shared" si="12"/>
        <v>18195793.502604451</v>
      </c>
      <c r="J70" s="980">
        <f t="shared" si="13"/>
        <v>9842557.8978387937</v>
      </c>
      <c r="K70" s="981">
        <f t="shared" si="10"/>
        <v>8262794.5773955509</v>
      </c>
    </row>
    <row r="71" spans="1:11" ht="16.5" thickBot="1">
      <c r="A71" s="982" t="s">
        <v>2312</v>
      </c>
      <c r="B71" s="983">
        <f>SUM(B63:B70)</f>
        <v>340466591.24799991</v>
      </c>
      <c r="C71" s="983">
        <f t="shared" ref="C71:J71" si="14">SUM(C63:C70)</f>
        <v>9675475.2377197631</v>
      </c>
      <c r="D71" s="983">
        <f t="shared" si="14"/>
        <v>0</v>
      </c>
      <c r="E71" s="983">
        <f t="shared" si="14"/>
        <v>350142066.48571968</v>
      </c>
      <c r="F71" s="983">
        <f t="shared" si="14"/>
        <v>124236789.32945555</v>
      </c>
      <c r="G71" s="983">
        <f t="shared" si="14"/>
        <v>17957748.491325565</v>
      </c>
      <c r="H71" s="983">
        <f t="shared" si="14"/>
        <v>0</v>
      </c>
      <c r="I71" s="983">
        <f t="shared" si="14"/>
        <v>142194537.82078111</v>
      </c>
      <c r="J71" s="983">
        <f t="shared" si="14"/>
        <v>216229801.91854444</v>
      </c>
      <c r="K71" s="984">
        <f>SUM(K63:K70)</f>
        <v>207947528.66493863</v>
      </c>
    </row>
    <row r="72" spans="1:11" ht="15.75" thickBot="1">
      <c r="A72" s="985"/>
      <c r="B72" s="426"/>
      <c r="K72" s="986"/>
    </row>
    <row r="73" spans="1:11" ht="15.75" thickBot="1">
      <c r="A73" s="987" t="s">
        <v>953</v>
      </c>
      <c r="B73" s="988"/>
      <c r="C73" s="988"/>
      <c r="D73" s="988"/>
      <c r="E73" s="988"/>
      <c r="F73" s="988"/>
      <c r="G73" s="988"/>
      <c r="H73" s="988"/>
      <c r="I73" s="988"/>
      <c r="J73" s="988"/>
      <c r="K73" s="989"/>
    </row>
    <row r="74" spans="1:11">
      <c r="A74" s="990" t="s">
        <v>2313</v>
      </c>
      <c r="B74" s="991">
        <f>+'[68]Summary-20-21'!E15</f>
        <v>133007.59999999963</v>
      </c>
      <c r="C74" s="992">
        <f>+'[68]Summary 2021-22'!C15</f>
        <v>1825887.73</v>
      </c>
      <c r="D74" s="974">
        <f>+'[68]Summary 2021-22'!D15</f>
        <v>820398.42</v>
      </c>
      <c r="E74" s="992">
        <f>B74+C74-D74</f>
        <v>1138496.9099999997</v>
      </c>
      <c r="F74" s="974">
        <v>0</v>
      </c>
      <c r="G74" s="974">
        <v>0</v>
      </c>
      <c r="H74" s="974">
        <v>0</v>
      </c>
      <c r="I74" s="974">
        <v>0</v>
      </c>
      <c r="J74" s="994">
        <f>+B74</f>
        <v>133007.59999999963</v>
      </c>
      <c r="K74" s="994">
        <f>E74</f>
        <v>1138496.9099999997</v>
      </c>
    </row>
    <row r="75" spans="1:11" ht="15.75" thickBot="1">
      <c r="A75" s="995" t="s">
        <v>2314</v>
      </c>
      <c r="B75" s="991">
        <f>+'[68]Summary-20-21'!E16</f>
        <v>179999.53999999957</v>
      </c>
      <c r="C75" s="992">
        <v>42196733.909999996</v>
      </c>
      <c r="D75" s="974">
        <f>+'[68]Summary 2021-22'!D16</f>
        <v>3134481</v>
      </c>
      <c r="E75" s="992">
        <f>B75+C75-D75</f>
        <v>39242252.449999996</v>
      </c>
      <c r="F75" s="974">
        <v>0</v>
      </c>
      <c r="G75" s="974">
        <v>0</v>
      </c>
      <c r="H75" s="974">
        <v>0</v>
      </c>
      <c r="I75" s="974">
        <v>0</v>
      </c>
      <c r="J75" s="996">
        <f>B75</f>
        <v>179999.53999999957</v>
      </c>
      <c r="K75" s="994">
        <f>E75</f>
        <v>39242252.449999996</v>
      </c>
    </row>
    <row r="76" spans="1:11" ht="16.5" thickBot="1">
      <c r="A76" s="997" t="s">
        <v>2312</v>
      </c>
      <c r="B76" s="998">
        <f>SUM(B74:B75)</f>
        <v>313007.1399999992</v>
      </c>
      <c r="C76" s="983">
        <f t="shared" ref="C76:K76" si="15">SUM(C74:C75)</f>
        <v>44022621.639999993</v>
      </c>
      <c r="D76" s="983">
        <f t="shared" si="15"/>
        <v>3954879.42</v>
      </c>
      <c r="E76" s="983">
        <f>SUM(E74:E75)</f>
        <v>40380749.359999992</v>
      </c>
      <c r="F76" s="983">
        <f t="shared" si="15"/>
        <v>0</v>
      </c>
      <c r="G76" s="983">
        <f t="shared" si="15"/>
        <v>0</v>
      </c>
      <c r="H76" s="983">
        <f t="shared" si="15"/>
        <v>0</v>
      </c>
      <c r="I76" s="983">
        <f t="shared" si="15"/>
        <v>0</v>
      </c>
      <c r="J76" s="983">
        <f t="shared" si="15"/>
        <v>313007.1399999992</v>
      </c>
      <c r="K76" s="984">
        <f t="shared" si="15"/>
        <v>40380749.359999992</v>
      </c>
    </row>
    <row r="77" spans="1:11" ht="15.75" thickBot="1">
      <c r="A77" s="999"/>
      <c r="K77" s="986"/>
    </row>
    <row r="78" spans="1:11" ht="16.5" thickBot="1">
      <c r="A78" s="997" t="s">
        <v>1249</v>
      </c>
      <c r="B78" s="998">
        <f>B71+B76</f>
        <v>340779598.38799989</v>
      </c>
      <c r="C78" s="983">
        <f t="shared" ref="C78:K78" si="16">C71+C76</f>
        <v>53698096.87771976</v>
      </c>
      <c r="D78" s="983">
        <f t="shared" si="16"/>
        <v>3954879.42</v>
      </c>
      <c r="E78" s="983">
        <f>E71+E76</f>
        <v>390522815.8457197</v>
      </c>
      <c r="F78" s="983">
        <f t="shared" si="16"/>
        <v>124236789.32945555</v>
      </c>
      <c r="G78" s="983">
        <f t="shared" si="16"/>
        <v>17957748.491325565</v>
      </c>
      <c r="H78" s="983">
        <f t="shared" si="16"/>
        <v>0</v>
      </c>
      <c r="I78" s="983">
        <f t="shared" si="16"/>
        <v>142194537.82078111</v>
      </c>
      <c r="J78" s="983">
        <f t="shared" si="16"/>
        <v>216542809.05854443</v>
      </c>
      <c r="K78" s="984">
        <f t="shared" si="16"/>
        <v>248328278.02493861</v>
      </c>
    </row>
    <row r="80" spans="1:11" ht="15.75" thickBot="1"/>
    <row r="81" spans="1:11" ht="16.5" thickBot="1">
      <c r="A81" s="962"/>
      <c r="B81" s="2281" t="s">
        <v>2327</v>
      </c>
      <c r="C81" s="2281"/>
      <c r="D81" s="2281"/>
      <c r="E81" s="2281"/>
      <c r="F81" s="2281"/>
      <c r="G81" s="2281"/>
      <c r="H81" s="2281"/>
      <c r="I81" s="2281"/>
      <c r="J81" s="2281"/>
      <c r="K81" s="2282"/>
    </row>
    <row r="82" spans="1:11" ht="15.75">
      <c r="A82" s="2273"/>
      <c r="B82" s="2275" t="s">
        <v>2300</v>
      </c>
      <c r="C82" s="2276"/>
      <c r="D82" s="2276"/>
      <c r="E82" s="2277"/>
      <c r="F82" s="2278" t="s">
        <v>610</v>
      </c>
      <c r="G82" s="2279"/>
      <c r="H82" s="2280"/>
      <c r="I82" s="2279"/>
      <c r="J82" s="963">
        <v>43922</v>
      </c>
      <c r="K82" s="964">
        <v>44286</v>
      </c>
    </row>
    <row r="83" spans="1:11" ht="48" thickBot="1">
      <c r="A83" s="2274"/>
      <c r="B83" s="965">
        <v>43922</v>
      </c>
      <c r="C83" s="966" t="s">
        <v>2328</v>
      </c>
      <c r="D83" s="967" t="s">
        <v>2329</v>
      </c>
      <c r="E83" s="965">
        <v>44286</v>
      </c>
      <c r="F83" s="968" t="s">
        <v>2330</v>
      </c>
      <c r="G83" s="967" t="s">
        <v>2304</v>
      </c>
      <c r="H83" s="969" t="s">
        <v>2305</v>
      </c>
      <c r="I83" s="968" t="s">
        <v>2306</v>
      </c>
      <c r="J83" s="970" t="s">
        <v>2307</v>
      </c>
      <c r="K83" s="971" t="s">
        <v>2307</v>
      </c>
    </row>
    <row r="84" spans="1:11">
      <c r="A84" s="972" t="s">
        <v>2210</v>
      </c>
      <c r="B84" s="973">
        <v>33964999.899999999</v>
      </c>
      <c r="C84" s="973">
        <v>0</v>
      </c>
      <c r="D84" s="973">
        <v>0</v>
      </c>
      <c r="E84" s="974">
        <f t="shared" ref="E84:E91" si="17">B84+C84-D84</f>
        <v>33964999.899999999</v>
      </c>
      <c r="F84" s="973">
        <v>0</v>
      </c>
      <c r="G84" s="973">
        <v>0</v>
      </c>
      <c r="H84" s="973"/>
      <c r="I84" s="973">
        <v>0</v>
      </c>
      <c r="J84" s="1002">
        <v>33964999.899999999</v>
      </c>
      <c r="K84" s="1003">
        <v>33964999.899999999</v>
      </c>
    </row>
    <row r="85" spans="1:11">
      <c r="A85" s="976" t="s">
        <v>2308</v>
      </c>
      <c r="B85" s="973">
        <v>56016203.549999997</v>
      </c>
      <c r="C85" s="973">
        <v>2907026.98</v>
      </c>
      <c r="D85" s="973">
        <v>0</v>
      </c>
      <c r="E85" s="974">
        <f t="shared" si="17"/>
        <v>58923230.529999994</v>
      </c>
      <c r="F85" s="973">
        <f>3700708.56524566-0.1</f>
        <v>3700708.4652456599</v>
      </c>
      <c r="G85" s="973">
        <v>1834185.4234531051</v>
      </c>
      <c r="H85" s="973">
        <v>0</v>
      </c>
      <c r="I85" s="1004">
        <v>5534893.9886987675</v>
      </c>
      <c r="J85" s="1004">
        <v>52315494.984754331</v>
      </c>
      <c r="K85" s="1005">
        <v>53388336.541301228</v>
      </c>
    </row>
    <row r="86" spans="1:11">
      <c r="A86" s="976" t="s">
        <v>240</v>
      </c>
      <c r="B86" s="973">
        <v>217294094.07799998</v>
      </c>
      <c r="C86" s="973">
        <v>5234643.66</v>
      </c>
      <c r="D86" s="973">
        <v>7228395.2299999995</v>
      </c>
      <c r="E86" s="974">
        <f t="shared" si="17"/>
        <v>215300342.50799999</v>
      </c>
      <c r="F86" s="973">
        <v>92431426.995565161</v>
      </c>
      <c r="G86" s="973">
        <v>13466160.816718986</v>
      </c>
      <c r="H86" s="973">
        <v>6401419.3742230469</v>
      </c>
      <c r="I86" s="1004">
        <v>99496168.438061088</v>
      </c>
      <c r="J86" s="1004">
        <v>124862667.08243482</v>
      </c>
      <c r="K86" s="1005">
        <v>115804174.0699389</v>
      </c>
    </row>
    <row r="87" spans="1:11">
      <c r="A87" s="976" t="s">
        <v>2309</v>
      </c>
      <c r="B87" s="973">
        <v>2991111</v>
      </c>
      <c r="C87" s="973">
        <v>0</v>
      </c>
      <c r="D87" s="973">
        <v>0</v>
      </c>
      <c r="E87" s="974">
        <f t="shared" si="17"/>
        <v>2991111</v>
      </c>
      <c r="F87" s="973">
        <v>189570.87386887943</v>
      </c>
      <c r="G87" s="973">
        <v>369148.96419712796</v>
      </c>
      <c r="H87" s="973">
        <v>0</v>
      </c>
      <c r="I87" s="1004">
        <v>558719.83806600736</v>
      </c>
      <c r="J87" s="1004">
        <v>2801540.1261311206</v>
      </c>
      <c r="K87" s="1005">
        <f>2432391.16193399+0.4</f>
        <v>2432391.5619339901</v>
      </c>
    </row>
    <row r="88" spans="1:11">
      <c r="A88" s="976" t="s">
        <v>2230</v>
      </c>
      <c r="B88" s="973">
        <v>1057200.7</v>
      </c>
      <c r="C88" s="973">
        <v>0</v>
      </c>
      <c r="D88" s="973">
        <v>312675</v>
      </c>
      <c r="E88" s="974">
        <f t="shared" si="17"/>
        <v>744525.7</v>
      </c>
      <c r="F88" s="973">
        <f>939165.05196347-1</f>
        <v>939164.05196346994</v>
      </c>
      <c r="G88" s="973">
        <v>46789.81352511415</v>
      </c>
      <c r="H88" s="973">
        <v>297041</v>
      </c>
      <c r="I88" s="1004">
        <v>688913.86548858462</v>
      </c>
      <c r="J88" s="1004">
        <v>118035.64803652954</v>
      </c>
      <c r="K88" s="1005">
        <f>55611.8345114153+0.8+0.03</f>
        <v>55612.6645114153</v>
      </c>
    </row>
    <row r="89" spans="1:11">
      <c r="A89" s="976" t="s">
        <v>2227</v>
      </c>
      <c r="B89" s="973">
        <v>884075.03</v>
      </c>
      <c r="C89" s="973">
        <v>415195.47</v>
      </c>
      <c r="D89" s="973">
        <v>275211</v>
      </c>
      <c r="E89" s="974">
        <f t="shared" si="17"/>
        <v>1024059.5</v>
      </c>
      <c r="F89" s="973">
        <f>753817.65582759+1</f>
        <v>753818.65582759003</v>
      </c>
      <c r="G89" s="973">
        <v>103252.61500000002</v>
      </c>
      <c r="H89" s="973">
        <v>258544</v>
      </c>
      <c r="I89" s="1004">
        <v>598526.27082759002</v>
      </c>
      <c r="J89" s="1004">
        <v>130257.37417241</v>
      </c>
      <c r="K89" s="1005">
        <f>425533.22917241-0.8</f>
        <v>425532.42917240999</v>
      </c>
    </row>
    <row r="90" spans="1:11">
      <c r="A90" s="976" t="s">
        <v>2310</v>
      </c>
      <c r="B90" s="973">
        <v>1820295</v>
      </c>
      <c r="C90" s="973">
        <v>47872.03</v>
      </c>
      <c r="D90" s="973">
        <v>537953</v>
      </c>
      <c r="E90" s="974">
        <f t="shared" si="17"/>
        <v>1330214.03</v>
      </c>
      <c r="F90" s="973">
        <f>1478166.10856774+0.4</f>
        <v>1478166.50856774</v>
      </c>
      <c r="G90" s="973">
        <v>46906.637584569173</v>
      </c>
      <c r="H90" s="973">
        <v>511055</v>
      </c>
      <c r="I90" s="1004">
        <v>1014017.7461523057</v>
      </c>
      <c r="J90" s="1004">
        <v>342128.89143226342</v>
      </c>
      <c r="K90" s="1005">
        <f>316196.283847694-0.8</f>
        <v>316195.48384769401</v>
      </c>
    </row>
    <row r="91" spans="1:11" ht="15.75" thickBot="1">
      <c r="A91" s="979" t="s">
        <v>2311</v>
      </c>
      <c r="B91" s="973">
        <v>28507136.800000001</v>
      </c>
      <c r="C91" s="973">
        <v>422775</v>
      </c>
      <c r="D91" s="973">
        <v>2741803.7199999997</v>
      </c>
      <c r="E91" s="974">
        <f t="shared" si="17"/>
        <v>26188108.080000002</v>
      </c>
      <c r="F91" s="973">
        <f>16647091.5835399+1</f>
        <v>16647092.583539899</v>
      </c>
      <c r="G91" s="973">
        <v>1861537.3326213248</v>
      </c>
      <c r="H91" s="973">
        <v>2163078.08</v>
      </c>
      <c r="I91" s="1004">
        <f>+F91+G91-H91</f>
        <v>16345551.836161224</v>
      </c>
      <c r="J91" s="1006">
        <v>11860045.216460114</v>
      </c>
      <c r="K91" s="1007">
        <f>+E91-I91</f>
        <v>9842556.2438387778</v>
      </c>
    </row>
    <row r="92" spans="1:11" ht="16.5" thickBot="1">
      <c r="A92" s="982" t="s">
        <v>2312</v>
      </c>
      <c r="B92" s="984">
        <f t="shared" ref="B92:I92" si="18">+SUM(B84:B91)</f>
        <v>342535116.05799997</v>
      </c>
      <c r="C92" s="984">
        <f t="shared" si="18"/>
        <v>9027513.1400000006</v>
      </c>
      <c r="D92" s="984">
        <f t="shared" si="18"/>
        <v>11096037.949999999</v>
      </c>
      <c r="E92" s="984">
        <f t="shared" si="18"/>
        <v>340466591.24799991</v>
      </c>
      <c r="F92" s="984">
        <f t="shared" si="18"/>
        <v>116139948.13457841</v>
      </c>
      <c r="G92" s="984">
        <f t="shared" si="18"/>
        <v>17727981.603100225</v>
      </c>
      <c r="H92" s="984">
        <f t="shared" si="18"/>
        <v>9631137.4542230479</v>
      </c>
      <c r="I92" s="984">
        <f t="shared" si="18"/>
        <v>124236791.98345558</v>
      </c>
      <c r="J92" s="984">
        <f>+SUM(J84:J91)</f>
        <v>226395169.22342157</v>
      </c>
      <c r="K92" s="984">
        <f>+SUM(K84:K91)</f>
        <v>216229798.89454442</v>
      </c>
    </row>
    <row r="93" spans="1:11" ht="15.75" thickBot="1">
      <c r="A93" s="985"/>
      <c r="B93" s="426"/>
      <c r="K93" s="986"/>
    </row>
    <row r="94" spans="1:11" ht="15.75" thickBot="1">
      <c r="A94" s="987" t="s">
        <v>953</v>
      </c>
      <c r="B94" s="988"/>
      <c r="C94" s="988"/>
      <c r="D94" s="988"/>
      <c r="E94" s="988"/>
      <c r="F94" s="988"/>
      <c r="G94" s="988"/>
      <c r="H94" s="988"/>
      <c r="I94" s="988"/>
      <c r="J94" s="988"/>
      <c r="K94" s="989"/>
    </row>
    <row r="95" spans="1:11">
      <c r="A95" s="990" t="s">
        <v>2313</v>
      </c>
      <c r="B95" s="973">
        <v>172560</v>
      </c>
      <c r="C95" s="973">
        <v>2867475.08</v>
      </c>
      <c r="D95" s="973">
        <v>2907027.08</v>
      </c>
      <c r="E95" s="993">
        <v>133008</v>
      </c>
      <c r="F95" s="973">
        <v>0</v>
      </c>
      <c r="G95" s="973">
        <v>0</v>
      </c>
      <c r="H95" s="973">
        <v>0</v>
      </c>
      <c r="I95" s="973">
        <v>0</v>
      </c>
      <c r="J95" s="993">
        <v>172559.99999999988</v>
      </c>
      <c r="K95" s="994">
        <v>133008</v>
      </c>
    </row>
    <row r="96" spans="1:11" ht="15.75" thickBot="1">
      <c r="A96" s="995" t="s">
        <v>2314</v>
      </c>
      <c r="B96" s="973">
        <v>229919</v>
      </c>
      <c r="C96" s="973">
        <v>3105824.5399999996</v>
      </c>
      <c r="D96" s="973">
        <v>3155744</v>
      </c>
      <c r="E96" s="993">
        <v>179999.53999999957</v>
      </c>
      <c r="F96" s="973">
        <v>0</v>
      </c>
      <c r="G96" s="973">
        <v>0</v>
      </c>
      <c r="H96" s="973">
        <v>0</v>
      </c>
      <c r="I96" s="973">
        <v>0</v>
      </c>
      <c r="J96" s="996">
        <v>229919</v>
      </c>
      <c r="K96" s="994">
        <v>179999.53999999957</v>
      </c>
    </row>
    <row r="97" spans="1:11" ht="16.5" thickBot="1">
      <c r="A97" s="997" t="s">
        <v>2312</v>
      </c>
      <c r="B97" s="998">
        <v>402479</v>
      </c>
      <c r="C97" s="983">
        <v>5973299.6199999992</v>
      </c>
      <c r="D97" s="983">
        <v>6062771.0800000001</v>
      </c>
      <c r="E97" s="983">
        <v>313007.53999999957</v>
      </c>
      <c r="F97" s="983">
        <v>0</v>
      </c>
      <c r="G97" s="983">
        <v>0</v>
      </c>
      <c r="H97" s="983">
        <v>0</v>
      </c>
      <c r="I97" s="983">
        <v>0</v>
      </c>
      <c r="J97" s="983">
        <v>402478.99999999988</v>
      </c>
      <c r="K97" s="984">
        <v>313007.53999999957</v>
      </c>
    </row>
    <row r="98" spans="1:11" ht="15.75" thickBot="1">
      <c r="A98" s="999"/>
      <c r="K98" s="986"/>
    </row>
    <row r="99" spans="1:11" ht="16.5" thickBot="1">
      <c r="A99" s="997" t="s">
        <v>1249</v>
      </c>
      <c r="B99" s="998">
        <v>342937595.05799997</v>
      </c>
      <c r="C99" s="983">
        <v>15000812.76</v>
      </c>
      <c r="D99" s="983">
        <v>17158809.030000001</v>
      </c>
      <c r="E99" s="983">
        <v>340779598.78799993</v>
      </c>
      <c r="F99" s="983">
        <v>116139946.83457838</v>
      </c>
      <c r="G99" s="983">
        <v>17727981.603100225</v>
      </c>
      <c r="H99" s="983">
        <v>9631137.4542230479</v>
      </c>
      <c r="I99" s="983">
        <v>124236790.98345557</v>
      </c>
      <c r="J99" s="983">
        <v>226797648.22342157</v>
      </c>
      <c r="K99" s="984">
        <v>216542807.80454442</v>
      </c>
    </row>
  </sheetData>
  <mergeCells count="13">
    <mergeCell ref="A1:J1"/>
    <mergeCell ref="A35:A36"/>
    <mergeCell ref="B35:F35"/>
    <mergeCell ref="A47:A48"/>
    <mergeCell ref="B47:F47"/>
    <mergeCell ref="A82:A83"/>
    <mergeCell ref="B82:E82"/>
    <mergeCell ref="F82:I82"/>
    <mergeCell ref="B60:K60"/>
    <mergeCell ref="A61:A62"/>
    <mergeCell ref="B61:E61"/>
    <mergeCell ref="F61:I61"/>
    <mergeCell ref="B81:K81"/>
  </mergeCells>
  <hyperlinks>
    <hyperlink ref="A63" location="'1'!A1" tooltip="Click to go to &quot;Land&quot; Sheet" display="Land"/>
    <hyperlink ref="A64" location="'2'!A1" tooltip="Click to go to &quot;Buildings&quot; Sheet" display="Buildings"/>
    <hyperlink ref="A65" location="'3'!A1" tooltip="Click to go to &quot;Plant &amp; Machinery&quot; Sheet" display="Plant and Machinery"/>
    <hyperlink ref="A66" location="'4'!A1" tooltip="Click to go to &quot;Motor Vehicles&quot; Sheet" display="Motor Vehicles"/>
    <hyperlink ref="A67" location="'5'!A1" tooltip="Click to go to &quot;Computers&quot; Sheet" display="Computers"/>
    <hyperlink ref="A68" location="'6'!A1" tooltip="Click to go to &quot;Office Equipments&quot; Sheet" display="Office Equipments"/>
    <hyperlink ref="A69" location="'7'!A1" tooltip="Click to go to &quot;Furniture &amp; Fittings&quot; Sheet" display="Furniture and Fittings"/>
    <hyperlink ref="A70" location="'8'!A1" tooltip="Click to go to &quot;Electrical Installations&quot; Sheet" display="Electrical Installations"/>
    <hyperlink ref="B5" location="'1'!A1" tooltip="Click to go to &quot;Land&quot; Sheet" display="Land"/>
    <hyperlink ref="C5" location="'2'!A1" tooltip="Click to go to &quot;Buildings&quot; Sheet" display="Buildings"/>
    <hyperlink ref="D5" location="'3'!A1" tooltip="Click to go to &quot;Plant &amp; Machinery&quot; Sheet" display="Plant and Machinery"/>
    <hyperlink ref="E5" location="'4'!A1" tooltip="Click to go to &quot;Motor Vehicles&quot; Sheet" display="Motor Vehicles"/>
    <hyperlink ref="F5" location="'5'!A1" tooltip="Click to go to &quot;Computers&quot; Sheet" display="Computers"/>
    <hyperlink ref="G5" location="'6'!A1" tooltip="Click to go to &quot;Office Equipments&quot; Sheet" display="Office Equipments"/>
    <hyperlink ref="H5" location="'7'!A1" tooltip="Click to go to &quot;Furniture &amp; Fittings&quot; Sheet" display="Furniture and Fittings"/>
    <hyperlink ref="I5" location="'8'!A1" tooltip="Click to go to &quot;Electrical Installations&quot; Sheet" display="Electrical Installations"/>
  </hyperlinks>
  <pageMargins left="0.70866141732283472" right="0.70866141732283472" top="0.74803149606299213" bottom="0.74803149606299213" header="0.31496062992125984" footer="0.31496062992125984"/>
  <pageSetup scale="56"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60"/>
  <sheetViews>
    <sheetView zoomScale="70" zoomScaleNormal="70" workbookViewId="0">
      <selection activeCell="G36" sqref="G36"/>
    </sheetView>
  </sheetViews>
  <sheetFormatPr defaultRowHeight="16.5"/>
  <cols>
    <col min="1" max="1" width="1.42578125" style="1092" customWidth="1"/>
    <col min="2" max="2" width="7.85546875" style="1092" customWidth="1"/>
    <col min="3" max="3" width="30" style="1092" customWidth="1"/>
    <col min="4" max="4" width="12.7109375" style="1092" customWidth="1"/>
    <col min="5" max="5" width="13.28515625" style="1092" bestFit="1" customWidth="1"/>
    <col min="6" max="6" width="21.140625" style="1092" customWidth="1"/>
    <col min="7" max="7" width="17.42578125" style="1092" bestFit="1" customWidth="1"/>
    <col min="8" max="9" width="19.85546875" style="1092" customWidth="1"/>
    <col min="10" max="10" width="22.28515625" style="1092" bestFit="1" customWidth="1"/>
    <col min="11" max="11" width="16.7109375" style="1305" bestFit="1" customWidth="1"/>
    <col min="12" max="12" width="17.42578125" style="1092" bestFit="1" customWidth="1"/>
    <col min="13" max="13" width="22.140625" style="1092" customWidth="1"/>
    <col min="14" max="14" width="15.7109375" style="1305" bestFit="1" customWidth="1"/>
    <col min="15" max="15" width="13.140625" style="1092" customWidth="1"/>
    <col min="16" max="16" width="21.140625" style="1092" customWidth="1"/>
    <col min="17" max="17" width="2.85546875" style="1092" customWidth="1"/>
    <col min="18" max="18" width="16.28515625" style="1093" customWidth="1"/>
    <col min="19" max="19" width="14.42578125" style="1093" bestFit="1" customWidth="1"/>
    <col min="20" max="20" width="16.28515625" style="1093" bestFit="1" customWidth="1"/>
    <col min="21" max="21" width="13.140625" style="1093" bestFit="1" customWidth="1"/>
    <col min="22" max="22" width="26.7109375" style="1093" bestFit="1" customWidth="1"/>
    <col min="23" max="23" width="11.140625" style="1093" bestFit="1" customWidth="1"/>
    <col min="24" max="24" width="14.5703125" style="1092" bestFit="1" customWidth="1"/>
    <col min="25" max="25" width="13.85546875" style="1092" bestFit="1" customWidth="1"/>
    <col min="26" max="26" width="13" style="1092" bestFit="1" customWidth="1"/>
    <col min="27" max="27" width="19.5703125" style="1092" bestFit="1" customWidth="1"/>
    <col min="28" max="28" width="14.28515625" style="1092" bestFit="1" customWidth="1"/>
    <col min="29" max="16384" width="9.140625" style="1092"/>
  </cols>
  <sheetData>
    <row r="1" spans="2:28" ht="23.25">
      <c r="B1" s="2286" t="s">
        <v>2464</v>
      </c>
      <c r="C1" s="2286"/>
      <c r="D1" s="2286"/>
      <c r="E1" s="2286"/>
      <c r="F1" s="2286"/>
      <c r="G1" s="2286"/>
      <c r="H1" s="2286"/>
      <c r="I1" s="2286"/>
      <c r="J1" s="2286"/>
      <c r="K1" s="2286"/>
      <c r="L1" s="2286"/>
      <c r="M1" s="2286"/>
      <c r="N1" s="2286"/>
      <c r="O1" s="2286"/>
      <c r="P1" s="2286"/>
    </row>
    <row r="2" spans="2:28" s="1094" customFormat="1" ht="23.25">
      <c r="B2" s="2287" t="s">
        <v>2465</v>
      </c>
      <c r="C2" s="2287"/>
      <c r="D2" s="2287"/>
      <c r="E2" s="2287"/>
      <c r="F2" s="2287"/>
      <c r="G2" s="2287"/>
      <c r="H2" s="2287"/>
      <c r="I2" s="2287"/>
      <c r="J2" s="2287"/>
      <c r="K2" s="2287"/>
      <c r="L2" s="2287"/>
      <c r="M2" s="2287"/>
      <c r="N2" s="2287"/>
      <c r="O2" s="2287"/>
      <c r="P2" s="2287"/>
      <c r="R2" s="1095">
        <v>634988514</v>
      </c>
      <c r="S2" s="1096"/>
      <c r="T2" s="1096"/>
      <c r="U2" s="1096"/>
      <c r="V2" s="1096"/>
      <c r="W2" s="1096"/>
    </row>
    <row r="3" spans="2:28" s="1094" customFormat="1" hidden="1">
      <c r="B3" s="1097"/>
      <c r="C3" s="1097"/>
      <c r="D3" s="1097"/>
      <c r="E3" s="1097"/>
      <c r="F3" s="1097"/>
      <c r="G3" s="1097"/>
      <c r="H3" s="1097"/>
      <c r="I3" s="1097"/>
      <c r="J3" s="1097"/>
      <c r="K3" s="1098"/>
      <c r="L3" s="1097"/>
      <c r="M3" s="1097"/>
      <c r="N3" s="1098"/>
      <c r="O3" s="1097"/>
      <c r="P3" s="1097"/>
      <c r="R3" s="1096"/>
      <c r="S3" s="1096"/>
      <c r="T3" s="1096"/>
      <c r="U3" s="1096"/>
      <c r="V3" s="1096"/>
      <c r="W3" s="1096"/>
    </row>
    <row r="4" spans="2:28" s="1094" customFormat="1" hidden="1">
      <c r="B4" s="1097"/>
      <c r="C4" s="1097"/>
      <c r="D4" s="1097"/>
      <c r="E4" s="1097"/>
      <c r="F4" s="1097"/>
      <c r="G4" s="1097"/>
      <c r="H4" s="1097"/>
      <c r="I4" s="1097"/>
      <c r="J4" s="1097"/>
      <c r="K4" s="1098"/>
      <c r="L4" s="1097"/>
      <c r="M4" s="1097"/>
      <c r="N4" s="1098"/>
      <c r="O4" s="1097"/>
      <c r="P4" s="1097"/>
      <c r="R4" s="1096"/>
      <c r="S4" s="1096"/>
      <c r="T4" s="1096"/>
      <c r="U4" s="1096"/>
      <c r="V4" s="1096"/>
      <c r="W4" s="1096"/>
    </row>
    <row r="5" spans="2:28" s="1094" customFormat="1" hidden="1">
      <c r="B5" s="1097"/>
      <c r="C5" s="1097"/>
      <c r="D5" s="1097"/>
      <c r="E5" s="1097"/>
      <c r="F5" s="1097"/>
      <c r="G5" s="2288"/>
      <c r="H5" s="2288"/>
      <c r="I5" s="2288"/>
      <c r="J5" s="2288"/>
      <c r="K5" s="1098"/>
      <c r="L5" s="1097"/>
      <c r="M5" s="1097"/>
      <c r="N5" s="1098"/>
      <c r="O5" s="1097"/>
      <c r="P5" s="1097"/>
      <c r="R5" s="1096"/>
      <c r="S5" s="1096"/>
      <c r="T5" s="1096"/>
      <c r="U5" s="1096"/>
      <c r="V5" s="1096"/>
      <c r="W5" s="1096"/>
    </row>
    <row r="6" spans="2:28" ht="17.25" thickBot="1">
      <c r="B6" s="1097"/>
      <c r="C6" s="1097"/>
      <c r="D6" s="1097"/>
      <c r="E6" s="1097"/>
      <c r="F6" s="1097"/>
      <c r="G6" s="2288"/>
      <c r="H6" s="2288"/>
      <c r="I6" s="2288"/>
      <c r="J6" s="2288"/>
      <c r="K6" s="1098"/>
      <c r="L6" s="1097"/>
      <c r="M6" s="1097"/>
      <c r="N6" s="1098"/>
      <c r="O6" s="1097"/>
      <c r="P6" s="1097"/>
    </row>
    <row r="7" spans="2:28" ht="21.75" customHeight="1">
      <c r="B7" s="2289" t="s">
        <v>2466</v>
      </c>
      <c r="C7" s="2291" t="s">
        <v>402</v>
      </c>
      <c r="D7" s="2293" t="s">
        <v>2467</v>
      </c>
      <c r="E7" s="2294"/>
      <c r="F7" s="2295"/>
      <c r="G7" s="2293" t="s">
        <v>2468</v>
      </c>
      <c r="H7" s="2296"/>
      <c r="I7" s="2296"/>
      <c r="J7" s="2295"/>
      <c r="K7" s="2297" t="s">
        <v>2469</v>
      </c>
      <c r="L7" s="2294"/>
      <c r="M7" s="2295"/>
      <c r="N7" s="2293" t="s">
        <v>2470</v>
      </c>
      <c r="O7" s="2294"/>
      <c r="P7" s="2295"/>
      <c r="R7" s="1543" t="s">
        <v>3379</v>
      </c>
      <c r="S7" s="1543"/>
      <c r="T7" s="1544"/>
      <c r="U7" s="1544"/>
      <c r="V7" s="1544"/>
      <c r="W7" s="1544"/>
      <c r="X7" s="1545"/>
      <c r="Y7" s="1118"/>
      <c r="Z7" s="1118"/>
      <c r="AA7" s="1118"/>
      <c r="AB7" s="1118"/>
    </row>
    <row r="8" spans="2:28" ht="30" customHeight="1" thickBot="1">
      <c r="B8" s="2290"/>
      <c r="C8" s="2292"/>
      <c r="D8" s="1099" t="s">
        <v>1957</v>
      </c>
      <c r="E8" s="1100" t="s">
        <v>2471</v>
      </c>
      <c r="F8" s="1101" t="s">
        <v>1795</v>
      </c>
      <c r="G8" s="1099" t="s">
        <v>1957</v>
      </c>
      <c r="H8" s="1102" t="s">
        <v>2472</v>
      </c>
      <c r="I8" s="1103" t="s">
        <v>2471</v>
      </c>
      <c r="J8" s="1104" t="s">
        <v>1795</v>
      </c>
      <c r="K8" s="1105" t="s">
        <v>1957</v>
      </c>
      <c r="L8" s="1100" t="s">
        <v>2471</v>
      </c>
      <c r="M8" s="1104" t="s">
        <v>1795</v>
      </c>
      <c r="N8" s="1106" t="s">
        <v>1957</v>
      </c>
      <c r="O8" s="1100" t="s">
        <v>2471</v>
      </c>
      <c r="P8" s="1101" t="s">
        <v>1795</v>
      </c>
      <c r="R8" s="1544" t="s">
        <v>3380</v>
      </c>
      <c r="S8" s="1544"/>
      <c r="T8" s="1544"/>
      <c r="U8" s="1544"/>
      <c r="V8" s="1544"/>
      <c r="W8" s="1544"/>
      <c r="X8" s="1545"/>
      <c r="Y8" s="1118"/>
      <c r="Z8" s="1118"/>
      <c r="AA8" s="1118"/>
      <c r="AB8" s="1118"/>
    </row>
    <row r="9" spans="2:28" s="1118" customFormat="1" ht="22.5" customHeight="1">
      <c r="B9" s="1107" t="s">
        <v>2473</v>
      </c>
      <c r="C9" s="1108" t="s">
        <v>2474</v>
      </c>
      <c r="D9" s="1109">
        <v>115</v>
      </c>
      <c r="E9" s="1110">
        <f>SUM(F9/D9)</f>
        <v>22670.895652173913</v>
      </c>
      <c r="F9" s="1111">
        <v>2607153</v>
      </c>
      <c r="G9" s="1109">
        <v>28166.28</v>
      </c>
      <c r="H9" s="1112"/>
      <c r="I9" s="1113">
        <f>SUM(J9/G9)</f>
        <v>22686.00514515939</v>
      </c>
      <c r="J9" s="1111">
        <v>638980373</v>
      </c>
      <c r="K9" s="1114">
        <f>+D9+G9-N9</f>
        <v>28061.279999999999</v>
      </c>
      <c r="L9" s="1113">
        <f>SUM(M9/K9)</f>
        <v>22633.109608684994</v>
      </c>
      <c r="M9" s="1095">
        <f>+F9+J9-P9</f>
        <v>635114026</v>
      </c>
      <c r="N9" s="1115">
        <v>220</v>
      </c>
      <c r="O9" s="1116">
        <v>29425</v>
      </c>
      <c r="P9" s="1117">
        <f>+N9*O9</f>
        <v>6473500</v>
      </c>
      <c r="R9" s="1544" t="s">
        <v>3381</v>
      </c>
      <c r="S9" s="1544"/>
      <c r="T9" s="1544"/>
      <c r="U9" s="1544"/>
      <c r="V9" s="1544"/>
      <c r="W9" s="1544"/>
      <c r="X9" s="1545"/>
    </row>
    <row r="10" spans="2:28" s="1118" customFormat="1" ht="19.5" customHeight="1" thickBot="1">
      <c r="B10" s="1120"/>
      <c r="C10" s="1121" t="s">
        <v>1249</v>
      </c>
      <c r="D10" s="1122">
        <f>D9</f>
        <v>115</v>
      </c>
      <c r="E10" s="1123"/>
      <c r="F10" s="1124">
        <f>+F9</f>
        <v>2607153</v>
      </c>
      <c r="G10" s="1125">
        <f>+G9</f>
        <v>28166.28</v>
      </c>
      <c r="H10" s="1126"/>
      <c r="I10" s="1126"/>
      <c r="J10" s="1127">
        <f>+J9</f>
        <v>638980373</v>
      </c>
      <c r="K10" s="1128">
        <f>+K9</f>
        <v>28061.279999999999</v>
      </c>
      <c r="L10" s="1129"/>
      <c r="M10" s="1130">
        <f>+M9</f>
        <v>635114026</v>
      </c>
      <c r="N10" s="1131">
        <f>SUM(D10+G10-K10)</f>
        <v>220</v>
      </c>
      <c r="O10" s="1132"/>
      <c r="P10" s="1124">
        <f>+P9</f>
        <v>6473500</v>
      </c>
      <c r="Q10" s="1118">
        <f>F10+J10-M10</f>
        <v>6473500</v>
      </c>
      <c r="R10" s="1545"/>
      <c r="S10" s="1545"/>
      <c r="T10" s="1545"/>
      <c r="U10" s="1545"/>
      <c r="V10" s="1545"/>
      <c r="W10" s="1545"/>
      <c r="X10" s="1545"/>
    </row>
    <row r="11" spans="2:28" s="1118" customFormat="1" ht="18.75" customHeight="1" thickBot="1">
      <c r="B11" s="1133"/>
      <c r="C11" s="1134"/>
      <c r="D11" s="1135"/>
      <c r="E11" s="1136"/>
      <c r="F11" s="1137"/>
      <c r="G11" s="1135"/>
      <c r="H11" s="1138"/>
      <c r="I11" s="1138"/>
      <c r="J11" s="1139"/>
      <c r="K11" s="1140"/>
      <c r="L11" s="1141"/>
      <c r="M11" s="1138"/>
      <c r="N11" s="1142"/>
      <c r="O11" s="1143"/>
      <c r="P11" s="1139"/>
      <c r="R11" s="1546" t="s">
        <v>1689</v>
      </c>
      <c r="S11" s="1546" t="s">
        <v>9</v>
      </c>
      <c r="T11" s="1547" t="s">
        <v>3382</v>
      </c>
      <c r="U11" s="1546" t="s">
        <v>1954</v>
      </c>
      <c r="V11" s="1546" t="s">
        <v>3383</v>
      </c>
      <c r="W11" s="1546" t="s">
        <v>3384</v>
      </c>
      <c r="X11" s="1546" t="s">
        <v>3385</v>
      </c>
      <c r="Y11" s="1546" t="s">
        <v>3386</v>
      </c>
      <c r="Z11" s="1546" t="s">
        <v>3387</v>
      </c>
      <c r="AA11" s="1546" t="s">
        <v>3388</v>
      </c>
      <c r="AB11" s="1546" t="s">
        <v>1702</v>
      </c>
    </row>
    <row r="12" spans="2:28" s="1118" customFormat="1" ht="21.75" customHeight="1">
      <c r="B12" s="1107" t="s">
        <v>2475</v>
      </c>
      <c r="C12" s="1144" t="s">
        <v>2476</v>
      </c>
      <c r="D12" s="1145">
        <v>29</v>
      </c>
      <c r="E12" s="1110">
        <f t="shared" ref="E12:E24" si="0">SUM(F12/D12)</f>
        <v>20051.862068965518</v>
      </c>
      <c r="F12" s="1111">
        <v>581504</v>
      </c>
      <c r="G12" s="1145"/>
      <c r="H12" s="1146"/>
      <c r="I12" s="1146"/>
      <c r="J12" s="1147"/>
      <c r="K12" s="1148"/>
      <c r="L12" s="1149"/>
      <c r="M12" s="1146"/>
      <c r="N12" s="1150">
        <v>148</v>
      </c>
      <c r="O12" s="1151">
        <f t="shared" ref="O12:O17" si="1">SUM(P12/N12)</f>
        <v>27246.891891891893</v>
      </c>
      <c r="P12" s="1111">
        <v>4032540</v>
      </c>
      <c r="R12" s="1550">
        <v>44623</v>
      </c>
      <c r="S12" s="1549" t="s">
        <v>3389</v>
      </c>
      <c r="T12" s="1549">
        <v>148.97900000000001</v>
      </c>
      <c r="U12" s="1549">
        <v>3568904</v>
      </c>
      <c r="V12" s="1549">
        <v>377960</v>
      </c>
      <c r="W12" s="1548">
        <v>112350</v>
      </c>
      <c r="X12" s="1548">
        <f>+SUM(U12:W12)</f>
        <v>4059214</v>
      </c>
      <c r="Y12" s="1548">
        <f>+X12/T12</f>
        <v>27246.887145168108</v>
      </c>
      <c r="Z12" s="1548">
        <f>+N12</f>
        <v>148</v>
      </c>
      <c r="AA12" s="1548">
        <f>+Z12*Y12</f>
        <v>4032539.2974848798</v>
      </c>
      <c r="AB12" s="1548">
        <f>+P12-AA12</f>
        <v>0.70251512015238404</v>
      </c>
    </row>
    <row r="13" spans="2:28" s="1118" customFormat="1" ht="19.5" customHeight="1">
      <c r="B13" s="1152"/>
      <c r="C13" s="1153" t="s">
        <v>2476</v>
      </c>
      <c r="D13" s="1154">
        <v>172</v>
      </c>
      <c r="E13" s="1110">
        <f t="shared" si="0"/>
        <v>16058.877906976744</v>
      </c>
      <c r="F13" s="1111">
        <v>2762127</v>
      </c>
      <c r="G13" s="1154"/>
      <c r="H13" s="1155"/>
      <c r="I13" s="1155"/>
      <c r="J13" s="1156"/>
      <c r="K13" s="1157"/>
      <c r="L13" s="1158"/>
      <c r="M13" s="1155"/>
      <c r="N13" s="1159">
        <v>36</v>
      </c>
      <c r="O13" s="1116">
        <f t="shared" si="1"/>
        <v>27237.305555555555</v>
      </c>
      <c r="P13" s="1111">
        <v>980543</v>
      </c>
      <c r="R13" s="1550">
        <v>44632</v>
      </c>
      <c r="S13" s="1549" t="s">
        <v>3390</v>
      </c>
      <c r="T13" s="1549">
        <v>122.471</v>
      </c>
      <c r="U13" s="1549">
        <v>2910095</v>
      </c>
      <c r="V13" s="1549">
        <v>332610</v>
      </c>
      <c r="W13" s="1548">
        <v>93075</v>
      </c>
      <c r="X13" s="1548">
        <f t="shared" ref="X13:X17" si="2">+SUM(U13:W13)</f>
        <v>3335780</v>
      </c>
      <c r="Y13" s="1548">
        <f t="shared" ref="Y13:Y17" si="3">+X13/T13</f>
        <v>27237.305157955761</v>
      </c>
      <c r="Z13" s="1548">
        <f t="shared" ref="Z13:Z17" si="4">+N13</f>
        <v>36</v>
      </c>
      <c r="AA13" s="1548">
        <f t="shared" ref="AA13:AA17" si="5">+Z13*Y13</f>
        <v>980542.98568640742</v>
      </c>
      <c r="AB13" s="1548">
        <f t="shared" ref="AB13:AB17" si="6">+P13-AA13</f>
        <v>1.4313592575490475E-2</v>
      </c>
    </row>
    <row r="14" spans="2:28" s="1118" customFormat="1" ht="21" customHeight="1">
      <c r="B14" s="1152"/>
      <c r="C14" s="1153" t="s">
        <v>2476</v>
      </c>
      <c r="D14" s="1154">
        <v>252</v>
      </c>
      <c r="E14" s="1110">
        <f t="shared" si="0"/>
        <v>16538.448412698413</v>
      </c>
      <c r="F14" s="1111">
        <v>4167689</v>
      </c>
      <c r="G14" s="1154"/>
      <c r="H14" s="1155"/>
      <c r="I14" s="1155"/>
      <c r="J14" s="1156"/>
      <c r="K14" s="1157"/>
      <c r="L14" s="1158"/>
      <c r="M14" s="1155"/>
      <c r="N14" s="1159">
        <v>124</v>
      </c>
      <c r="O14" s="1116">
        <f t="shared" si="1"/>
        <v>27233.306451612902</v>
      </c>
      <c r="P14" s="1111">
        <v>3376930</v>
      </c>
      <c r="R14" s="1550">
        <v>44645</v>
      </c>
      <c r="S14" s="1549" t="s">
        <v>3390</v>
      </c>
      <c r="T14" s="1549">
        <v>124.34</v>
      </c>
      <c r="U14" s="1549">
        <v>2954505</v>
      </c>
      <c r="V14" s="1549">
        <v>332610</v>
      </c>
      <c r="W14" s="1548">
        <v>99075</v>
      </c>
      <c r="X14" s="1548">
        <f t="shared" si="2"/>
        <v>3386190</v>
      </c>
      <c r="Y14" s="1548">
        <f t="shared" si="3"/>
        <v>27233.311886762101</v>
      </c>
      <c r="Z14" s="1548">
        <f t="shared" si="4"/>
        <v>124</v>
      </c>
      <c r="AA14" s="1548">
        <f t="shared" si="5"/>
        <v>3376930.6739585004</v>
      </c>
      <c r="AB14" s="1548">
        <f t="shared" si="6"/>
        <v>-0.67395850038155913</v>
      </c>
    </row>
    <row r="15" spans="2:28" s="1118" customFormat="1" ht="21" customHeight="1">
      <c r="B15" s="1152"/>
      <c r="C15" s="1153" t="s">
        <v>2476</v>
      </c>
      <c r="D15" s="1154">
        <v>96</v>
      </c>
      <c r="E15" s="1110">
        <f t="shared" si="0"/>
        <v>20281.03125</v>
      </c>
      <c r="F15" s="1111">
        <v>1946979</v>
      </c>
      <c r="G15" s="1154"/>
      <c r="H15" s="1155"/>
      <c r="I15" s="1155"/>
      <c r="J15" s="1156"/>
      <c r="K15" s="1157"/>
      <c r="L15" s="1158"/>
      <c r="M15" s="1155"/>
      <c r="N15" s="1159">
        <v>101</v>
      </c>
      <c r="O15" s="1116">
        <f t="shared" si="1"/>
        <v>27164.376237623761</v>
      </c>
      <c r="P15" s="1111">
        <v>2743602</v>
      </c>
      <c r="R15" s="1550">
        <v>44650</v>
      </c>
      <c r="S15" s="1549" t="s">
        <v>3389</v>
      </c>
      <c r="T15" s="1549">
        <v>101.601</v>
      </c>
      <c r="U15" s="1549">
        <v>2289243</v>
      </c>
      <c r="V15" s="1549">
        <v>332610</v>
      </c>
      <c r="W15" s="1548">
        <v>138075</v>
      </c>
      <c r="X15" s="1548">
        <f t="shared" si="2"/>
        <v>2759928</v>
      </c>
      <c r="Y15" s="1548">
        <f t="shared" si="3"/>
        <v>27164.378303363155</v>
      </c>
      <c r="Z15" s="1548">
        <f t="shared" si="4"/>
        <v>101</v>
      </c>
      <c r="AA15" s="1548">
        <f t="shared" si="5"/>
        <v>2743602.2086396785</v>
      </c>
      <c r="AB15" s="1548">
        <f t="shared" si="6"/>
        <v>-0.20863967854529619</v>
      </c>
    </row>
    <row r="16" spans="2:28" s="1118" customFormat="1" ht="18.75" customHeight="1">
      <c r="B16" s="1152"/>
      <c r="C16" s="1153" t="s">
        <v>2476</v>
      </c>
      <c r="D16" s="1154">
        <v>29</v>
      </c>
      <c r="E16" s="1110">
        <f t="shared" si="0"/>
        <v>16612.551724137931</v>
      </c>
      <c r="F16" s="1111">
        <v>481764</v>
      </c>
      <c r="G16" s="1154"/>
      <c r="H16" s="1155"/>
      <c r="I16" s="1155"/>
      <c r="J16" s="1156"/>
      <c r="K16" s="1157"/>
      <c r="L16" s="1158"/>
      <c r="M16" s="1155"/>
      <c r="N16" s="1159">
        <v>90</v>
      </c>
      <c r="O16" s="1116">
        <f t="shared" si="1"/>
        <v>24647.766666666666</v>
      </c>
      <c r="P16" s="1111">
        <v>2218299</v>
      </c>
      <c r="R16" s="1550">
        <v>44640</v>
      </c>
      <c r="S16" s="1549" t="s">
        <v>3389</v>
      </c>
      <c r="T16" s="1549">
        <v>95.537000000000006</v>
      </c>
      <c r="U16" s="1549">
        <v>1977186</v>
      </c>
      <c r="V16" s="1549">
        <v>267128</v>
      </c>
      <c r="W16" s="1548">
        <v>110460</v>
      </c>
      <c r="X16" s="1548">
        <f t="shared" si="2"/>
        <v>2354774</v>
      </c>
      <c r="Y16" s="1548">
        <f t="shared" si="3"/>
        <v>24647.769973936796</v>
      </c>
      <c r="Z16" s="1548">
        <f t="shared" si="4"/>
        <v>90</v>
      </c>
      <c r="AA16" s="1548">
        <f t="shared" si="5"/>
        <v>2218299.2976543116</v>
      </c>
      <c r="AB16" s="1548">
        <f t="shared" si="6"/>
        <v>-0.29765431163832545</v>
      </c>
    </row>
    <row r="17" spans="2:28" s="1118" customFormat="1" ht="18.75" customHeight="1">
      <c r="B17" s="1152"/>
      <c r="C17" s="1153" t="s">
        <v>2476</v>
      </c>
      <c r="D17" s="1154">
        <v>46</v>
      </c>
      <c r="E17" s="1110">
        <f t="shared" si="0"/>
        <v>20083.782608695652</v>
      </c>
      <c r="F17" s="1111">
        <v>923854</v>
      </c>
      <c r="G17" s="1154"/>
      <c r="H17" s="1155"/>
      <c r="I17" s="1155"/>
      <c r="J17" s="1156"/>
      <c r="K17" s="1157"/>
      <c r="L17" s="1158"/>
      <c r="M17" s="1155"/>
      <c r="N17" s="1159">
        <v>25</v>
      </c>
      <c r="O17" s="1116">
        <f t="shared" si="1"/>
        <v>27962.44</v>
      </c>
      <c r="P17" s="1111">
        <v>699061</v>
      </c>
      <c r="R17" s="1550">
        <v>44642</v>
      </c>
      <c r="S17" s="1549" t="s">
        <v>3389</v>
      </c>
      <c r="T17" s="1551">
        <v>25.146999999999998</v>
      </c>
      <c r="U17" s="1549">
        <v>616806</v>
      </c>
      <c r="V17" s="1549">
        <v>67750</v>
      </c>
      <c r="W17" s="1548">
        <v>18615</v>
      </c>
      <c r="X17" s="1548">
        <f t="shared" si="2"/>
        <v>703171</v>
      </c>
      <c r="Y17" s="1548">
        <f t="shared" si="3"/>
        <v>27962.420964727404</v>
      </c>
      <c r="Z17" s="1548">
        <f t="shared" si="4"/>
        <v>25</v>
      </c>
      <c r="AA17" s="1548">
        <f t="shared" si="5"/>
        <v>699060.52411818504</v>
      </c>
      <c r="AB17" s="1548">
        <f t="shared" si="6"/>
        <v>0.47588181495666504</v>
      </c>
    </row>
    <row r="18" spans="2:28" s="1118" customFormat="1" ht="20.25" customHeight="1">
      <c r="B18" s="1152"/>
      <c r="C18" s="1153" t="s">
        <v>2476</v>
      </c>
      <c r="D18" s="1154">
        <v>34</v>
      </c>
      <c r="E18" s="1110">
        <f t="shared" si="0"/>
        <v>14189.323529411764</v>
      </c>
      <c r="F18" s="1111">
        <v>482437</v>
      </c>
      <c r="G18" s="1154"/>
      <c r="H18" s="1155"/>
      <c r="I18" s="1155"/>
      <c r="J18" s="1156"/>
      <c r="K18" s="1157"/>
      <c r="L18" s="1158"/>
      <c r="M18" s="1155"/>
      <c r="N18" s="1159">
        <v>0</v>
      </c>
      <c r="O18" s="1116">
        <v>0</v>
      </c>
      <c r="P18" s="1111">
        <v>0</v>
      </c>
      <c r="R18" s="1119"/>
      <c r="S18" s="1119"/>
      <c r="T18" s="1119"/>
      <c r="U18" s="1119"/>
      <c r="V18" s="1119"/>
      <c r="W18" s="1119"/>
    </row>
    <row r="19" spans="2:28" s="1118" customFormat="1" ht="18.75" customHeight="1">
      <c r="B19" s="1152"/>
      <c r="C19" s="1153" t="s">
        <v>2476</v>
      </c>
      <c r="D19" s="1154">
        <v>123</v>
      </c>
      <c r="E19" s="1110">
        <f t="shared" si="0"/>
        <v>19799.926829268294</v>
      </c>
      <c r="F19" s="1111">
        <v>2435391</v>
      </c>
      <c r="G19" s="1154"/>
      <c r="H19" s="1155"/>
      <c r="I19" s="1155"/>
      <c r="J19" s="1156"/>
      <c r="K19" s="1157"/>
      <c r="L19" s="1158"/>
      <c r="M19" s="1155"/>
      <c r="N19" s="1159">
        <v>0</v>
      </c>
      <c r="O19" s="1116">
        <v>0</v>
      </c>
      <c r="P19" s="1111">
        <v>0</v>
      </c>
      <c r="R19" s="1119"/>
      <c r="S19" s="1119"/>
      <c r="T19" s="1119"/>
      <c r="U19" s="1119"/>
      <c r="V19" s="1119"/>
      <c r="W19" s="1119"/>
    </row>
    <row r="20" spans="2:28" s="1118" customFormat="1" ht="18.75" customHeight="1">
      <c r="B20" s="1152"/>
      <c r="C20" s="1153" t="s">
        <v>2476</v>
      </c>
      <c r="D20" s="1154">
        <v>235</v>
      </c>
      <c r="E20" s="1110">
        <f t="shared" si="0"/>
        <v>19775.451063829787</v>
      </c>
      <c r="F20" s="1160">
        <v>4647231</v>
      </c>
      <c r="G20" s="1154"/>
      <c r="H20" s="1155"/>
      <c r="I20" s="1155"/>
      <c r="J20" s="1156"/>
      <c r="K20" s="1157"/>
      <c r="L20" s="1158"/>
      <c r="M20" s="1155"/>
      <c r="N20" s="1159">
        <v>0</v>
      </c>
      <c r="O20" s="1116">
        <v>0</v>
      </c>
      <c r="P20" s="1111">
        <v>0</v>
      </c>
      <c r="R20" s="1119"/>
      <c r="S20" s="1119"/>
      <c r="T20" s="1119"/>
      <c r="U20" s="1119"/>
      <c r="V20" s="1119"/>
      <c r="W20" s="1119"/>
    </row>
    <row r="21" spans="2:28" s="1118" customFormat="1" ht="20.25" customHeight="1">
      <c r="B21" s="1152"/>
      <c r="C21" s="1153" t="s">
        <v>2476</v>
      </c>
      <c r="D21" s="1154">
        <v>95</v>
      </c>
      <c r="E21" s="1110">
        <f t="shared" si="0"/>
        <v>19870.242105263158</v>
      </c>
      <c r="F21" s="1161">
        <v>1887673</v>
      </c>
      <c r="G21" s="1154"/>
      <c r="H21" s="1155"/>
      <c r="I21" s="1155"/>
      <c r="J21" s="1156"/>
      <c r="K21" s="1157"/>
      <c r="L21" s="1158"/>
      <c r="M21" s="1155"/>
      <c r="N21" s="1162">
        <v>0</v>
      </c>
      <c r="O21" s="1116">
        <v>0</v>
      </c>
      <c r="P21" s="1111">
        <v>0</v>
      </c>
      <c r="R21" s="1119"/>
      <c r="S21" s="1119"/>
      <c r="T21" s="1119"/>
      <c r="U21" s="1119"/>
      <c r="V21" s="1119"/>
      <c r="W21" s="1119"/>
    </row>
    <row r="22" spans="2:28" s="1118" customFormat="1" ht="19.5" customHeight="1">
      <c r="B22" s="1152"/>
      <c r="C22" s="1153" t="s">
        <v>2476</v>
      </c>
      <c r="D22" s="1154">
        <v>234</v>
      </c>
      <c r="E22" s="1110">
        <f t="shared" si="0"/>
        <v>18825.850427350426</v>
      </c>
      <c r="F22" s="1163">
        <v>4405249</v>
      </c>
      <c r="G22" s="1164"/>
      <c r="H22" s="1165"/>
      <c r="I22" s="1165"/>
      <c r="J22" s="1166"/>
      <c r="K22" s="1167"/>
      <c r="L22" s="1168"/>
      <c r="M22" s="1165"/>
      <c r="N22" s="1162">
        <v>0</v>
      </c>
      <c r="O22" s="1116">
        <v>0</v>
      </c>
      <c r="P22" s="1111">
        <v>0</v>
      </c>
      <c r="R22" s="1119"/>
      <c r="S22" s="1119"/>
      <c r="T22" s="1119"/>
      <c r="U22" s="1119"/>
      <c r="V22" s="1119"/>
      <c r="W22" s="1119"/>
    </row>
    <row r="23" spans="2:28" s="1118" customFormat="1" ht="18.75" customHeight="1">
      <c r="B23" s="1152"/>
      <c r="C23" s="1153" t="s">
        <v>2476</v>
      </c>
      <c r="D23" s="1154">
        <v>215</v>
      </c>
      <c r="E23" s="1110">
        <f t="shared" si="0"/>
        <v>15547.041860465117</v>
      </c>
      <c r="F23" s="1163">
        <v>3342614</v>
      </c>
      <c r="G23" s="1164"/>
      <c r="H23" s="1165"/>
      <c r="I23" s="1165"/>
      <c r="J23" s="1166"/>
      <c r="K23" s="1167"/>
      <c r="L23" s="1168"/>
      <c r="M23" s="1165"/>
      <c r="N23" s="1162">
        <v>0</v>
      </c>
      <c r="O23" s="1116">
        <v>0</v>
      </c>
      <c r="P23" s="1111">
        <v>0</v>
      </c>
      <c r="R23" s="1119"/>
      <c r="S23" s="1119"/>
      <c r="T23" s="1119"/>
      <c r="U23" s="1119"/>
      <c r="V23" s="1119"/>
      <c r="W23" s="1119"/>
    </row>
    <row r="24" spans="2:28" s="1118" customFormat="1" ht="18.75" customHeight="1">
      <c r="B24" s="1152"/>
      <c r="C24" s="1153" t="s">
        <v>2476</v>
      </c>
      <c r="D24" s="1154">
        <v>232</v>
      </c>
      <c r="E24" s="1110">
        <f t="shared" si="0"/>
        <v>19612.211206896551</v>
      </c>
      <c r="F24" s="1163">
        <v>4550033</v>
      </c>
      <c r="G24" s="1164"/>
      <c r="H24" s="1165"/>
      <c r="I24" s="1165"/>
      <c r="J24" s="1166"/>
      <c r="K24" s="1167"/>
      <c r="L24" s="1168"/>
      <c r="M24" s="1165"/>
      <c r="N24" s="1162">
        <v>0</v>
      </c>
      <c r="O24" s="1116">
        <v>0</v>
      </c>
      <c r="P24" s="1111">
        <v>0</v>
      </c>
      <c r="R24" s="1119"/>
      <c r="S24" s="1119"/>
      <c r="T24" s="1119"/>
      <c r="U24" s="1119"/>
      <c r="V24" s="1119"/>
      <c r="W24" s="1119"/>
    </row>
    <row r="25" spans="2:28" s="1118" customFormat="1" ht="18.75" customHeight="1">
      <c r="B25" s="1152"/>
      <c r="C25" s="1153"/>
      <c r="D25" s="1154"/>
      <c r="E25" s="1110"/>
      <c r="F25" s="1163"/>
      <c r="G25" s="1164"/>
      <c r="H25" s="1165"/>
      <c r="I25" s="1165"/>
      <c r="J25" s="1166"/>
      <c r="K25" s="1167"/>
      <c r="L25" s="1168"/>
      <c r="M25" s="1165"/>
      <c r="N25" s="1162">
        <v>0</v>
      </c>
      <c r="O25" s="1116">
        <v>0</v>
      </c>
      <c r="P25" s="1111">
        <v>0</v>
      </c>
      <c r="R25" s="1119"/>
      <c r="S25" s="1119"/>
      <c r="T25" s="1119"/>
      <c r="U25" s="1119"/>
      <c r="V25" s="1119"/>
      <c r="W25" s="1119"/>
    </row>
    <row r="26" spans="2:28" s="1182" customFormat="1" ht="23.25" customHeight="1">
      <c r="B26" s="1169"/>
      <c r="C26" s="1170" t="s">
        <v>2477</v>
      </c>
      <c r="D26" s="1171">
        <f>SUM(D12:D25)</f>
        <v>1792</v>
      </c>
      <c r="E26" s="1172"/>
      <c r="F26" s="1173">
        <f>SUM(F12:F25)</f>
        <v>32614545</v>
      </c>
      <c r="G26" s="1174">
        <v>6310.82</v>
      </c>
      <c r="H26" s="1175"/>
      <c r="I26" s="1172">
        <f>SUM(J26/G26)</f>
        <v>25428.45890074507</v>
      </c>
      <c r="J26" s="1176">
        <v>160474427</v>
      </c>
      <c r="K26" s="1177">
        <f>+D26+D27+G26-N26</f>
        <v>7817.68</v>
      </c>
      <c r="L26" s="1178">
        <f>SUM(M26/K26)</f>
        <v>23461.959558334442</v>
      </c>
      <c r="M26" s="1095">
        <f>+F26+F27+J26-P26</f>
        <v>183418092</v>
      </c>
      <c r="N26" s="1179">
        <f>SUM(N12:N25)</f>
        <v>524</v>
      </c>
      <c r="O26" s="1180">
        <v>0</v>
      </c>
      <c r="P26" s="1117">
        <f>SUM(P12:P25)</f>
        <v>14050975</v>
      </c>
      <c r="Q26" s="1118"/>
      <c r="R26" s="1181"/>
      <c r="S26" s="1181"/>
      <c r="T26" s="1181"/>
      <c r="U26" s="1181"/>
      <c r="V26" s="1181"/>
      <c r="W26" s="1181"/>
    </row>
    <row r="27" spans="2:28" s="1182" customFormat="1" ht="24.75" customHeight="1">
      <c r="B27" s="1183"/>
      <c r="C27" s="1184" t="s">
        <v>2478</v>
      </c>
      <c r="D27" s="1185">
        <v>238.86</v>
      </c>
      <c r="E27" s="1186"/>
      <c r="F27" s="1187">
        <v>4380095</v>
      </c>
      <c r="G27" s="1188"/>
      <c r="H27" s="1189"/>
      <c r="I27" s="1186"/>
      <c r="J27" s="1190"/>
      <c r="K27" s="1191"/>
      <c r="L27" s="1192"/>
      <c r="M27" s="1193"/>
      <c r="N27" s="1194"/>
      <c r="O27" s="1195"/>
      <c r="P27" s="1187"/>
      <c r="Q27" s="1118"/>
      <c r="R27" s="1181"/>
      <c r="S27" s="1181"/>
      <c r="T27" s="1181"/>
      <c r="U27" s="1181"/>
      <c r="V27" s="1181"/>
      <c r="W27" s="1181"/>
    </row>
    <row r="28" spans="2:28" s="1211" customFormat="1" ht="27" customHeight="1" thickBot="1">
      <c r="B28" s="1196"/>
      <c r="C28" s="1197" t="s">
        <v>2479</v>
      </c>
      <c r="D28" s="1198">
        <f>SUM(D9+D26+D27)</f>
        <v>2145.86</v>
      </c>
      <c r="E28" s="1199"/>
      <c r="F28" s="1200">
        <f>SUM(F10+F26+F27)</f>
        <v>39601793</v>
      </c>
      <c r="G28" s="1201">
        <f>SUM(G9+G26+G27)</f>
        <v>34477.1</v>
      </c>
      <c r="H28" s="1202"/>
      <c r="I28" s="1203">
        <f>SUM(J28/G28)</f>
        <v>23187.994349872813</v>
      </c>
      <c r="J28" s="1204">
        <f>SUM(J9+J26+J27)</f>
        <v>799454800</v>
      </c>
      <c r="K28" s="1205">
        <f>SUM(K9+K26)</f>
        <v>35878.959999999999</v>
      </c>
      <c r="L28" s="1178">
        <f>SUM(M28/K28)</f>
        <v>22813.70803390065</v>
      </c>
      <c r="M28" s="1206">
        <f>SUM(M9+M26)</f>
        <v>818532118</v>
      </c>
      <c r="N28" s="1207">
        <f>SUM(D28+G28-K28)</f>
        <v>744</v>
      </c>
      <c r="O28" s="1208"/>
      <c r="P28" s="1209">
        <f>SUM(F28+J28-M28)</f>
        <v>20524475</v>
      </c>
      <c r="Q28" s="1118"/>
      <c r="R28" s="1119"/>
      <c r="S28" s="1210"/>
      <c r="T28" s="1210"/>
      <c r="U28" s="1210"/>
      <c r="V28" s="1210"/>
      <c r="W28" s="1210"/>
    </row>
    <row r="29" spans="2:28" s="1211" customFormat="1" ht="19.5" customHeight="1" thickBot="1">
      <c r="B29" s="1212"/>
      <c r="C29" s="1213"/>
      <c r="D29" s="1135"/>
      <c r="E29" s="1136"/>
      <c r="F29" s="1214"/>
      <c r="G29" s="1135"/>
      <c r="H29" s="1215"/>
      <c r="I29" s="1215"/>
      <c r="J29" s="1216"/>
      <c r="K29" s="1217"/>
      <c r="L29" s="1218"/>
      <c r="M29" s="1139"/>
      <c r="N29" s="1219"/>
      <c r="O29" s="1143"/>
      <c r="P29" s="1220"/>
      <c r="Q29" s="1221"/>
      <c r="R29" s="1119"/>
      <c r="S29" s="1210"/>
      <c r="T29" s="1210"/>
      <c r="U29" s="1210"/>
      <c r="V29" s="1210"/>
      <c r="W29" s="1210"/>
    </row>
    <row r="30" spans="2:28" s="1211" customFormat="1" ht="22.5" customHeight="1">
      <c r="B30" s="1222" t="s">
        <v>2480</v>
      </c>
      <c r="C30" s="1108" t="s">
        <v>2481</v>
      </c>
      <c r="D30" s="1145"/>
      <c r="E30" s="1110"/>
      <c r="F30" s="1117">
        <v>490918</v>
      </c>
      <c r="G30" s="1145"/>
      <c r="H30" s="1223"/>
      <c r="I30" s="1223"/>
      <c r="J30" s="1224">
        <v>9241091</v>
      </c>
      <c r="K30" s="1225"/>
      <c r="L30" s="1226"/>
      <c r="M30" s="1224">
        <v>9075854</v>
      </c>
      <c r="N30" s="1227"/>
      <c r="O30" s="1228"/>
      <c r="P30" s="1229">
        <f>SUM(F30+J30-M30)</f>
        <v>656155</v>
      </c>
      <c r="Q30" s="1221"/>
      <c r="R30" s="1119"/>
      <c r="S30" s="1210"/>
      <c r="T30" s="1210"/>
      <c r="U30" s="1210"/>
      <c r="V30" s="1210"/>
      <c r="W30" s="1210"/>
    </row>
    <row r="31" spans="2:28" s="1211" customFormat="1" ht="20.25" customHeight="1">
      <c r="B31" s="1230"/>
      <c r="C31" s="1231"/>
      <c r="D31" s="1154"/>
      <c r="E31" s="1172"/>
      <c r="F31" s="1232"/>
      <c r="G31" s="1154"/>
      <c r="H31" s="1233"/>
      <c r="I31" s="1233"/>
      <c r="J31" s="1234"/>
      <c r="K31" s="1235"/>
      <c r="L31" s="1236"/>
      <c r="M31" s="1156"/>
      <c r="N31" s="1162"/>
      <c r="O31" s="1237"/>
      <c r="P31" s="1238"/>
      <c r="Q31" s="1221"/>
      <c r="R31" s="1119"/>
      <c r="S31" s="1210"/>
      <c r="T31" s="1210"/>
      <c r="U31" s="1210"/>
      <c r="V31" s="1210"/>
      <c r="W31" s="1210"/>
    </row>
    <row r="32" spans="2:28" s="1211" customFormat="1" ht="20.25" customHeight="1">
      <c r="B32" s="1230" t="s">
        <v>2482</v>
      </c>
      <c r="C32" s="1170" t="s">
        <v>2483</v>
      </c>
      <c r="D32" s="1154"/>
      <c r="E32" s="1172"/>
      <c r="F32" s="1239">
        <v>2369793</v>
      </c>
      <c r="G32" s="1154"/>
      <c r="H32" s="1233"/>
      <c r="I32" s="1233"/>
      <c r="J32" s="1234">
        <v>49157471</v>
      </c>
      <c r="K32" s="1235"/>
      <c r="L32" s="1236"/>
      <c r="M32" s="1234">
        <v>48552016</v>
      </c>
      <c r="N32" s="1162"/>
      <c r="O32" s="1237"/>
      <c r="P32" s="1240">
        <f>SUM(F32+J32-M32)</f>
        <v>2975248</v>
      </c>
      <c r="Q32" s="1221"/>
      <c r="R32" s="1119"/>
      <c r="S32" s="1210"/>
      <c r="T32" s="1210"/>
      <c r="U32" s="1210"/>
      <c r="V32" s="1210"/>
      <c r="W32" s="1210"/>
    </row>
    <row r="33" spans="2:23" s="1211" customFormat="1" ht="21" customHeight="1">
      <c r="B33" s="1230"/>
      <c r="C33" s="1241"/>
      <c r="D33" s="1154"/>
      <c r="E33" s="1172"/>
      <c r="F33" s="1242"/>
      <c r="G33" s="1154"/>
      <c r="H33" s="1233"/>
      <c r="I33" s="1233"/>
      <c r="J33" s="1234"/>
      <c r="K33" s="1235"/>
      <c r="L33" s="1237"/>
      <c r="M33" s="1243"/>
      <c r="N33" s="1162"/>
      <c r="O33" s="1237"/>
      <c r="P33" s="1238"/>
      <c r="Q33" s="1221"/>
      <c r="R33" s="1119"/>
      <c r="S33" s="1210"/>
      <c r="T33" s="1210"/>
      <c r="U33" s="1210"/>
      <c r="V33" s="1210"/>
      <c r="W33" s="1210"/>
    </row>
    <row r="34" spans="2:23" s="1211" customFormat="1" ht="22.5" customHeight="1">
      <c r="B34" s="1230" t="s">
        <v>2484</v>
      </c>
      <c r="C34" s="1170" t="s">
        <v>2485</v>
      </c>
      <c r="D34" s="1154">
        <v>181</v>
      </c>
      <c r="E34" s="1110">
        <f>SUM(F34/D34)</f>
        <v>4783.8895027624312</v>
      </c>
      <c r="F34" s="1117">
        <v>865884</v>
      </c>
      <c r="G34" s="1244">
        <v>9579.9699999999993</v>
      </c>
      <c r="H34" s="1233"/>
      <c r="I34" s="1113">
        <f>SUM(J34/G34)</f>
        <v>5710.3196565333719</v>
      </c>
      <c r="J34" s="1234">
        <v>54704691</v>
      </c>
      <c r="K34" s="1235">
        <v>9555.9699999999993</v>
      </c>
      <c r="L34" s="1178">
        <f>SUM(M34/K34)</f>
        <v>5674.8314404503153</v>
      </c>
      <c r="M34" s="1234">
        <v>54228519</v>
      </c>
      <c r="N34" s="1162">
        <f>SUM(D34+G34-K34)</f>
        <v>205</v>
      </c>
      <c r="O34" s="1116">
        <f>SUM(P34/N34)</f>
        <v>6546.6146341463418</v>
      </c>
      <c r="P34" s="1240">
        <f>SUM(F34+J34-M34)</f>
        <v>1342056</v>
      </c>
      <c r="Q34" s="1221"/>
      <c r="R34" s="1119"/>
      <c r="S34" s="1210"/>
      <c r="T34" s="1210"/>
      <c r="U34" s="1210"/>
      <c r="V34" s="1210"/>
      <c r="W34" s="1210"/>
    </row>
    <row r="35" spans="2:23" s="1211" customFormat="1" ht="19.5" customHeight="1">
      <c r="B35" s="1230"/>
      <c r="C35" s="1231"/>
      <c r="D35" s="1154"/>
      <c r="E35" s="1172"/>
      <c r="F35" s="1245"/>
      <c r="G35" s="1154"/>
      <c r="H35" s="1246"/>
      <c r="I35" s="1246"/>
      <c r="J35" s="1234"/>
      <c r="K35" s="1235"/>
      <c r="L35" s="1236"/>
      <c r="M35" s="1156"/>
      <c r="N35" s="1162"/>
      <c r="O35" s="1247"/>
      <c r="P35" s="1238"/>
      <c r="Q35" s="1221"/>
      <c r="R35" s="1119"/>
      <c r="S35" s="1210"/>
      <c r="T35" s="1210"/>
      <c r="U35" s="1210"/>
      <c r="V35" s="1210"/>
      <c r="W35" s="1210"/>
    </row>
    <row r="36" spans="2:23" s="1211" customFormat="1" ht="19.5" customHeight="1">
      <c r="B36" s="1230" t="s">
        <v>2486</v>
      </c>
      <c r="C36" s="1170" t="s">
        <v>2487</v>
      </c>
      <c r="D36" s="1248"/>
      <c r="E36" s="1172"/>
      <c r="F36" s="1245">
        <v>0</v>
      </c>
      <c r="G36" s="1249">
        <v>4699.835</v>
      </c>
      <c r="H36" s="1246"/>
      <c r="I36" s="1113">
        <f>SUM(J36/G36)</f>
        <v>3714.7570074268565</v>
      </c>
      <c r="J36" s="1234">
        <v>17458745</v>
      </c>
      <c r="K36" s="1237">
        <v>4539.835</v>
      </c>
      <c r="L36" s="1178">
        <f>SUM(M36/K36)</f>
        <v>3687.0822397730312</v>
      </c>
      <c r="M36" s="1234">
        <v>16738745</v>
      </c>
      <c r="N36" s="1162">
        <f>SUM(D36+G36-K36)</f>
        <v>160</v>
      </c>
      <c r="O36" s="1116">
        <f>SUM(P36/N36)</f>
        <v>4500</v>
      </c>
      <c r="P36" s="1240">
        <f>SUM(F36+J36-M36)</f>
        <v>720000</v>
      </c>
      <c r="Q36" s="1221"/>
      <c r="R36" s="1119"/>
      <c r="S36" s="1210"/>
      <c r="T36" s="1210"/>
      <c r="U36" s="1210"/>
      <c r="V36" s="1210"/>
      <c r="W36" s="1210"/>
    </row>
    <row r="37" spans="2:23" s="1211" customFormat="1" ht="19.5" customHeight="1">
      <c r="B37" s="1230"/>
      <c r="C37" s="1231"/>
      <c r="D37" s="1248"/>
      <c r="E37" s="1172"/>
      <c r="F37" s="1245"/>
      <c r="G37" s="1248"/>
      <c r="H37" s="1246"/>
      <c r="I37" s="1246"/>
      <c r="J37" s="1234"/>
      <c r="K37" s="1250"/>
      <c r="L37" s="1251"/>
      <c r="M37" s="1156"/>
      <c r="N37" s="1162"/>
      <c r="O37" s="1247"/>
      <c r="P37" s="1238"/>
      <c r="Q37" s="1221"/>
      <c r="R37" s="1119"/>
      <c r="S37" s="1210"/>
      <c r="T37" s="1210"/>
      <c r="U37" s="1210"/>
      <c r="V37" s="1210"/>
      <c r="W37" s="1210"/>
    </row>
    <row r="38" spans="2:23" s="1211" customFormat="1" ht="24" customHeight="1">
      <c r="B38" s="1252"/>
      <c r="C38" s="1253" t="s">
        <v>2488</v>
      </c>
      <c r="D38" s="1254"/>
      <c r="E38" s="1255"/>
      <c r="F38" s="1256">
        <f>SUM(F28+F30+F32+F34)</f>
        <v>43328388</v>
      </c>
      <c r="G38" s="1254"/>
      <c r="H38" s="1257"/>
      <c r="I38" s="1257"/>
      <c r="J38" s="1256">
        <f>SUM(J28:J36)</f>
        <v>930016798</v>
      </c>
      <c r="K38" s="1258"/>
      <c r="L38" s="1257"/>
      <c r="M38" s="1256">
        <f>SUM(M28:M37)</f>
        <v>947127252</v>
      </c>
      <c r="N38" s="1259"/>
      <c r="O38" s="1260"/>
      <c r="P38" s="1261">
        <f>SUM(P28+P30+P32+P34+P36)</f>
        <v>26217934</v>
      </c>
      <c r="Q38" s="1262">
        <v>0</v>
      </c>
      <c r="R38" s="1119"/>
      <c r="S38" s="1210"/>
      <c r="T38" s="1210"/>
      <c r="U38" s="1210"/>
      <c r="V38" s="1210"/>
      <c r="W38" s="1210"/>
    </row>
    <row r="39" spans="2:23" s="1211" customFormat="1" ht="21.75" customHeight="1">
      <c r="B39" s="1230"/>
      <c r="C39" s="1231"/>
      <c r="D39" s="1154"/>
      <c r="E39" s="1172"/>
      <c r="F39" s="1245"/>
      <c r="G39" s="1154"/>
      <c r="H39" s="1165"/>
      <c r="I39" s="1165"/>
      <c r="J39" s="1163"/>
      <c r="K39" s="1263"/>
      <c r="L39" s="1264"/>
      <c r="M39" s="1238"/>
      <c r="N39" s="1162"/>
      <c r="O39" s="1247"/>
      <c r="P39" s="1238"/>
      <c r="Q39" s="1221"/>
      <c r="R39" s="1119"/>
      <c r="S39" s="1210"/>
      <c r="T39" s="1210"/>
      <c r="U39" s="1210"/>
      <c r="V39" s="1210"/>
      <c r="W39" s="1210"/>
    </row>
    <row r="40" spans="2:23" s="1211" customFormat="1" ht="21" customHeight="1">
      <c r="B40" s="1230" t="s">
        <v>2489</v>
      </c>
      <c r="C40" s="1170" t="s">
        <v>2490</v>
      </c>
      <c r="D40" s="1244">
        <v>366.012</v>
      </c>
      <c r="E40" s="1110">
        <f>SUM(F40/D40)</f>
        <v>22506.863162956404</v>
      </c>
      <c r="F40" s="1111">
        <v>8237782</v>
      </c>
      <c r="G40" s="1154"/>
      <c r="H40" s="1223"/>
      <c r="I40" s="1223"/>
      <c r="J40" s="1224"/>
      <c r="K40" s="1263"/>
      <c r="M40" s="1238"/>
      <c r="N40" s="1162">
        <v>462.15800000000002</v>
      </c>
      <c r="O40" s="1116">
        <f>SUM(P40/N40)</f>
        <v>37045.319998788291</v>
      </c>
      <c r="P40" s="1111">
        <v>17120791</v>
      </c>
      <c r="Q40" s="1221"/>
      <c r="R40" s="1119"/>
      <c r="S40" s="1210"/>
      <c r="T40" s="1210"/>
      <c r="U40" s="1210"/>
      <c r="V40" s="1210"/>
      <c r="W40" s="1210"/>
    </row>
    <row r="41" spans="2:23" s="1211" customFormat="1" ht="19.5" customHeight="1">
      <c r="B41" s="1230"/>
      <c r="C41" s="1241" t="s">
        <v>2491</v>
      </c>
      <c r="D41" s="1244">
        <v>349.31700000000001</v>
      </c>
      <c r="E41" s="1110">
        <f>SUM(F41/D41)</f>
        <v>22506.86339342202</v>
      </c>
      <c r="F41" s="1161">
        <v>7862030</v>
      </c>
      <c r="G41" s="1154"/>
      <c r="H41" s="1233"/>
      <c r="I41" s="1265"/>
      <c r="J41" s="1234"/>
      <c r="K41" s="1263"/>
      <c r="L41" s="1178"/>
      <c r="M41" s="1238"/>
      <c r="N41" s="1162"/>
      <c r="O41" s="1247"/>
      <c r="P41" s="1240"/>
      <c r="Q41" s="1221"/>
      <c r="R41" s="1119"/>
      <c r="S41" s="1210"/>
      <c r="T41" s="1210"/>
      <c r="U41" s="1210"/>
      <c r="V41" s="1210"/>
      <c r="W41" s="1210"/>
    </row>
    <row r="42" spans="2:23" s="1211" customFormat="1" ht="21" customHeight="1">
      <c r="B42" s="1230" t="s">
        <v>2492</v>
      </c>
      <c r="C42" s="1170" t="s">
        <v>2493</v>
      </c>
      <c r="D42" s="1113"/>
      <c r="E42" s="1172"/>
      <c r="F42" s="1161">
        <v>8085595</v>
      </c>
      <c r="G42" s="1113"/>
      <c r="H42" s="1231"/>
      <c r="I42" s="1231"/>
      <c r="J42" s="1266"/>
      <c r="K42" s="1267"/>
      <c r="L42" s="1268"/>
      <c r="M42" s="1238"/>
      <c r="N42" s="1269"/>
      <c r="O42" s="1270"/>
      <c r="P42" s="1111">
        <v>8287040.7199999997</v>
      </c>
      <c r="Q42" s="1221"/>
      <c r="R42" s="1119">
        <v>9746309</v>
      </c>
      <c r="S42" s="1210"/>
      <c r="T42" s="1210"/>
      <c r="U42" s="1210"/>
      <c r="V42" s="1210"/>
      <c r="W42" s="1210"/>
    </row>
    <row r="43" spans="2:23" s="1211" customFormat="1" ht="22.5" customHeight="1" thickBot="1">
      <c r="B43" s="1196"/>
      <c r="C43" s="1271"/>
      <c r="D43" s="1196"/>
      <c r="E43" s="1272"/>
      <c r="F43" s="1273"/>
      <c r="G43" s="1274"/>
      <c r="H43" s="1275"/>
      <c r="I43" s="1275"/>
      <c r="J43" s="1276"/>
      <c r="K43" s="1277"/>
      <c r="L43" s="1272"/>
      <c r="M43" s="1273"/>
      <c r="N43" s="1278"/>
      <c r="O43" s="1279"/>
      <c r="P43" s="1273"/>
      <c r="Q43" s="1221"/>
      <c r="R43" s="1119"/>
      <c r="S43" s="1210"/>
      <c r="T43" s="1210"/>
      <c r="U43" s="1210"/>
      <c r="V43" s="1210"/>
      <c r="W43" s="1210"/>
    </row>
    <row r="44" spans="2:23" s="1292" customFormat="1" ht="27" customHeight="1" thickBot="1">
      <c r="B44" s="1280"/>
      <c r="C44" s="1281" t="s">
        <v>2494</v>
      </c>
      <c r="D44" s="1282"/>
      <c r="E44" s="1283"/>
      <c r="F44" s="1284">
        <f>SUM(F38:F43)-1</f>
        <v>67513794</v>
      </c>
      <c r="G44" s="1285"/>
      <c r="H44" s="1286"/>
      <c r="I44" s="1286"/>
      <c r="J44" s="1284"/>
      <c r="K44" s="1287"/>
      <c r="L44" s="1286"/>
      <c r="M44" s="1284"/>
      <c r="N44" s="1288"/>
      <c r="O44" s="1289"/>
      <c r="P44" s="1290">
        <f>SUM(P38+P40+P42)</f>
        <v>51625765.719999999</v>
      </c>
      <c r="Q44" s="1118"/>
      <c r="R44" s="1119"/>
      <c r="S44" s="1291"/>
      <c r="T44" s="1291"/>
      <c r="U44" s="1291"/>
      <c r="V44" s="1291"/>
      <c r="W44" s="1291"/>
    </row>
    <row r="45" spans="2:23" s="1292" customFormat="1" ht="15">
      <c r="B45" s="1293"/>
      <c r="C45" s="1293"/>
      <c r="D45" s="1293"/>
      <c r="E45" s="1293"/>
      <c r="F45" s="1293"/>
      <c r="G45" s="1293"/>
      <c r="H45" s="1293"/>
      <c r="I45" s="1293"/>
      <c r="J45" s="1293"/>
      <c r="K45" s="1294"/>
      <c r="L45" s="1293"/>
      <c r="M45" s="1293"/>
      <c r="N45" s="1294"/>
      <c r="O45" s="1293"/>
      <c r="P45" s="1295"/>
      <c r="R45" s="1119"/>
      <c r="S45" s="1291"/>
      <c r="T45" s="1291"/>
      <c r="U45" s="1291"/>
      <c r="V45" s="1291"/>
      <c r="W45" s="1291"/>
    </row>
    <row r="46" spans="2:23" s="1292" customFormat="1" ht="15">
      <c r="B46" s="1293"/>
      <c r="C46" s="1293"/>
      <c r="D46" s="1293"/>
      <c r="E46" s="1293"/>
      <c r="F46" s="1293"/>
      <c r="G46" s="1293"/>
      <c r="H46" s="1293"/>
      <c r="I46" s="1293"/>
      <c r="J46" s="1293"/>
      <c r="K46" s="1294"/>
      <c r="L46" s="1293"/>
      <c r="M46" s="1293"/>
      <c r="N46" s="1294"/>
      <c r="O46" s="1293"/>
      <c r="P46" s="1295"/>
      <c r="R46" s="1119"/>
      <c r="S46" s="1291"/>
      <c r="T46" s="1291"/>
      <c r="U46" s="1291"/>
      <c r="V46" s="1291"/>
      <c r="W46" s="1291"/>
    </row>
    <row r="47" spans="2:23" s="1296" customFormat="1">
      <c r="F47" s="1296" t="s">
        <v>2485</v>
      </c>
      <c r="G47" s="1296">
        <v>6929.6</v>
      </c>
      <c r="H47" s="1297"/>
      <c r="I47" s="1297"/>
      <c r="J47" s="1298"/>
      <c r="K47" s="1299"/>
      <c r="N47" s="1299"/>
      <c r="P47" s="1300"/>
    </row>
    <row r="48" spans="2:23" s="1296" customFormat="1">
      <c r="K48" s="1299"/>
      <c r="N48" s="1299"/>
    </row>
    <row r="49" spans="5:16" s="1296" customFormat="1">
      <c r="F49" s="1296" t="s">
        <v>2495</v>
      </c>
      <c r="G49" s="1301">
        <v>14082.69</v>
      </c>
      <c r="H49" s="1301"/>
      <c r="I49" s="1301"/>
      <c r="J49" s="1301">
        <v>208095676</v>
      </c>
      <c r="K49" s="1299"/>
      <c r="M49" s="1296" t="s">
        <v>2496</v>
      </c>
      <c r="N49" s="1299"/>
      <c r="P49" s="1296">
        <v>50731860</v>
      </c>
    </row>
    <row r="50" spans="5:16" s="1296" customFormat="1">
      <c r="G50" s="1296" t="s">
        <v>2497</v>
      </c>
      <c r="H50" s="1302"/>
      <c r="I50" s="1302"/>
      <c r="J50" s="1296" t="s">
        <v>2498</v>
      </c>
      <c r="K50" s="1299"/>
      <c r="N50" s="1299"/>
    </row>
    <row r="51" spans="5:16" s="1296" customFormat="1">
      <c r="E51" s="1303" t="s">
        <v>2474</v>
      </c>
      <c r="G51" s="1296">
        <v>206705257</v>
      </c>
      <c r="H51" s="1302"/>
      <c r="I51" s="1302"/>
      <c r="J51" s="1296">
        <v>-97905166</v>
      </c>
      <c r="K51" s="1299"/>
      <c r="M51" s="1296" t="s">
        <v>2498</v>
      </c>
      <c r="N51" s="1299"/>
      <c r="P51" s="1296">
        <v>4746766</v>
      </c>
    </row>
    <row r="52" spans="5:16" s="1296" customFormat="1">
      <c r="E52" s="1296" t="s">
        <v>2476</v>
      </c>
      <c r="G52" s="1296">
        <v>0</v>
      </c>
      <c r="J52" s="1296">
        <v>-127735752</v>
      </c>
      <c r="K52" s="1299"/>
      <c r="N52" s="1299"/>
    </row>
    <row r="53" spans="5:16" s="1296" customFormat="1">
      <c r="E53" s="1296" t="s">
        <v>2481</v>
      </c>
      <c r="G53" s="1296">
        <v>5874950</v>
      </c>
      <c r="J53" s="1296">
        <v>-176435</v>
      </c>
      <c r="K53" s="1299"/>
      <c r="N53" s="1299"/>
    </row>
    <row r="54" spans="5:16" s="1296" customFormat="1">
      <c r="E54" s="1304" t="s">
        <v>2483</v>
      </c>
      <c r="G54" s="1296">
        <v>39627524</v>
      </c>
      <c r="J54" s="1296">
        <v>2154656</v>
      </c>
      <c r="K54" s="1299"/>
      <c r="N54" s="1299"/>
    </row>
    <row r="55" spans="5:16" s="1296" customFormat="1">
      <c r="E55" s="1304" t="s">
        <v>2499</v>
      </c>
      <c r="G55" s="1296">
        <v>46546231</v>
      </c>
      <c r="J55" s="1296">
        <v>-1822536</v>
      </c>
      <c r="K55" s="1299"/>
      <c r="N55" s="1299"/>
    </row>
    <row r="56" spans="5:16" s="1296" customFormat="1">
      <c r="E56" s="1296" t="s">
        <v>2490</v>
      </c>
      <c r="J56" s="1296">
        <v>0</v>
      </c>
      <c r="K56" s="1299"/>
      <c r="N56" s="1299"/>
    </row>
    <row r="57" spans="5:16" s="1296" customFormat="1">
      <c r="E57" s="1296" t="s">
        <v>2493</v>
      </c>
      <c r="J57" s="1296">
        <v>0</v>
      </c>
      <c r="K57" s="1299"/>
      <c r="N57" s="1299"/>
    </row>
    <row r="58" spans="5:16" s="1296" customFormat="1">
      <c r="G58" s="1296">
        <v>298753962</v>
      </c>
      <c r="J58" s="1296">
        <v>-225485233</v>
      </c>
      <c r="K58" s="1299"/>
      <c r="N58" s="1299"/>
    </row>
    <row r="59" spans="5:16" s="1296" customFormat="1">
      <c r="K59" s="1299"/>
      <c r="N59" s="1299"/>
    </row>
    <row r="60" spans="5:16" s="1296" customFormat="1">
      <c r="K60" s="1299"/>
      <c r="N60" s="1299"/>
    </row>
  </sheetData>
  <mergeCells count="9">
    <mergeCell ref="B1:P1"/>
    <mergeCell ref="B2:P2"/>
    <mergeCell ref="G5:J6"/>
    <mergeCell ref="B7:B8"/>
    <mergeCell ref="C7:C8"/>
    <mergeCell ref="D7:F7"/>
    <mergeCell ref="G7:J7"/>
    <mergeCell ref="K7:M7"/>
    <mergeCell ref="N7:P7"/>
  </mergeCells>
  <conditionalFormatting sqref="H47:I47">
    <cfRule type="duplicateValues" dxfId="27" priority="1"/>
  </conditionalFormatting>
  <pageMargins left="0.19685039370078741" right="0.19685039370078741" top="0.39370078740157483" bottom="0.19685039370078741" header="0.31496062992125984" footer="0.31496062992125984"/>
  <pageSetup paperSize="9" scale="60" orientation="landscape" verticalDpi="0" r:id="rId1"/>
  <colBreaks count="1" manualBreakCount="1">
    <brk id="17" max="57"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B1" workbookViewId="0">
      <selection activeCell="F7" sqref="F7"/>
    </sheetView>
  </sheetViews>
  <sheetFormatPr defaultRowHeight="15"/>
  <cols>
    <col min="3" max="3" width="28" bestFit="1" customWidth="1"/>
    <col min="4" max="7" width="10.42578125" style="2" bestFit="1" customWidth="1"/>
    <col min="8" max="15" width="10.42578125" bestFit="1" customWidth="1"/>
    <col min="16" max="16" width="26" customWidth="1"/>
  </cols>
  <sheetData>
    <row r="1" spans="1:16" s="230" customFormat="1">
      <c r="D1" s="2"/>
      <c r="E1" s="2"/>
      <c r="F1" s="2"/>
      <c r="G1" s="2"/>
    </row>
    <row r="2" spans="1:16" s="230" customFormat="1">
      <c r="C2" s="1000" t="s">
        <v>1065</v>
      </c>
      <c r="D2" s="2"/>
      <c r="E2" s="2"/>
      <c r="F2" s="2"/>
      <c r="G2" s="2"/>
    </row>
    <row r="3" spans="1:16" s="230" customFormat="1">
      <c r="C3" s="230" t="s">
        <v>3526</v>
      </c>
      <c r="D3" s="2"/>
      <c r="E3" s="2"/>
      <c r="F3" s="2"/>
      <c r="G3" s="2"/>
    </row>
    <row r="4" spans="1:16" ht="15.75" thickBot="1">
      <c r="A4">
        <v>100000</v>
      </c>
    </row>
    <row r="5" spans="1:16">
      <c r="C5" s="2301" t="s">
        <v>9</v>
      </c>
      <c r="D5" s="2298" t="s">
        <v>3523</v>
      </c>
      <c r="E5" s="2299"/>
      <c r="F5" s="2299"/>
      <c r="G5" s="2300"/>
      <c r="H5" s="2298" t="s">
        <v>3524</v>
      </c>
      <c r="I5" s="2299"/>
      <c r="J5" s="2299"/>
      <c r="K5" s="2300"/>
      <c r="L5" s="2303" t="s">
        <v>1702</v>
      </c>
      <c r="M5" s="2299"/>
      <c r="N5" s="2299"/>
      <c r="O5" s="2300"/>
      <c r="P5" s="2304" t="s">
        <v>3525</v>
      </c>
    </row>
    <row r="6" spans="1:16" ht="15.75" thickBot="1">
      <c r="C6" s="2302"/>
      <c r="D6" s="1926">
        <v>44377</v>
      </c>
      <c r="E6" s="1927">
        <v>44469</v>
      </c>
      <c r="F6" s="1927">
        <v>44561</v>
      </c>
      <c r="G6" s="1928">
        <v>44651</v>
      </c>
      <c r="H6" s="1926">
        <v>44377</v>
      </c>
      <c r="I6" s="1927">
        <v>44469</v>
      </c>
      <c r="J6" s="1927">
        <v>44561</v>
      </c>
      <c r="K6" s="1928">
        <v>44651</v>
      </c>
      <c r="L6" s="1929">
        <v>44377</v>
      </c>
      <c r="M6" s="1927">
        <v>44469</v>
      </c>
      <c r="N6" s="1927">
        <v>44561</v>
      </c>
      <c r="O6" s="1928">
        <v>44651</v>
      </c>
      <c r="P6" s="2305"/>
    </row>
    <row r="7" spans="1:16">
      <c r="C7" s="1923" t="s">
        <v>1353</v>
      </c>
      <c r="D7" s="1925">
        <v>776.82</v>
      </c>
      <c r="E7" s="490">
        <v>573.16999999999996</v>
      </c>
      <c r="F7" s="490">
        <v>459.33</v>
      </c>
      <c r="G7" s="1922">
        <v>262.18</v>
      </c>
      <c r="H7" s="1925">
        <f>75034622/A4</f>
        <v>750.34622000000002</v>
      </c>
      <c r="I7" s="490">
        <f>60852455/A4</f>
        <v>608.52454999999998</v>
      </c>
      <c r="J7" s="490">
        <f>42975338/A4</f>
        <v>429.75337999999999</v>
      </c>
      <c r="K7" s="1922">
        <f>+BSPL!H238/A4</f>
        <v>234.99723</v>
      </c>
      <c r="L7" s="1924">
        <f>+D7-H7</f>
        <v>26.473780000000033</v>
      </c>
      <c r="M7" s="490">
        <f t="shared" ref="M7:O7" si="0">+E7-I7</f>
        <v>-35.354550000000017</v>
      </c>
      <c r="N7" s="490">
        <f t="shared" si="0"/>
        <v>29.576619999999991</v>
      </c>
      <c r="O7" s="1922">
        <f t="shared" si="0"/>
        <v>27.182770000000005</v>
      </c>
      <c r="P7" s="999"/>
    </row>
    <row r="8" spans="1:16">
      <c r="C8" s="985" t="s">
        <v>3516</v>
      </c>
      <c r="D8" s="1925">
        <v>-689.8</v>
      </c>
      <c r="E8" s="490">
        <v>-712.61</v>
      </c>
      <c r="F8" s="490">
        <v>-798.81</v>
      </c>
      <c r="G8" s="1922">
        <v>-746.48</v>
      </c>
      <c r="H8" s="1925">
        <f>-79656246/A4</f>
        <v>-796.56245999999999</v>
      </c>
      <c r="I8" s="490">
        <f>-82184477/A4</f>
        <v>-821.84477000000004</v>
      </c>
      <c r="J8" s="490">
        <f>-89491890/A4</f>
        <v>-894.91890000000001</v>
      </c>
      <c r="K8" s="1922">
        <f>-BSPL!H41/A4</f>
        <v>-873.56478839999988</v>
      </c>
      <c r="L8" s="1924">
        <f>+D8-H8</f>
        <v>106.76246000000003</v>
      </c>
      <c r="M8" s="490">
        <f t="shared" ref="M8" si="1">+E8-I8</f>
        <v>109.23477000000003</v>
      </c>
      <c r="N8" s="490">
        <f t="shared" ref="N8" si="2">+F8-J8</f>
        <v>96.108900000000062</v>
      </c>
      <c r="O8" s="1922">
        <f t="shared" ref="O8" si="3">+G8-K8</f>
        <v>127.08478839999987</v>
      </c>
      <c r="P8" s="999"/>
    </row>
    <row r="9" spans="1:16">
      <c r="C9" s="1930" t="s">
        <v>3517</v>
      </c>
      <c r="D9" s="1931">
        <f>+SUM(D7:D8)</f>
        <v>87.020000000000095</v>
      </c>
      <c r="E9" s="228">
        <f t="shared" ref="E9:G9" si="4">+SUM(E7:E8)</f>
        <v>-139.44000000000005</v>
      </c>
      <c r="F9" s="228">
        <f t="shared" si="4"/>
        <v>-339.47999999999996</v>
      </c>
      <c r="G9" s="1932">
        <f t="shared" si="4"/>
        <v>-484.3</v>
      </c>
      <c r="H9" s="1931">
        <f>+SUM(H7:H8)</f>
        <v>-46.216239999999971</v>
      </c>
      <c r="I9" s="228">
        <f t="shared" ref="I9" si="5">+SUM(I7:I8)</f>
        <v>-213.32022000000006</v>
      </c>
      <c r="J9" s="228">
        <f t="shared" ref="J9" si="6">+SUM(J7:J8)</f>
        <v>-465.16552000000001</v>
      </c>
      <c r="K9" s="1932">
        <f t="shared" ref="K9" si="7">+SUM(K7:K8)</f>
        <v>-638.56755839999983</v>
      </c>
      <c r="L9" s="1933">
        <f>+SUM(L7:L8)</f>
        <v>133.23624000000007</v>
      </c>
      <c r="M9" s="228">
        <f t="shared" ref="M9" si="8">+SUM(M7:M8)</f>
        <v>73.880220000000008</v>
      </c>
      <c r="N9" s="228">
        <f t="shared" ref="N9" si="9">+SUM(N7:N8)</f>
        <v>125.68552000000005</v>
      </c>
      <c r="O9" s="1932">
        <f t="shared" ref="O9" si="10">+SUM(O7:O8)</f>
        <v>154.26755839999987</v>
      </c>
      <c r="P9" s="1934"/>
    </row>
    <row r="10" spans="1:16">
      <c r="C10" s="985" t="s">
        <v>3518</v>
      </c>
      <c r="D10" s="1925">
        <v>90.35</v>
      </c>
      <c r="E10" s="490">
        <v>86.06</v>
      </c>
      <c r="F10" s="490">
        <v>105.59</v>
      </c>
      <c r="G10" s="1922">
        <v>89.24</v>
      </c>
      <c r="H10" s="1925">
        <f>11811232/A4</f>
        <v>118.11232</v>
      </c>
      <c r="I10" s="490">
        <f>10823784/A4</f>
        <v>108.23784000000001</v>
      </c>
      <c r="J10" s="490">
        <f>13517017/A4</f>
        <v>135.17017000000001</v>
      </c>
      <c r="K10" s="1922">
        <f>+BSPL!H240/A4</f>
        <v>110.05251719999998</v>
      </c>
      <c r="L10" s="1924">
        <f t="shared" ref="L10:L11" si="11">+D10-H10</f>
        <v>-27.762320000000003</v>
      </c>
      <c r="M10" s="490">
        <f t="shared" ref="M10:M11" si="12">+E10-I10</f>
        <v>-22.177840000000003</v>
      </c>
      <c r="N10" s="490">
        <f t="shared" ref="N10:N11" si="13">+F10-J10</f>
        <v>-29.58017000000001</v>
      </c>
      <c r="O10" s="1922">
        <f t="shared" ref="O10:O11" si="14">+G10-K10</f>
        <v>-20.812517199999988</v>
      </c>
      <c r="P10" s="999"/>
    </row>
    <row r="11" spans="1:16">
      <c r="C11" s="985" t="s">
        <v>3519</v>
      </c>
      <c r="D11" s="1925">
        <v>93.26</v>
      </c>
      <c r="E11" s="490">
        <v>102.64</v>
      </c>
      <c r="F11" s="490">
        <v>156.9</v>
      </c>
      <c r="G11" s="1922">
        <v>171.21</v>
      </c>
      <c r="H11" s="1925">
        <f>9325670/A4</f>
        <v>93.256699999999995</v>
      </c>
      <c r="I11" s="490">
        <f>10462589/A4</f>
        <v>104.62589</v>
      </c>
      <c r="J11" s="490">
        <f>15512748/A4</f>
        <v>155.12747999999999</v>
      </c>
      <c r="K11" s="1922">
        <f>+BSPL!H241/A4</f>
        <v>170.88292000000001</v>
      </c>
      <c r="L11" s="1924">
        <f t="shared" si="11"/>
        <v>3.3000000000100727E-3</v>
      </c>
      <c r="M11" s="490">
        <f t="shared" si="12"/>
        <v>-1.9858899999999977</v>
      </c>
      <c r="N11" s="490">
        <f t="shared" si="13"/>
        <v>1.7725200000000143</v>
      </c>
      <c r="O11" s="1922">
        <f t="shared" si="14"/>
        <v>0.32707999999999515</v>
      </c>
      <c r="P11" s="999"/>
    </row>
    <row r="12" spans="1:16">
      <c r="C12" s="1930" t="s">
        <v>3520</v>
      </c>
      <c r="D12" s="1931">
        <f>+SUM(D9:D11)</f>
        <v>270.63000000000011</v>
      </c>
      <c r="E12" s="228">
        <f t="shared" ref="E12:G12" si="15">+SUM(E9:E11)</f>
        <v>49.259999999999948</v>
      </c>
      <c r="F12" s="228">
        <f t="shared" si="15"/>
        <v>-76.989999999999952</v>
      </c>
      <c r="G12" s="1932">
        <f t="shared" si="15"/>
        <v>-223.85</v>
      </c>
      <c r="H12" s="1931">
        <f>+SUM(H9:H11)</f>
        <v>165.15278000000001</v>
      </c>
      <c r="I12" s="228">
        <f t="shared" ref="I12" si="16">+SUM(I9:I11)</f>
        <v>-0.45649000000005913</v>
      </c>
      <c r="J12" s="228">
        <f t="shared" ref="J12" si="17">+SUM(J9:J11)</f>
        <v>-174.86787000000004</v>
      </c>
      <c r="K12" s="1932">
        <f t="shared" ref="K12" si="18">+SUM(K9:K11)</f>
        <v>-357.6321211999998</v>
      </c>
      <c r="L12" s="1933">
        <f>+SUM(L9:L11)</f>
        <v>105.47722000000007</v>
      </c>
      <c r="M12" s="228">
        <f t="shared" ref="M12" si="19">+SUM(M9:M11)</f>
        <v>49.716490000000007</v>
      </c>
      <c r="N12" s="228">
        <f t="shared" ref="N12" si="20">+SUM(N9:N11)</f>
        <v>97.877870000000058</v>
      </c>
      <c r="O12" s="1932">
        <f t="shared" ref="O12" si="21">+SUM(O9:O11)</f>
        <v>133.78212119999986</v>
      </c>
      <c r="P12" s="1934"/>
    </row>
    <row r="13" spans="1:16">
      <c r="C13" s="985" t="s">
        <v>3521</v>
      </c>
      <c r="D13" s="1925">
        <v>1377.99</v>
      </c>
      <c r="E13" s="490">
        <v>1565.16</v>
      </c>
      <c r="F13" s="490">
        <v>1754.08</v>
      </c>
      <c r="G13" s="1922">
        <v>1666.42</v>
      </c>
      <c r="H13" s="1925">
        <f>136768409/A4</f>
        <v>1367.68409</v>
      </c>
      <c r="I13" s="490">
        <f>155732233/A4</f>
        <v>1557.32233</v>
      </c>
      <c r="J13" s="490">
        <f>175267088/A4</f>
        <v>1752.6708799999999</v>
      </c>
      <c r="K13" s="1922">
        <f>+BSPL!H249/A4</f>
        <v>1665.5474643</v>
      </c>
      <c r="L13" s="1924">
        <f t="shared" ref="L13" si="22">+D13-H13</f>
        <v>10.30591000000004</v>
      </c>
      <c r="M13" s="490">
        <f t="shared" ref="M13" si="23">+E13-I13</f>
        <v>7.8376700000001165</v>
      </c>
      <c r="N13" s="490">
        <f t="shared" ref="N13" si="24">+F13-J13</f>
        <v>1.4091200000000299</v>
      </c>
      <c r="O13" s="1922">
        <f t="shared" ref="O13" si="25">+G13-K13</f>
        <v>0.8725357000000713</v>
      </c>
      <c r="P13" s="999"/>
    </row>
    <row r="14" spans="1:16" ht="15.75" thickBot="1">
      <c r="C14" s="1935" t="s">
        <v>3522</v>
      </c>
      <c r="D14" s="1936">
        <f>+SUM(D12:D13)</f>
        <v>1648.6200000000001</v>
      </c>
      <c r="E14" s="1937">
        <f t="shared" ref="E14:G14" si="26">+SUM(E12:E13)</f>
        <v>1614.42</v>
      </c>
      <c r="F14" s="1937">
        <f t="shared" si="26"/>
        <v>1677.09</v>
      </c>
      <c r="G14" s="1938">
        <f t="shared" si="26"/>
        <v>1442.5700000000002</v>
      </c>
      <c r="H14" s="1936">
        <f>+SUM(H12:H13)</f>
        <v>1532.8368700000001</v>
      </c>
      <c r="I14" s="1937">
        <f t="shared" ref="I14" si="27">+SUM(I12:I13)</f>
        <v>1556.8658399999999</v>
      </c>
      <c r="J14" s="1937">
        <f t="shared" ref="J14" si="28">+SUM(J12:J13)</f>
        <v>1577.8030099999999</v>
      </c>
      <c r="K14" s="1938">
        <f t="shared" ref="K14" si="29">+SUM(K12:K13)</f>
        <v>1307.9153431000002</v>
      </c>
      <c r="L14" s="1939">
        <f>+SUM(L12:L13)</f>
        <v>115.78313000000011</v>
      </c>
      <c r="M14" s="1937">
        <f t="shared" ref="M14" si="30">+SUM(M12:M13)</f>
        <v>57.554160000000124</v>
      </c>
      <c r="N14" s="1937">
        <f t="shared" ref="N14" si="31">+SUM(N12:N13)</f>
        <v>99.286990000000088</v>
      </c>
      <c r="O14" s="1938">
        <f t="shared" ref="O14" si="32">+SUM(O12:O13)</f>
        <v>134.65465689999994</v>
      </c>
      <c r="P14" s="1940"/>
    </row>
  </sheetData>
  <mergeCells count="5">
    <mergeCell ref="D5:G5"/>
    <mergeCell ref="C5:C6"/>
    <mergeCell ref="H5:K5"/>
    <mergeCell ref="L5:O5"/>
    <mergeCell ref="P5:P6"/>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4"/>
  <sheetViews>
    <sheetView zoomScaleNormal="100" workbookViewId="0">
      <pane ySplit="3" topLeftCell="A46" activePane="bottomLeft" state="frozen"/>
      <selection activeCell="B5" sqref="B5"/>
      <selection pane="bottomLeft" activeCell="E62" sqref="E62"/>
    </sheetView>
  </sheetViews>
  <sheetFormatPr defaultRowHeight="12.75"/>
  <cols>
    <col min="1" max="1" width="7.7109375" style="1012" customWidth="1"/>
    <col min="2" max="2" width="33.42578125" style="1014" bestFit="1" customWidth="1"/>
    <col min="3" max="3" width="31.140625" style="1014" customWidth="1"/>
    <col min="4" max="4" width="14.28515625" style="1014" bestFit="1" customWidth="1"/>
    <col min="5" max="5" width="14.28515625" style="1014" customWidth="1"/>
    <col min="6" max="6" width="27.140625" style="1014" bestFit="1" customWidth="1"/>
    <col min="7" max="8" width="15.85546875" style="1014" customWidth="1"/>
    <col min="9" max="9" width="13.85546875" style="1014" customWidth="1"/>
    <col min="10" max="10" width="14.140625" style="1014" customWidth="1"/>
    <col min="11" max="16384" width="9.140625" style="1014"/>
  </cols>
  <sheetData>
    <row r="1" spans="1:10">
      <c r="B1" s="1013" t="s">
        <v>1065</v>
      </c>
      <c r="G1" s="1015" t="s">
        <v>2364</v>
      </c>
      <c r="H1" s="1015"/>
      <c r="I1" s="1016"/>
      <c r="J1" s="1016"/>
    </row>
    <row r="3" spans="1:10" s="1013" customFormat="1">
      <c r="A3" s="1017"/>
      <c r="B3" s="1018" t="s">
        <v>2365</v>
      </c>
      <c r="C3" s="1017" t="s">
        <v>2366</v>
      </c>
      <c r="D3" s="1017" t="s">
        <v>2446</v>
      </c>
      <c r="E3" s="1017" t="s">
        <v>2447</v>
      </c>
      <c r="F3" s="1017" t="s">
        <v>2367</v>
      </c>
      <c r="G3" s="1019" t="s">
        <v>2446</v>
      </c>
      <c r="H3" s="1017" t="s">
        <v>2447</v>
      </c>
      <c r="I3" s="1020">
        <v>44651</v>
      </c>
      <c r="J3" s="1020">
        <v>44286</v>
      </c>
    </row>
    <row r="4" spans="1:10">
      <c r="A4" s="1021"/>
      <c r="B4" s="1022"/>
      <c r="C4" s="1022"/>
      <c r="D4" s="1023"/>
      <c r="E4" s="1023"/>
      <c r="F4" s="1022"/>
      <c r="G4" s="1024"/>
      <c r="H4" s="1024"/>
      <c r="I4" s="1023"/>
      <c r="J4" s="1022"/>
    </row>
    <row r="5" spans="1:10">
      <c r="A5" s="1021">
        <v>1</v>
      </c>
      <c r="B5" s="1025" t="s">
        <v>2368</v>
      </c>
      <c r="C5" s="1026" t="s">
        <v>2246</v>
      </c>
      <c r="D5" s="1027"/>
      <c r="E5" s="1027"/>
      <c r="F5" s="1026" t="s">
        <v>2249</v>
      </c>
      <c r="G5" s="1028"/>
      <c r="H5" s="1028"/>
      <c r="I5" s="1029"/>
      <c r="J5" s="1029"/>
    </row>
    <row r="6" spans="1:10">
      <c r="A6" s="1021"/>
      <c r="B6" s="1030"/>
      <c r="C6" s="1031" t="s">
        <v>1079</v>
      </c>
      <c r="D6" s="1032">
        <f>+BSPL!H15</f>
        <v>51593266.719999999</v>
      </c>
      <c r="E6" s="1032">
        <f>+BSPL!I15</f>
        <v>67513794.217889339</v>
      </c>
      <c r="F6" s="1031" t="s">
        <v>2369</v>
      </c>
      <c r="G6" s="1033">
        <f>+BSPL!H41</f>
        <v>87356478.839999989</v>
      </c>
      <c r="H6" s="1033">
        <f>+BSPL!I41</f>
        <v>79627699.75999999</v>
      </c>
      <c r="I6" s="1034"/>
      <c r="J6" s="1035"/>
    </row>
    <row r="7" spans="1:10">
      <c r="A7" s="1021"/>
      <c r="B7" s="1030"/>
      <c r="C7" s="1031" t="s">
        <v>2370</v>
      </c>
      <c r="D7" s="1034">
        <f>+BSPL!H17</f>
        <v>166554746.43000001</v>
      </c>
      <c r="E7" s="1034">
        <f>+BSPL!I17</f>
        <v>155760049.43000001</v>
      </c>
      <c r="F7" s="1031" t="s">
        <v>2371</v>
      </c>
      <c r="G7" s="1028">
        <v>0</v>
      </c>
      <c r="H7" s="1028">
        <v>0</v>
      </c>
      <c r="I7" s="1034"/>
      <c r="J7" s="1035"/>
    </row>
    <row r="8" spans="1:10">
      <c r="A8" s="1021"/>
      <c r="B8" s="1030"/>
      <c r="C8" s="1031" t="s">
        <v>2372</v>
      </c>
      <c r="D8" s="1034">
        <f>+BSPL!H18</f>
        <v>79146.64</v>
      </c>
      <c r="E8" s="1034">
        <f>+BSPL!I18</f>
        <v>333868.40000000002</v>
      </c>
      <c r="F8" s="1031" t="s">
        <v>2373</v>
      </c>
      <c r="G8" s="1028"/>
      <c r="H8" s="1028"/>
      <c r="I8" s="1034"/>
      <c r="J8" s="1035"/>
    </row>
    <row r="9" spans="1:10">
      <c r="A9" s="1021"/>
      <c r="B9" s="1030"/>
      <c r="C9" s="1031" t="s">
        <v>2374</v>
      </c>
      <c r="D9" s="1034">
        <f>+BSPL!H291+BSPL!H292</f>
        <v>780048</v>
      </c>
      <c r="E9" s="1034">
        <f>+BSPL!I291+BSPL!I292</f>
        <v>545158</v>
      </c>
      <c r="F9" s="1031" t="s">
        <v>2375</v>
      </c>
      <c r="G9" s="1028">
        <f>+BSPL!H407</f>
        <v>56842407.57</v>
      </c>
      <c r="H9" s="1028">
        <f>+BSPL!I407</f>
        <v>43576042.979999997</v>
      </c>
      <c r="I9" s="1034"/>
      <c r="J9" s="1035"/>
    </row>
    <row r="10" spans="1:10">
      <c r="A10" s="1021"/>
      <c r="B10" s="1030"/>
      <c r="C10" s="1031" t="s">
        <v>2376</v>
      </c>
      <c r="D10" s="1034">
        <f>+BSPL!H285</f>
        <v>345500</v>
      </c>
      <c r="E10" s="1034">
        <f>+BSPL!I285</f>
        <v>207000</v>
      </c>
      <c r="F10" s="1031" t="s">
        <v>2377</v>
      </c>
      <c r="G10" s="1028"/>
      <c r="H10" s="1028"/>
      <c r="I10" s="1034"/>
      <c r="J10" s="1035"/>
    </row>
    <row r="11" spans="1:10">
      <c r="A11" s="1021"/>
      <c r="B11" s="1030"/>
      <c r="C11" s="1031" t="s">
        <v>2378</v>
      </c>
      <c r="D11" s="1034"/>
      <c r="E11" s="1034"/>
      <c r="F11" s="1031" t="s">
        <v>2379</v>
      </c>
      <c r="G11" s="1028"/>
      <c r="H11" s="1028"/>
      <c r="I11" s="1034"/>
      <c r="J11" s="1035"/>
    </row>
    <row r="12" spans="1:10">
      <c r="A12" s="1021"/>
      <c r="B12" s="1030"/>
      <c r="C12" s="1031" t="s">
        <v>2380</v>
      </c>
      <c r="D12" s="1034">
        <f>+BSPL!H290+BSPL!H289+BSPL!H287-D10</f>
        <v>13492689.02</v>
      </c>
      <c r="E12" s="1034">
        <f>+BSPL!I290+BSPL!I289+BSPL!I287-E10</f>
        <v>9551237.0199999996</v>
      </c>
      <c r="F12" s="1031" t="s">
        <v>2004</v>
      </c>
      <c r="G12" s="1028">
        <f>+BSPL!H44</f>
        <v>3410536</v>
      </c>
      <c r="H12" s="1028">
        <f>+BSPL!I44</f>
        <v>3556237.4950000001</v>
      </c>
      <c r="I12" s="1034"/>
      <c r="J12" s="1035"/>
    </row>
    <row r="13" spans="1:10">
      <c r="A13" s="1021"/>
      <c r="B13" s="1030"/>
      <c r="C13" s="1031"/>
      <c r="D13" s="1034"/>
      <c r="E13" s="1034"/>
      <c r="F13" s="1031" t="s">
        <v>2381</v>
      </c>
      <c r="G13" s="1028"/>
      <c r="H13" s="1028"/>
      <c r="I13" s="1034"/>
      <c r="J13" s="1035"/>
    </row>
    <row r="14" spans="1:10">
      <c r="A14" s="1021"/>
      <c r="B14" s="1030"/>
      <c r="C14" s="1031"/>
      <c r="D14" s="1034"/>
      <c r="E14" s="1034"/>
      <c r="F14" s="1031" t="s">
        <v>2382</v>
      </c>
      <c r="G14" s="1028">
        <f>+BSPL!H42+BSPL!H43</f>
        <v>28087271</v>
      </c>
      <c r="H14" s="1028">
        <f>+BSPL!I42+BSPL!I43</f>
        <v>17826852.310000002</v>
      </c>
      <c r="I14" s="1034"/>
      <c r="J14" s="1035"/>
    </row>
    <row r="15" spans="1:10">
      <c r="A15" s="1021"/>
      <c r="B15" s="1030"/>
      <c r="C15" s="1031"/>
      <c r="D15" s="1036">
        <f>SUM(D6:D13)</f>
        <v>232845396.81</v>
      </c>
      <c r="E15" s="1036">
        <f>SUM(E6:E13)</f>
        <v>233911107.06788936</v>
      </c>
      <c r="F15" s="1031"/>
      <c r="G15" s="1036">
        <f>SUM(G6:G13)</f>
        <v>147609422.41</v>
      </c>
      <c r="H15" s="1036">
        <f>SUM(H6:H13)</f>
        <v>126759980.23499998</v>
      </c>
      <c r="I15" s="1073">
        <f>D15/G15</f>
        <v>1.5774426388801153</v>
      </c>
      <c r="J15" s="1073">
        <f>E15/H15</f>
        <v>1.8453072226284841</v>
      </c>
    </row>
    <row r="16" spans="1:10">
      <c r="A16" s="1021"/>
      <c r="B16" s="1037"/>
      <c r="C16" s="1031"/>
      <c r="D16" s="1036"/>
      <c r="E16" s="1036"/>
      <c r="F16" s="1031"/>
      <c r="G16" s="1038"/>
      <c r="H16" s="1038"/>
      <c r="I16" s="1035"/>
      <c r="J16" s="1039"/>
    </row>
    <row r="17" spans="1:12">
      <c r="A17" s="1021">
        <v>2</v>
      </c>
      <c r="B17" s="1025" t="s">
        <v>2383</v>
      </c>
      <c r="C17" s="1026" t="s">
        <v>2384</v>
      </c>
      <c r="D17" s="1040"/>
      <c r="E17" s="1040"/>
      <c r="F17" s="1026" t="s">
        <v>2385</v>
      </c>
      <c r="G17" s="1041"/>
      <c r="H17" s="1041"/>
      <c r="I17" s="1036"/>
      <c r="J17" s="1039"/>
    </row>
    <row r="18" spans="1:12">
      <c r="A18" s="1021"/>
      <c r="B18" s="1025"/>
      <c r="C18" s="1031" t="s">
        <v>2255</v>
      </c>
      <c r="D18" s="1036">
        <f>+BSPL!H46-BSPL!H31</f>
        <v>235889010.05987364</v>
      </c>
      <c r="E18" s="1036">
        <f>+BSPL!I46-BSPL!I31</f>
        <v>197592058.41094685</v>
      </c>
      <c r="F18" s="1031" t="s">
        <v>2386</v>
      </c>
      <c r="G18" s="1041">
        <f>+BSPL!H31</f>
        <v>273224147.54475296</v>
      </c>
      <c r="H18" s="1041">
        <f>+BSPL!I31</f>
        <v>268294783.55420685</v>
      </c>
      <c r="I18" s="1073">
        <f>D18/G18</f>
        <v>0.86335344873291631</v>
      </c>
      <c r="J18" s="1073">
        <f>E18/H18</f>
        <v>0.736473724137931</v>
      </c>
    </row>
    <row r="19" spans="1:12">
      <c r="A19" s="1021"/>
      <c r="B19" s="1025"/>
      <c r="C19" s="1031"/>
      <c r="D19" s="1036"/>
      <c r="E19" s="1036"/>
      <c r="F19" s="1031"/>
      <c r="G19" s="1041"/>
      <c r="H19" s="1041"/>
      <c r="I19" s="1036"/>
      <c r="J19" s="1039"/>
    </row>
    <row r="20" spans="1:12">
      <c r="A20" s="1021"/>
      <c r="B20" s="1025"/>
      <c r="C20" s="1031"/>
      <c r="D20" s="1036"/>
      <c r="E20" s="1036"/>
      <c r="F20" s="1031"/>
      <c r="G20" s="1038"/>
      <c r="H20" s="1038"/>
      <c r="I20" s="1035"/>
      <c r="J20" s="1039"/>
    </row>
    <row r="21" spans="1:12">
      <c r="A21" s="1021">
        <v>3</v>
      </c>
      <c r="B21" s="1025" t="s">
        <v>2387</v>
      </c>
      <c r="C21" s="1026" t="s">
        <v>2388</v>
      </c>
      <c r="D21" s="1040"/>
      <c r="E21" s="1040"/>
      <c r="F21" s="1026" t="s">
        <v>2389</v>
      </c>
      <c r="G21" s="1028"/>
      <c r="H21" s="1028"/>
      <c r="I21" s="1036"/>
      <c r="J21" s="1042"/>
    </row>
    <row r="22" spans="1:12" ht="63.75">
      <c r="A22" s="1021"/>
      <c r="B22" s="1025" t="s">
        <v>2390</v>
      </c>
      <c r="C22" s="1031" t="s">
        <v>2391</v>
      </c>
      <c r="D22" s="1036">
        <f>+BSPL!H100+BSPL!H86+BSPL!H87</f>
        <v>29385990.631871711</v>
      </c>
      <c r="E22" s="1036">
        <f>+BSPL!I100+BSPL!I86+BSPL!I87</f>
        <v>58373442.124206863</v>
      </c>
      <c r="F22" s="1031" t="s">
        <v>2392</v>
      </c>
      <c r="G22" s="1028">
        <f>+BSPL!H86+'Bank TL &amp; Int.'!F6</f>
        <v>11721490.15</v>
      </c>
      <c r="H22" s="1028">
        <f>+BSPL!I86+'Bank TL &amp; Int.'!G6</f>
        <v>6372184.9500000002</v>
      </c>
      <c r="I22" s="1073">
        <f>D22/G22</f>
        <v>2.5070183275179998</v>
      </c>
      <c r="J22" s="1073">
        <f>E22/H22</f>
        <v>9.1606635058837806</v>
      </c>
    </row>
    <row r="23" spans="1:12">
      <c r="A23" s="1021"/>
      <c r="B23" s="1025"/>
      <c r="C23" s="1031"/>
      <c r="D23" s="1036"/>
      <c r="E23" s="1036"/>
      <c r="F23" s="1031"/>
      <c r="G23" s="1041"/>
      <c r="H23" s="1041"/>
      <c r="I23" s="1036"/>
      <c r="J23" s="1039"/>
    </row>
    <row r="24" spans="1:12">
      <c r="A24" s="1021"/>
      <c r="B24" s="1025"/>
      <c r="C24" s="1031"/>
      <c r="D24" s="1036"/>
      <c r="E24" s="1036"/>
      <c r="F24" s="1031"/>
      <c r="G24" s="1041"/>
      <c r="H24" s="1041"/>
      <c r="I24" s="1036"/>
      <c r="J24" s="1039"/>
    </row>
    <row r="25" spans="1:12">
      <c r="A25" s="1021">
        <v>4</v>
      </c>
      <c r="B25" s="1025" t="s">
        <v>2393</v>
      </c>
      <c r="C25" s="1026" t="s">
        <v>2394</v>
      </c>
      <c r="D25" s="1027"/>
      <c r="E25" s="1027"/>
      <c r="F25" s="1026" t="s">
        <v>2395</v>
      </c>
      <c r="G25" s="1028"/>
      <c r="H25" s="1028"/>
      <c r="I25" s="1034"/>
      <c r="J25" s="1039"/>
      <c r="L25" s="1043"/>
    </row>
    <row r="26" spans="1:12" ht="38.25">
      <c r="A26" s="1021"/>
      <c r="B26" s="1025"/>
      <c r="C26" s="1031" t="s">
        <v>2396</v>
      </c>
      <c r="D26" s="1034">
        <f>+BSPL!H100</f>
        <v>3825288.9905461473</v>
      </c>
      <c r="E26" s="1034">
        <f>+BSPL!I100</f>
        <v>34273275.17420686</v>
      </c>
      <c r="F26" s="1031" t="s">
        <v>2397</v>
      </c>
      <c r="G26" s="1028">
        <f>+(BSPL!I31+BSPL!H31)/2</f>
        <v>270759465.5494799</v>
      </c>
      <c r="H26" s="1834">
        <f>(+BSPL!I31+232891786)/2</f>
        <v>250593284.77710342</v>
      </c>
      <c r="I26" s="1074">
        <f>D26/G26</f>
        <v>1.4127997271611896E-2</v>
      </c>
      <c r="J26" s="1835">
        <f>E26/H26</f>
        <v>0.13676852994960378</v>
      </c>
      <c r="K26" s="1833"/>
      <c r="L26" s="1043"/>
    </row>
    <row r="27" spans="1:12">
      <c r="A27" s="1021"/>
      <c r="B27" s="1025"/>
      <c r="C27" s="1044"/>
      <c r="D27" s="1036"/>
      <c r="E27" s="1036"/>
      <c r="F27" s="1044"/>
      <c r="G27" s="1038"/>
      <c r="H27" s="1038"/>
      <c r="I27" s="1035"/>
      <c r="J27" s="1039"/>
    </row>
    <row r="28" spans="1:12">
      <c r="A28" s="1021"/>
      <c r="B28" s="1025"/>
      <c r="C28" s="1022"/>
      <c r="D28" s="1022"/>
      <c r="E28" s="1022"/>
      <c r="F28" s="1022"/>
      <c r="G28" s="1038"/>
      <c r="H28" s="1038"/>
      <c r="I28" s="1035"/>
      <c r="J28" s="1039"/>
    </row>
    <row r="29" spans="1:12">
      <c r="A29" s="1021"/>
      <c r="B29" s="1025"/>
      <c r="C29" s="1031"/>
      <c r="D29" s="1036"/>
      <c r="E29" s="1036"/>
      <c r="F29" s="1031"/>
      <c r="G29" s="1038"/>
      <c r="H29" s="1038"/>
      <c r="I29" s="1035"/>
      <c r="J29" s="1039"/>
    </row>
    <row r="30" spans="1:12">
      <c r="A30" s="1021">
        <v>5</v>
      </c>
      <c r="B30" s="1025" t="s">
        <v>2398</v>
      </c>
      <c r="C30" s="1026" t="s">
        <v>2399</v>
      </c>
      <c r="D30" s="1040"/>
      <c r="E30" s="1040"/>
      <c r="F30" s="1026" t="s">
        <v>2400</v>
      </c>
      <c r="G30" s="1038"/>
      <c r="H30" s="1038"/>
      <c r="I30" s="1035"/>
      <c r="J30" s="1039"/>
    </row>
    <row r="31" spans="1:12" ht="25.5">
      <c r="A31" s="1021"/>
      <c r="B31" s="1025"/>
      <c r="C31" s="1031" t="s">
        <v>2401</v>
      </c>
      <c r="D31" s="1036">
        <f>+BSPL!H82</f>
        <v>866942160.29999995</v>
      </c>
      <c r="E31" s="1036">
        <f>+BSPL!I82</f>
        <v>552919696.88999999</v>
      </c>
      <c r="F31" s="1031" t="s">
        <v>2402</v>
      </c>
      <c r="G31" s="1038">
        <f>+(BSPL!I238+BSPL!H238)/2</f>
        <v>32735654.25</v>
      </c>
      <c r="H31" s="1837">
        <f>(+BSPL!I238+46809782)/2</f>
        <v>44390683.75</v>
      </c>
      <c r="I31" s="1073">
        <f>D31/G31</f>
        <v>26.483116961073108</v>
      </c>
      <c r="J31" s="1836">
        <f>E31/H31</f>
        <v>12.45575986177505</v>
      </c>
    </row>
    <row r="32" spans="1:12">
      <c r="A32" s="1021"/>
      <c r="B32" s="1025"/>
      <c r="C32" s="1031"/>
      <c r="D32" s="1036"/>
      <c r="E32" s="1036"/>
      <c r="F32" s="1031"/>
      <c r="G32" s="1038"/>
      <c r="H32" s="1038"/>
      <c r="I32" s="1035"/>
      <c r="J32" s="1039"/>
    </row>
    <row r="33" spans="1:15">
      <c r="A33" s="1021"/>
      <c r="B33" s="1025"/>
      <c r="C33" s="1031"/>
      <c r="D33" s="1036"/>
      <c r="E33" s="1036"/>
      <c r="F33" s="1031"/>
      <c r="G33" s="1038"/>
      <c r="H33" s="1038"/>
      <c r="I33" s="1035"/>
      <c r="J33" s="1039"/>
    </row>
    <row r="34" spans="1:15">
      <c r="A34" s="1021">
        <v>6</v>
      </c>
      <c r="B34" s="1025" t="s">
        <v>2403</v>
      </c>
      <c r="C34" s="1026" t="s">
        <v>2404</v>
      </c>
      <c r="D34" s="1040"/>
      <c r="E34" s="1040"/>
      <c r="F34" s="1026" t="s">
        <v>2405</v>
      </c>
      <c r="G34" s="1038"/>
      <c r="H34" s="1038"/>
      <c r="I34" s="1035"/>
      <c r="J34" s="1039"/>
      <c r="O34" s="1014" t="s">
        <v>2406</v>
      </c>
    </row>
    <row r="35" spans="1:15" ht="25.5">
      <c r="A35" s="1021"/>
      <c r="B35" s="1025"/>
      <c r="C35" s="1031" t="s">
        <v>2407</v>
      </c>
      <c r="D35" s="1040">
        <f>+BSPL!H78</f>
        <v>1124021510.75</v>
      </c>
      <c r="E35" s="1040">
        <f>+BSPL!I78</f>
        <v>819759041.19999993</v>
      </c>
      <c r="F35" s="1031" t="s">
        <v>2408</v>
      </c>
      <c r="G35" s="1038">
        <f>+(BSPL!I17+BSPL!H17)/2</f>
        <v>161157397.93000001</v>
      </c>
      <c r="H35" s="1837">
        <f>(+BSPL!I17+94854388)/2</f>
        <v>125307218.715</v>
      </c>
      <c r="I35" s="1073">
        <f>D35/G35</f>
        <v>6.9746814306236669</v>
      </c>
      <c r="J35" s="1836">
        <f>E35/H35</f>
        <v>6.5419937463017845</v>
      </c>
    </row>
    <row r="36" spans="1:15">
      <c r="A36" s="1045"/>
      <c r="B36" s="1046"/>
      <c r="C36" s="1047"/>
      <c r="D36" s="1048"/>
      <c r="E36" s="1048"/>
      <c r="F36" s="1047"/>
      <c r="G36" s="1049"/>
      <c r="H36" s="1049"/>
      <c r="I36" s="1050"/>
      <c r="J36" s="1051"/>
    </row>
    <row r="37" spans="1:15">
      <c r="A37" s="1052"/>
      <c r="B37" s="1053"/>
      <c r="C37" s="1054"/>
      <c r="D37" s="1055"/>
      <c r="E37" s="1055"/>
      <c r="F37" s="1054"/>
      <c r="G37" s="1056"/>
      <c r="H37" s="1056"/>
      <c r="I37" s="1057"/>
      <c r="J37" s="1058"/>
    </row>
    <row r="38" spans="1:15">
      <c r="A38" s="1021">
        <v>7</v>
      </c>
      <c r="B38" s="1025" t="s">
        <v>2409</v>
      </c>
      <c r="C38" s="1026" t="s">
        <v>2410</v>
      </c>
      <c r="D38" s="1040"/>
      <c r="E38" s="1040"/>
      <c r="F38" s="1026" t="s">
        <v>2411</v>
      </c>
      <c r="G38" s="1038"/>
      <c r="H38" s="1038"/>
      <c r="I38" s="1073"/>
      <c r="J38" s="1039"/>
    </row>
    <row r="39" spans="1:15" ht="25.5">
      <c r="A39" s="1021"/>
      <c r="B39" s="1025"/>
      <c r="C39" s="1031" t="s">
        <v>2412</v>
      </c>
      <c r="D39" s="1040">
        <f>+BSPL!H485</f>
        <v>848470297.79999995</v>
      </c>
      <c r="E39" s="1040">
        <f>+BSPL!I485</f>
        <v>548081500.38999999</v>
      </c>
      <c r="F39" s="1031" t="s">
        <v>2413</v>
      </c>
      <c r="G39" s="1038">
        <f>+(BSPL!H41+BSPL!I41)/2</f>
        <v>83492089.299999982</v>
      </c>
      <c r="H39" s="1837">
        <f>(+BSPL!I41+ 59045467)/2</f>
        <v>69336583.379999995</v>
      </c>
      <c r="I39" s="1073">
        <f>D39/G39</f>
        <v>10.162283695540484</v>
      </c>
      <c r="J39" s="1836">
        <f>E39/H39</f>
        <v>7.9046511043994281</v>
      </c>
    </row>
    <row r="40" spans="1:15">
      <c r="A40" s="1021"/>
      <c r="B40" s="1025"/>
      <c r="C40" s="1031"/>
      <c r="D40" s="1040"/>
      <c r="E40" s="1040"/>
      <c r="F40" s="1031"/>
      <c r="G40" s="1038"/>
      <c r="H40" s="1038"/>
      <c r="I40" s="1035"/>
      <c r="J40" s="1039"/>
    </row>
    <row r="41" spans="1:15">
      <c r="A41" s="1021"/>
      <c r="B41" s="1025"/>
      <c r="C41" s="1031"/>
      <c r="D41" s="1036"/>
      <c r="E41" s="1036"/>
      <c r="F41" s="1031"/>
      <c r="G41" s="1038"/>
      <c r="H41" s="1038"/>
      <c r="I41" s="1035"/>
      <c r="J41" s="1039"/>
    </row>
    <row r="42" spans="1:15">
      <c r="A42" s="1021">
        <v>8</v>
      </c>
      <c r="B42" s="1025" t="s">
        <v>2414</v>
      </c>
      <c r="C42" s="1026" t="s">
        <v>2415</v>
      </c>
      <c r="D42" s="1040"/>
      <c r="E42" s="1040"/>
      <c r="F42" s="1026" t="s">
        <v>2416</v>
      </c>
      <c r="G42" s="1038"/>
      <c r="H42" s="1038"/>
      <c r="I42" s="1035"/>
      <c r="J42" s="1039"/>
      <c r="K42" s="1060"/>
      <c r="L42" s="1059"/>
    </row>
    <row r="43" spans="1:15" ht="25.5">
      <c r="A43" s="1021"/>
      <c r="B43" s="1025"/>
      <c r="C43" s="1031" t="s">
        <v>2417</v>
      </c>
      <c r="D43" s="1040">
        <f>+BSPL!H78</f>
        <v>1124021510.75</v>
      </c>
      <c r="E43" s="1040">
        <f>+BSPL!I78</f>
        <v>819759041.19999993</v>
      </c>
      <c r="F43" s="1031" t="s">
        <v>2418</v>
      </c>
      <c r="G43" s="1038">
        <f>+D15-G15</f>
        <v>85235974.400000006</v>
      </c>
      <c r="H43" s="1038">
        <f>+E15-H15</f>
        <v>107151126.83288938</v>
      </c>
      <c r="I43" s="1073">
        <f>D43/G43</f>
        <v>13.187172654061897</v>
      </c>
      <c r="J43" s="1073">
        <f>E43/H43</f>
        <v>7.6504938905446949</v>
      </c>
      <c r="K43" s="1060"/>
      <c r="L43" s="1043"/>
    </row>
    <row r="44" spans="1:15">
      <c r="A44" s="1021"/>
      <c r="B44" s="1025"/>
      <c r="C44" s="1026"/>
      <c r="D44" s="1040"/>
      <c r="E44" s="1040"/>
      <c r="F44" s="1026"/>
      <c r="G44" s="1038"/>
      <c r="H44" s="1038"/>
      <c r="I44" s="1035"/>
      <c r="J44" s="1035"/>
    </row>
    <row r="45" spans="1:15">
      <c r="A45" s="1021"/>
      <c r="B45" s="1025"/>
      <c r="C45" s="1031"/>
      <c r="D45" s="1036"/>
      <c r="E45" s="1036"/>
      <c r="F45" s="1031"/>
      <c r="G45" s="1038"/>
      <c r="H45" s="1038"/>
      <c r="I45" s="1035"/>
      <c r="J45" s="1035"/>
    </row>
    <row r="46" spans="1:15">
      <c r="A46" s="1021">
        <v>9</v>
      </c>
      <c r="B46" s="1025" t="s">
        <v>2419</v>
      </c>
      <c r="C46" s="1026" t="s">
        <v>2420</v>
      </c>
      <c r="D46" s="1040"/>
      <c r="E46" s="1040"/>
      <c r="F46" s="1026" t="s">
        <v>2415</v>
      </c>
      <c r="G46" s="1038"/>
      <c r="H46" s="1038"/>
      <c r="I46" s="1035"/>
      <c r="J46" s="1035"/>
    </row>
    <row r="47" spans="1:15">
      <c r="A47" s="1021"/>
      <c r="B47" s="1025"/>
      <c r="C47" s="1031" t="s">
        <v>2421</v>
      </c>
      <c r="D47" s="1040">
        <f>+BSPL!H100</f>
        <v>3825288.9905461473</v>
      </c>
      <c r="E47" s="1040">
        <f>+BSPL!I100</f>
        <v>34273275.17420686</v>
      </c>
      <c r="F47" s="1031" t="s">
        <v>1467</v>
      </c>
      <c r="G47" s="1038">
        <f>+BSPL!H78</f>
        <v>1124021510.75</v>
      </c>
      <c r="H47" s="1038">
        <f>+BSPL!I78</f>
        <v>819759041.19999993</v>
      </c>
      <c r="I47" s="1074">
        <f>D47/G47</f>
        <v>3.4032168903900557E-3</v>
      </c>
      <c r="J47" s="1074">
        <f>E47/H47</f>
        <v>4.1808962697180027E-2</v>
      </c>
    </row>
    <row r="48" spans="1:15">
      <c r="A48" s="1021"/>
      <c r="B48" s="1025"/>
      <c r="C48" s="1026"/>
      <c r="D48" s="1040"/>
      <c r="E48" s="1040"/>
      <c r="F48" s="1026"/>
      <c r="G48" s="1038"/>
      <c r="H48" s="1038"/>
      <c r="I48" s="1035"/>
      <c r="J48" s="1035"/>
    </row>
    <row r="49" spans="1:12">
      <c r="A49" s="1021"/>
      <c r="B49" s="1025"/>
      <c r="C49" s="1031"/>
      <c r="D49" s="1036"/>
      <c r="E49" s="1036"/>
      <c r="F49" s="1031"/>
      <c r="G49" s="1038"/>
      <c r="H49" s="1038"/>
      <c r="I49" s="1035"/>
      <c r="J49" s="1035"/>
    </row>
    <row r="50" spans="1:12">
      <c r="A50" s="1021">
        <v>10</v>
      </c>
      <c r="B50" s="1025" t="s">
        <v>2422</v>
      </c>
      <c r="C50" s="1026" t="s">
        <v>2423</v>
      </c>
      <c r="D50" s="1040"/>
      <c r="E50" s="1040"/>
      <c r="F50" s="1026" t="s">
        <v>2424</v>
      </c>
      <c r="G50" s="1038"/>
      <c r="H50" s="1038"/>
      <c r="I50" s="1035"/>
      <c r="J50" s="1035"/>
    </row>
    <row r="51" spans="1:12" ht="38.25">
      <c r="A51" s="1021"/>
      <c r="B51" s="1025"/>
      <c r="C51" s="1031" t="s">
        <v>2425</v>
      </c>
      <c r="D51" s="1040">
        <f>+BSPL!H93+BSPL!H86</f>
        <v>10688679.910785103</v>
      </c>
      <c r="E51" s="1040">
        <f>+BSPL!I93+BSPL!I86</f>
        <v>54636721.027889207</v>
      </c>
      <c r="F51" s="1061" t="s">
        <v>2426</v>
      </c>
      <c r="G51" s="1038">
        <f>+(BSPL!H31+BSPL!H34+BSPL!H36)</f>
        <v>332441388.49462658</v>
      </c>
      <c r="H51" s="1038">
        <f>+(BSPL!I31+BSPL!I34+BSPL!I36)</f>
        <v>319756383.72015375</v>
      </c>
      <c r="I51" s="1074">
        <f>D51/G51</f>
        <v>3.2152073360016874E-2</v>
      </c>
      <c r="J51" s="1074">
        <f>E51/H51</f>
        <v>0.17086983656816213</v>
      </c>
      <c r="K51" s="1043"/>
    </row>
    <row r="52" spans="1:12">
      <c r="A52" s="1021"/>
      <c r="B52" s="1025"/>
      <c r="C52" s="1026"/>
      <c r="D52" s="1040"/>
      <c r="E52" s="1040"/>
      <c r="F52" s="1026"/>
      <c r="G52" s="1038"/>
      <c r="H52" s="1038"/>
      <c r="I52" s="1035"/>
      <c r="J52" s="1039"/>
    </row>
    <row r="53" spans="1:12">
      <c r="A53" s="1021"/>
      <c r="B53" s="1025"/>
      <c r="C53" s="1031"/>
      <c r="D53" s="1036"/>
      <c r="E53" s="1036"/>
      <c r="F53" s="1031"/>
      <c r="G53" s="1038"/>
      <c r="H53" s="1038"/>
      <c r="I53" s="1035"/>
      <c r="J53" s="1039"/>
    </row>
    <row r="54" spans="1:12" s="1082" customFormat="1">
      <c r="A54" s="1075">
        <v>11</v>
      </c>
      <c r="B54" s="1076" t="s">
        <v>2427</v>
      </c>
      <c r="C54" s="1077" t="s">
        <v>2428</v>
      </c>
      <c r="D54" s="1078">
        <f>+D47</f>
        <v>3825288.9905461473</v>
      </c>
      <c r="E54" s="1078">
        <f>+E47</f>
        <v>34273275.17420686</v>
      </c>
      <c r="F54" s="1077" t="s">
        <v>2429</v>
      </c>
      <c r="G54" s="1079">
        <f>[69]BS!E33</f>
        <v>0</v>
      </c>
      <c r="H54" s="1079"/>
      <c r="I54" s="1080"/>
      <c r="J54" s="1081"/>
      <c r="K54" s="1083"/>
      <c r="L54" s="1084"/>
    </row>
    <row r="55" spans="1:12">
      <c r="A55" s="1063"/>
      <c r="B55" s="1047"/>
      <c r="C55" s="1064"/>
      <c r="D55" s="1065"/>
      <c r="E55" s="1065"/>
      <c r="F55" s="1064"/>
      <c r="G55" s="1066"/>
      <c r="H55" s="1066"/>
      <c r="I55" s="1067"/>
      <c r="J55" s="1067"/>
    </row>
    <row r="56" spans="1:12">
      <c r="B56" s="1062"/>
    </row>
    <row r="57" spans="1:12">
      <c r="A57" s="1068"/>
      <c r="B57" s="1059" t="s">
        <v>2430</v>
      </c>
    </row>
    <row r="59" spans="1:12">
      <c r="B59" s="1014" t="s">
        <v>2431</v>
      </c>
    </row>
    <row r="60" spans="1:12">
      <c r="B60" s="1014" t="s">
        <v>2432</v>
      </c>
    </row>
    <row r="61" spans="1:12">
      <c r="B61" s="1014" t="s">
        <v>2433</v>
      </c>
    </row>
    <row r="63" spans="1:12">
      <c r="A63" s="1012" t="s">
        <v>2434</v>
      </c>
      <c r="B63" s="1014" t="s">
        <v>2435</v>
      </c>
    </row>
    <row r="64" spans="1:12">
      <c r="B64" s="1069" t="s">
        <v>2445</v>
      </c>
      <c r="G64" s="1070"/>
      <c r="H64" s="1070"/>
    </row>
    <row r="65" spans="2:2">
      <c r="B65" s="1071" t="s">
        <v>2436</v>
      </c>
    </row>
    <row r="67" spans="2:2">
      <c r="B67" s="1014" t="s">
        <v>2437</v>
      </c>
    </row>
    <row r="68" spans="2:2">
      <c r="B68" s="1072" t="s">
        <v>2438</v>
      </c>
    </row>
    <row r="69" spans="2:2">
      <c r="B69" s="1072" t="s">
        <v>2439</v>
      </c>
    </row>
    <row r="70" spans="2:2">
      <c r="B70" s="1072" t="s">
        <v>2440</v>
      </c>
    </row>
    <row r="71" spans="2:2">
      <c r="B71" s="1072" t="s">
        <v>2441</v>
      </c>
    </row>
    <row r="72" spans="2:2">
      <c r="B72" s="1072" t="s">
        <v>2442</v>
      </c>
    </row>
    <row r="73" spans="2:2">
      <c r="B73" s="1072" t="s">
        <v>2443</v>
      </c>
    </row>
    <row r="74" spans="2:2">
      <c r="B74" s="1014" t="s">
        <v>2444</v>
      </c>
    </row>
  </sheetData>
  <printOptions horizontalCentered="1"/>
  <pageMargins left="0.31496062992125984" right="0.31496062992125984" top="0.15748031496062992" bottom="0.15748031496062992" header="0.31496062992125984" footer="0.31496062992125984"/>
  <pageSetup paperSize="9" scale="84" orientation="landscape" r:id="rId1"/>
  <rowBreaks count="1" manualBreakCount="1">
    <brk id="3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workbookViewId="0">
      <selection activeCell="E1" sqref="E1"/>
    </sheetView>
  </sheetViews>
  <sheetFormatPr defaultRowHeight="15"/>
  <cols>
    <col min="2" max="2" width="19.7109375" customWidth="1"/>
    <col min="3" max="3" width="19.140625" customWidth="1"/>
    <col min="4" max="4" width="17.5703125" customWidth="1"/>
    <col min="5" max="5" width="25.5703125" customWidth="1"/>
    <col min="6" max="7" width="11" customWidth="1"/>
    <col min="8" max="8" width="29.28515625" customWidth="1"/>
  </cols>
  <sheetData>
    <row r="2" spans="2:8" ht="18.75">
      <c r="B2" s="1892" t="s">
        <v>3472</v>
      </c>
    </row>
    <row r="4" spans="2:8" ht="30">
      <c r="B4" s="1890" t="s">
        <v>9</v>
      </c>
      <c r="C4" s="1890" t="s">
        <v>2366</v>
      </c>
      <c r="D4" s="1890" t="s">
        <v>2367</v>
      </c>
      <c r="E4" s="1890" t="s">
        <v>3474</v>
      </c>
      <c r="F4" s="1890" t="s">
        <v>3475</v>
      </c>
      <c r="G4" s="1890" t="s">
        <v>3471</v>
      </c>
      <c r="H4" s="1891" t="s">
        <v>3476</v>
      </c>
    </row>
    <row r="5" spans="2:8" ht="30">
      <c r="B5" s="1886" t="s">
        <v>3477</v>
      </c>
      <c r="C5" s="1886" t="s">
        <v>3478</v>
      </c>
      <c r="D5" s="1886" t="s">
        <v>2249</v>
      </c>
      <c r="E5" s="1887">
        <f>+'Ratio Analysis'!I15</f>
        <v>1.5774426388801153</v>
      </c>
      <c r="F5" s="1887">
        <f>+'Ratio Analysis'!J15</f>
        <v>1.8453072226284841</v>
      </c>
      <c r="G5" s="1888">
        <f>+(E5-F5)/F5</f>
        <v>-0.14515988474093675</v>
      </c>
      <c r="H5" s="1886"/>
    </row>
    <row r="6" spans="2:8">
      <c r="B6" s="1886"/>
      <c r="C6" s="1886"/>
      <c r="D6" s="1886"/>
      <c r="E6" s="1886"/>
      <c r="F6" s="1886"/>
      <c r="G6" s="1888"/>
      <c r="H6" s="1886"/>
    </row>
    <row r="7" spans="2:8" ht="30">
      <c r="B7" s="1886" t="s">
        <v>3479</v>
      </c>
      <c r="C7" s="1886" t="s">
        <v>2263</v>
      </c>
      <c r="D7" s="1886" t="s">
        <v>2385</v>
      </c>
      <c r="E7" s="1887">
        <f>+'Ratio Analysis'!I18</f>
        <v>0.86335344873291631</v>
      </c>
      <c r="F7" s="1887">
        <f>+'Ratio Analysis'!J18</f>
        <v>0.736473724137931</v>
      </c>
      <c r="G7" s="1888">
        <f>+(E7-F7)/F7</f>
        <v>0.17228004263628358</v>
      </c>
      <c r="H7" s="1886"/>
    </row>
    <row r="8" spans="2:8">
      <c r="B8" s="1886"/>
      <c r="C8" s="1886"/>
      <c r="D8" s="1886"/>
      <c r="E8" s="1886"/>
      <c r="F8" s="1886"/>
      <c r="G8" s="1888"/>
      <c r="H8" s="1886"/>
    </row>
    <row r="9" spans="2:8" ht="60">
      <c r="B9" s="1886" t="s">
        <v>3480</v>
      </c>
      <c r="C9" s="1886" t="s">
        <v>3481</v>
      </c>
      <c r="D9" s="1886" t="s">
        <v>3473</v>
      </c>
      <c r="E9" s="1887">
        <f>+'Ratio Analysis'!I22</f>
        <v>2.5070183275179998</v>
      </c>
      <c r="F9" s="1887">
        <f>+'Ratio Analysis'!J22</f>
        <v>9.1606635058837806</v>
      </c>
      <c r="G9" s="1888">
        <f>+(E9-F9)/F9</f>
        <v>-0.72632786632673796</v>
      </c>
      <c r="H9" s="1886" t="s">
        <v>3502</v>
      </c>
    </row>
    <row r="10" spans="2:8">
      <c r="B10" s="1886"/>
      <c r="C10" s="1886"/>
      <c r="D10" s="1886"/>
      <c r="E10" s="1887"/>
      <c r="F10" s="1887"/>
      <c r="G10" s="1888"/>
      <c r="H10" s="1886"/>
    </row>
    <row r="11" spans="2:8" ht="75">
      <c r="B11" s="1886" t="s">
        <v>3482</v>
      </c>
      <c r="C11" s="1886" t="s">
        <v>3483</v>
      </c>
      <c r="D11" s="1886" t="s">
        <v>3484</v>
      </c>
      <c r="E11" s="1888">
        <f>+'Ratio Analysis'!I26</f>
        <v>1.4127997271611896E-2</v>
      </c>
      <c r="F11" s="1888">
        <f>+'Ratio Analysis'!J26</f>
        <v>0.13676852994960378</v>
      </c>
      <c r="G11" s="1888">
        <f>+(E11-F11)/F11</f>
        <v>-0.89670140289715949</v>
      </c>
      <c r="H11" s="1886" t="s">
        <v>3503</v>
      </c>
    </row>
    <row r="12" spans="2:8">
      <c r="B12" s="1886"/>
      <c r="C12" s="1886"/>
      <c r="D12" s="1886"/>
      <c r="E12" s="1887"/>
      <c r="F12" s="1887"/>
      <c r="G12" s="1888"/>
      <c r="H12" s="1886"/>
    </row>
    <row r="13" spans="2:8" ht="60">
      <c r="B13" s="1886" t="s">
        <v>3485</v>
      </c>
      <c r="C13" s="1886" t="s">
        <v>3486</v>
      </c>
      <c r="D13" s="1886" t="s">
        <v>2400</v>
      </c>
      <c r="E13" s="1887">
        <f>+'Ratio Analysis'!I31</f>
        <v>26.483116961073108</v>
      </c>
      <c r="F13" s="1887">
        <f>+'Ratio Analysis'!J31</f>
        <v>12.45575986177505</v>
      </c>
      <c r="G13" s="1888">
        <f>+(E13-F13)/F13</f>
        <v>1.1261743366092032</v>
      </c>
      <c r="H13" s="1886" t="s">
        <v>3504</v>
      </c>
    </row>
    <row r="14" spans="2:8">
      <c r="B14" s="1886"/>
      <c r="C14" s="1886"/>
      <c r="D14" s="1886"/>
      <c r="E14" s="1887"/>
      <c r="F14" s="1887"/>
      <c r="G14" s="1888"/>
      <c r="H14" s="1886"/>
    </row>
    <row r="15" spans="2:8" ht="45">
      <c r="B15" s="1886" t="s">
        <v>3488</v>
      </c>
      <c r="C15" s="1886" t="s">
        <v>3489</v>
      </c>
      <c r="D15" s="1886" t="s">
        <v>3487</v>
      </c>
      <c r="E15" s="1887">
        <f>+'Ratio Analysis'!I35</f>
        <v>6.9746814306236669</v>
      </c>
      <c r="F15" s="1887">
        <f>+'Ratio Analysis'!J35</f>
        <v>6.5419937463017845</v>
      </c>
      <c r="G15" s="1888">
        <f>+(E15-F15)/F15</f>
        <v>6.6140033314229685E-2</v>
      </c>
      <c r="H15" s="1886" t="s">
        <v>1278</v>
      </c>
    </row>
    <row r="16" spans="2:8">
      <c r="B16" s="1886"/>
      <c r="C16" s="1886"/>
      <c r="D16" s="1886"/>
      <c r="E16" s="1887"/>
      <c r="F16" s="1887"/>
      <c r="G16" s="1888"/>
      <c r="H16" s="1886"/>
    </row>
    <row r="17" spans="2:8" ht="45">
      <c r="B17" s="1886" t="s">
        <v>3490</v>
      </c>
      <c r="C17" s="1886" t="s">
        <v>3491</v>
      </c>
      <c r="D17" s="1886" t="s">
        <v>3492</v>
      </c>
      <c r="E17" s="1887">
        <f>+'Ratio Analysis'!I39</f>
        <v>10.162283695540484</v>
      </c>
      <c r="F17" s="1887">
        <f>+'Ratio Analysis'!J39</f>
        <v>7.9046511043994281</v>
      </c>
      <c r="G17" s="1888">
        <f>+(E17-F17)/F17</f>
        <v>0.28560812632002741</v>
      </c>
      <c r="H17" s="1886" t="s">
        <v>3505</v>
      </c>
    </row>
    <row r="18" spans="2:8">
      <c r="B18" s="1886"/>
      <c r="C18" s="1886"/>
      <c r="D18" s="1886"/>
      <c r="E18" s="1887"/>
      <c r="F18" s="1887"/>
      <c r="G18" s="1888"/>
      <c r="H18" s="1886"/>
    </row>
    <row r="19" spans="2:8" ht="60">
      <c r="B19" s="1886" t="s">
        <v>3493</v>
      </c>
      <c r="C19" s="1886" t="s">
        <v>3494</v>
      </c>
      <c r="D19" s="1886" t="s">
        <v>3495</v>
      </c>
      <c r="E19" s="1887">
        <f>+'Ratio Analysis'!I43</f>
        <v>13.187172654061897</v>
      </c>
      <c r="F19" s="1887">
        <f>+'Ratio Analysis'!J43</f>
        <v>7.6504938905446949</v>
      </c>
      <c r="G19" s="1888">
        <f>+(E19-F19)/F19</f>
        <v>0.72370213514712123</v>
      </c>
      <c r="H19" s="1886" t="s">
        <v>3507</v>
      </c>
    </row>
    <row r="20" spans="2:8" ht="44.25" customHeight="1">
      <c r="B20" s="1886"/>
      <c r="C20" s="1886"/>
      <c r="D20" s="1886"/>
      <c r="E20" s="1887"/>
      <c r="F20" s="1887"/>
      <c r="G20" s="1888"/>
      <c r="H20" s="1886"/>
    </row>
    <row r="21" spans="2:8" ht="60">
      <c r="B21" s="1886" t="s">
        <v>3496</v>
      </c>
      <c r="C21" s="1886" t="s">
        <v>3497</v>
      </c>
      <c r="D21" s="1886" t="s">
        <v>2415</v>
      </c>
      <c r="E21" s="1889">
        <f>+'Ratio Analysis'!I47</f>
        <v>3.4032168903900557E-3</v>
      </c>
      <c r="F21" s="1889">
        <f>+'Ratio Analysis'!J47</f>
        <v>4.1808962697180027E-2</v>
      </c>
      <c r="G21" s="1888">
        <f>+(E21-F21)/F21</f>
        <v>-0.91860078148698965</v>
      </c>
      <c r="H21" s="1886" t="s">
        <v>3506</v>
      </c>
    </row>
    <row r="22" spans="2:8">
      <c r="B22" s="1886"/>
      <c r="C22" s="1886"/>
      <c r="D22" s="1886"/>
      <c r="E22" s="1888"/>
      <c r="F22" s="1888"/>
      <c r="G22" s="1888"/>
      <c r="H22" s="1886"/>
    </row>
    <row r="23" spans="2:8" ht="75">
      <c r="B23" s="1886" t="s">
        <v>2422</v>
      </c>
      <c r="C23" s="1886" t="s">
        <v>3498</v>
      </c>
      <c r="D23" s="1886" t="s">
        <v>3508</v>
      </c>
      <c r="E23" s="1889">
        <f>+'Ratio Analysis'!I51</f>
        <v>3.2152073360016874E-2</v>
      </c>
      <c r="F23" s="1889">
        <f>+'Ratio Analysis'!J51</f>
        <v>0.17086983656816213</v>
      </c>
      <c r="G23" s="1888">
        <f>+(E23-F23)/F23</f>
        <v>-0.81183294836715658</v>
      </c>
      <c r="H23" s="1886" t="s">
        <v>3509</v>
      </c>
    </row>
    <row r="24" spans="2:8">
      <c r="B24" s="1886"/>
      <c r="C24" s="1886"/>
      <c r="D24" s="1886"/>
      <c r="E24" s="1886"/>
      <c r="F24" s="1886"/>
      <c r="G24" s="1886"/>
      <c r="H24" s="1886"/>
    </row>
    <row r="25" spans="2:8" ht="90">
      <c r="B25" s="1886" t="s">
        <v>3499</v>
      </c>
      <c r="C25" s="1886" t="s">
        <v>3500</v>
      </c>
      <c r="D25" s="1886" t="s">
        <v>3501</v>
      </c>
      <c r="E25" s="1886"/>
      <c r="F25" s="1886"/>
      <c r="G25" s="1886"/>
      <c r="H25" s="1886"/>
    </row>
  </sheetData>
  <pageMargins left="0.7" right="0.7" top="0.75" bottom="0.75" header="0.3" footer="0.3"/>
  <pageSetup orientation="portrait" horizontalDpi="0"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C2:H74"/>
  <sheetViews>
    <sheetView topLeftCell="A43" zoomScale="73" zoomScaleNormal="73" workbookViewId="0">
      <selection activeCell="D12" sqref="D12"/>
    </sheetView>
  </sheetViews>
  <sheetFormatPr defaultRowHeight="15"/>
  <cols>
    <col min="1" max="2" width="9.140625" style="230"/>
    <col min="3" max="3" width="2.7109375" style="230" bestFit="1" customWidth="1"/>
    <col min="4" max="4" width="96.7109375" style="230" bestFit="1" customWidth="1"/>
    <col min="5" max="5" width="4.140625" style="230" bestFit="1" customWidth="1"/>
    <col min="6" max="6" width="23.85546875" style="230" bestFit="1" customWidth="1"/>
    <col min="7" max="7" width="20" style="615" bestFit="1" customWidth="1"/>
    <col min="8" max="8" width="22.140625" style="615" bestFit="1" customWidth="1"/>
    <col min="9" max="16384" width="9.140625" style="230"/>
  </cols>
  <sheetData>
    <row r="2" spans="3:8">
      <c r="C2" s="2312" t="s">
        <v>1065</v>
      </c>
      <c r="D2" s="2313"/>
      <c r="E2" s="2313"/>
      <c r="F2" s="2313"/>
      <c r="G2" s="2313"/>
      <c r="H2" s="2314"/>
    </row>
    <row r="3" spans="3:8">
      <c r="C3" s="2306"/>
      <c r="D3" s="2307"/>
      <c r="E3" s="2307"/>
      <c r="F3" s="2307"/>
      <c r="G3" s="2307"/>
      <c r="H3" s="2308"/>
    </row>
    <row r="4" spans="3:8">
      <c r="C4" s="2306" t="s">
        <v>2456</v>
      </c>
      <c r="D4" s="2307"/>
      <c r="E4" s="2307"/>
      <c r="F4" s="2307"/>
      <c r="G4" s="2307"/>
      <c r="H4" s="2308"/>
    </row>
    <row r="5" spans="3:8">
      <c r="C5" s="2306" t="s">
        <v>2036</v>
      </c>
      <c r="D5" s="2307"/>
      <c r="E5" s="2307"/>
      <c r="F5" s="2307"/>
      <c r="G5" s="2307"/>
      <c r="H5" s="2308"/>
    </row>
    <row r="6" spans="3:8">
      <c r="C6" s="2315"/>
      <c r="D6" s="2316"/>
      <c r="E6" s="2316"/>
      <c r="F6" s="2316"/>
      <c r="G6" s="2316"/>
      <c r="H6" s="2317"/>
    </row>
    <row r="7" spans="3:8">
      <c r="C7" s="2306" t="s">
        <v>2037</v>
      </c>
      <c r="D7" s="2307"/>
      <c r="E7" s="2307"/>
      <c r="F7" s="2307"/>
      <c r="G7" s="2307"/>
      <c r="H7" s="2308"/>
    </row>
    <row r="8" spans="3:8">
      <c r="C8" s="2306"/>
      <c r="D8" s="2307"/>
      <c r="E8" s="2307"/>
      <c r="F8" s="2307"/>
      <c r="G8" s="2307"/>
      <c r="H8" s="2308"/>
    </row>
    <row r="9" spans="3:8">
      <c r="C9" s="2309" t="s">
        <v>2038</v>
      </c>
      <c r="D9" s="2310"/>
      <c r="E9" s="2310"/>
      <c r="F9" s="2310"/>
      <c r="G9" s="2310"/>
      <c r="H9" s="2311"/>
    </row>
    <row r="10" spans="3:8" ht="15.75">
      <c r="C10" s="1828"/>
      <c r="D10" s="1829"/>
      <c r="E10" s="1830"/>
      <c r="F10" s="1831" t="s">
        <v>3470</v>
      </c>
      <c r="G10" s="1832" t="s">
        <v>410</v>
      </c>
      <c r="H10" s="1831" t="s">
        <v>2039</v>
      </c>
    </row>
    <row r="11" spans="3:8" ht="15.75">
      <c r="C11" s="591">
        <v>1</v>
      </c>
      <c r="D11" s="592" t="s">
        <v>2040</v>
      </c>
      <c r="E11" s="593"/>
      <c r="F11" s="1816"/>
      <c r="G11" s="594"/>
      <c r="H11" s="595"/>
    </row>
    <row r="12" spans="3:8" ht="15.75">
      <c r="C12" s="596"/>
      <c r="D12" s="593"/>
      <c r="E12" s="593"/>
      <c r="F12" s="1817">
        <f>+BSPL!H78</f>
        <v>1124021510.75</v>
      </c>
      <c r="G12" s="594">
        <f>+[67]BSPL!F78</f>
        <v>819759041.19999993</v>
      </c>
      <c r="H12" s="1817">
        <f>+[67]BSPL!G78</f>
        <v>698726028.5999999</v>
      </c>
    </row>
    <row r="13" spans="3:8" ht="15.75">
      <c r="C13" s="597"/>
      <c r="D13" s="598" t="s">
        <v>2041</v>
      </c>
      <c r="E13" s="593" t="s">
        <v>2042</v>
      </c>
      <c r="F13" s="603">
        <f>+F12</f>
        <v>1124021510.75</v>
      </c>
      <c r="G13" s="1815">
        <f>+G12</f>
        <v>819759041.19999993</v>
      </c>
      <c r="H13" s="603">
        <f>+H12</f>
        <v>698726028.5999999</v>
      </c>
    </row>
    <row r="14" spans="3:8" ht="15.75">
      <c r="C14" s="597"/>
      <c r="D14" s="600"/>
      <c r="E14" s="593"/>
      <c r="F14" s="1817"/>
      <c r="G14" s="594"/>
      <c r="H14" s="603"/>
    </row>
    <row r="15" spans="3:8" ht="15.75">
      <c r="C15" s="597"/>
      <c r="D15" s="601" t="s">
        <v>2043</v>
      </c>
      <c r="E15" s="593"/>
      <c r="F15" s="1817">
        <f>+BSPL!H82</f>
        <v>866942160.29999995</v>
      </c>
      <c r="G15" s="594">
        <f>+[67]BSPL!F82</f>
        <v>552919696.88999999</v>
      </c>
      <c r="H15" s="1817">
        <f>+[67]BSPL!G82</f>
        <v>432876064.31999999</v>
      </c>
    </row>
    <row r="16" spans="3:8" ht="15.75">
      <c r="C16" s="597"/>
      <c r="D16" s="601" t="s">
        <v>2044</v>
      </c>
      <c r="E16" s="593"/>
      <c r="F16" s="1817">
        <v>0</v>
      </c>
      <c r="G16" s="594">
        <v>0</v>
      </c>
      <c r="H16" s="603">
        <v>0</v>
      </c>
    </row>
    <row r="17" spans="3:8" ht="15.75">
      <c r="C17" s="597"/>
      <c r="D17" s="601" t="s">
        <v>2045</v>
      </c>
      <c r="E17" s="593"/>
      <c r="F17" s="1818">
        <f>+BSPL!H519</f>
        <v>192663865.22000003</v>
      </c>
      <c r="G17" s="594">
        <f>+[67]BSPL!F474</f>
        <v>168170836.64999998</v>
      </c>
      <c r="H17" s="1817">
        <f>+[67]BSPL!G474</f>
        <v>178864543.94999999</v>
      </c>
    </row>
    <row r="18" spans="3:8" ht="15.75">
      <c r="C18" s="597"/>
      <c r="D18" s="601" t="s">
        <v>2046</v>
      </c>
      <c r="E18" s="593"/>
      <c r="F18" s="1817">
        <v>0</v>
      </c>
      <c r="G18" s="594">
        <v>0</v>
      </c>
      <c r="H18" s="603">
        <v>0</v>
      </c>
    </row>
    <row r="19" spans="3:8" ht="15.75">
      <c r="C19" s="597"/>
      <c r="D19" s="601" t="s">
        <v>2047</v>
      </c>
      <c r="E19" s="593"/>
      <c r="F19" s="1817">
        <f>+BSPL!H84</f>
        <v>-988480.28211065382</v>
      </c>
      <c r="G19" s="594">
        <f>+[67]BSPL!F84</f>
        <v>-8248259.7178893462</v>
      </c>
      <c r="H19" s="1817">
        <f>+[67]BSPL!G84</f>
        <v>5686699.3852898097</v>
      </c>
    </row>
    <row r="20" spans="3:8" ht="15.75">
      <c r="C20" s="597"/>
      <c r="D20" s="600"/>
      <c r="E20" s="593" t="s">
        <v>2048</v>
      </c>
      <c r="F20" s="603">
        <f>+SUM(F15:F19)</f>
        <v>1058617545.2378893</v>
      </c>
      <c r="G20" s="1815">
        <f>+SUM(G15:G19)</f>
        <v>712842273.82211065</v>
      </c>
      <c r="H20" s="603">
        <f>+SUM(H15:H19)</f>
        <v>617427307.65528977</v>
      </c>
    </row>
    <row r="21" spans="3:8" ht="15.75">
      <c r="C21" s="597"/>
      <c r="D21" s="593"/>
      <c r="E21" s="593"/>
      <c r="F21" s="1817"/>
      <c r="G21" s="594"/>
      <c r="H21" s="603"/>
    </row>
    <row r="22" spans="3:8" ht="15.75">
      <c r="C22" s="597"/>
      <c r="D22" s="601" t="s">
        <v>2049</v>
      </c>
      <c r="E22" s="593"/>
      <c r="F22" s="602">
        <f>+F13-F20</f>
        <v>65403965.51211071</v>
      </c>
      <c r="G22" s="1819">
        <f>+G13-G20</f>
        <v>106916767.37788928</v>
      </c>
      <c r="H22" s="602">
        <f>+H13-H20</f>
        <v>81298720.944710135</v>
      </c>
    </row>
    <row r="23" spans="3:8" ht="15.75">
      <c r="C23" s="597"/>
      <c r="D23" s="601"/>
      <c r="E23" s="593"/>
      <c r="F23" s="1817"/>
      <c r="G23" s="594"/>
      <c r="H23" s="603"/>
    </row>
    <row r="24" spans="3:8" ht="16.5" thickBot="1">
      <c r="C24" s="597"/>
      <c r="D24" s="601" t="s">
        <v>2050</v>
      </c>
      <c r="E24" s="593"/>
      <c r="F24" s="604">
        <f>+F22/F13</f>
        <v>5.8187467843449109E-2</v>
      </c>
      <c r="G24" s="1820">
        <f>+G22/G13</f>
        <v>0.1304246272433662</v>
      </c>
      <c r="H24" s="604">
        <f>+H22/H13</f>
        <v>0.11635278723994875</v>
      </c>
    </row>
    <row r="25" spans="3:8" ht="16.5" thickTop="1">
      <c r="C25" s="597"/>
      <c r="D25" s="601"/>
      <c r="E25" s="593"/>
      <c r="F25" s="1817"/>
      <c r="G25" s="594"/>
      <c r="H25" s="603"/>
    </row>
    <row r="26" spans="3:8" ht="15.75">
      <c r="C26" s="597"/>
      <c r="D26" s="601"/>
      <c r="E26" s="593"/>
      <c r="F26" s="1817"/>
      <c r="G26" s="594"/>
      <c r="H26" s="603"/>
    </row>
    <row r="27" spans="3:8" ht="15.75">
      <c r="C27" s="591">
        <v>2</v>
      </c>
      <c r="D27" s="592" t="s">
        <v>2051</v>
      </c>
      <c r="E27" s="593"/>
      <c r="F27" s="1817"/>
      <c r="G27" s="594"/>
      <c r="H27" s="603"/>
    </row>
    <row r="28" spans="3:8" ht="15.75">
      <c r="C28" s="597"/>
      <c r="D28" s="601"/>
      <c r="E28" s="593"/>
      <c r="F28" s="1817"/>
      <c r="G28" s="594"/>
      <c r="H28" s="603"/>
    </row>
    <row r="29" spans="3:8" ht="15.75">
      <c r="C29" s="597"/>
      <c r="D29" s="601" t="s">
        <v>2052</v>
      </c>
      <c r="E29" s="593"/>
      <c r="F29" s="1817">
        <f>+BSPL!H110</f>
        <v>4929363.9905461473</v>
      </c>
      <c r="G29" s="594">
        <f>+[67]BSPL!F110</f>
        <v>35402997.57110668</v>
      </c>
      <c r="H29" s="603">
        <v>11205827.888766242</v>
      </c>
    </row>
    <row r="30" spans="3:8" ht="15.75">
      <c r="C30" s="597"/>
      <c r="D30" s="601"/>
      <c r="E30" s="593"/>
      <c r="F30" s="1817"/>
      <c r="G30" s="594"/>
      <c r="H30" s="603"/>
    </row>
    <row r="31" spans="3:8" ht="15.75">
      <c r="C31" s="597"/>
      <c r="D31" s="601" t="s">
        <v>2053</v>
      </c>
      <c r="E31" s="593"/>
      <c r="F31" s="603">
        <f>+F13</f>
        <v>1124021510.75</v>
      </c>
      <c r="G31" s="1815">
        <f>+G13</f>
        <v>819759041.19999993</v>
      </c>
      <c r="H31" s="603">
        <f>+H13</f>
        <v>698726028.5999999</v>
      </c>
    </row>
    <row r="32" spans="3:8" ht="15.75">
      <c r="C32" s="597"/>
      <c r="D32" s="601"/>
      <c r="E32" s="593"/>
      <c r="F32" s="1817"/>
      <c r="G32" s="594"/>
      <c r="H32" s="603"/>
    </row>
    <row r="33" spans="3:8" ht="16.5" thickBot="1">
      <c r="C33" s="597"/>
      <c r="D33" s="601" t="s">
        <v>2054</v>
      </c>
      <c r="E33" s="593"/>
      <c r="F33" s="604">
        <f>+F29/F31</f>
        <v>4.3854712239955653E-3</v>
      </c>
      <c r="G33" s="1820">
        <f>+G29/G31</f>
        <v>4.3187077899479086E-2</v>
      </c>
      <c r="H33" s="604">
        <f>+H29/H31</f>
        <v>1.6037513174110261E-2</v>
      </c>
    </row>
    <row r="34" spans="3:8" ht="16.5" thickTop="1">
      <c r="C34" s="597"/>
      <c r="D34" s="601"/>
      <c r="E34" s="593"/>
      <c r="F34" s="1817"/>
      <c r="G34" s="594"/>
      <c r="H34" s="603"/>
    </row>
    <row r="35" spans="3:8" ht="15.75">
      <c r="C35" s="597"/>
      <c r="D35" s="601"/>
      <c r="E35" s="593"/>
      <c r="F35" s="1817"/>
      <c r="G35" s="594"/>
      <c r="H35" s="603"/>
    </row>
    <row r="36" spans="3:8" ht="15.75">
      <c r="C36" s="591">
        <v>3</v>
      </c>
      <c r="D36" s="592" t="s">
        <v>2055</v>
      </c>
      <c r="E36" s="593"/>
      <c r="F36" s="1817"/>
      <c r="G36" s="594"/>
      <c r="H36" s="603"/>
    </row>
    <row r="37" spans="3:8" ht="15.75">
      <c r="C37" s="597"/>
      <c r="D37" s="601"/>
      <c r="E37" s="593"/>
      <c r="F37" s="1817"/>
      <c r="G37" s="594"/>
      <c r="H37" s="603"/>
    </row>
    <row r="38" spans="3:8" ht="15.75">
      <c r="C38" s="597"/>
      <c r="D38" s="601" t="s">
        <v>2056</v>
      </c>
      <c r="E38" s="593"/>
      <c r="F38" s="603">
        <f>+F13</f>
        <v>1124021510.75</v>
      </c>
      <c r="G38" s="599">
        <f>+G13</f>
        <v>819759041.19999993</v>
      </c>
      <c r="H38" s="603">
        <f>+H13</f>
        <v>698726028.5999999</v>
      </c>
    </row>
    <row r="39" spans="3:8" ht="15.75">
      <c r="C39" s="597"/>
      <c r="D39" s="601"/>
      <c r="E39" s="593"/>
      <c r="F39" s="1817"/>
      <c r="G39" s="1821"/>
      <c r="H39" s="603"/>
    </row>
    <row r="40" spans="3:8" ht="15.75">
      <c r="C40" s="597"/>
      <c r="D40" s="601" t="s">
        <v>2057</v>
      </c>
      <c r="E40" s="593"/>
      <c r="F40" s="1817">
        <f>+BSPL!H241</f>
        <v>17088292</v>
      </c>
      <c r="G40" s="1821">
        <f>+[67]BSPL!F241</f>
        <v>16099811.717889346</v>
      </c>
      <c r="H40" s="1817">
        <f>+[67]BSPL!G241</f>
        <v>7851552.4699999997</v>
      </c>
    </row>
    <row r="41" spans="3:8" ht="15.75">
      <c r="C41" s="597"/>
      <c r="D41" s="601"/>
      <c r="E41" s="593"/>
      <c r="F41" s="1817"/>
      <c r="G41" s="1821"/>
      <c r="H41" s="603"/>
    </row>
    <row r="42" spans="3:8" ht="16.5" thickBot="1">
      <c r="C42" s="597"/>
      <c r="D42" s="601" t="s">
        <v>2058</v>
      </c>
      <c r="E42" s="593"/>
      <c r="F42" s="604">
        <f>+F40/F38</f>
        <v>1.5202815814973051E-2</v>
      </c>
      <c r="G42" s="1822">
        <f>+G40/G38</f>
        <v>1.963968789453267E-2</v>
      </c>
      <c r="H42" s="604">
        <f>+H40/H38</f>
        <v>1.1236954326335513E-2</v>
      </c>
    </row>
    <row r="43" spans="3:8" ht="16.5" thickTop="1">
      <c r="C43" s="597"/>
      <c r="D43" s="601"/>
      <c r="E43" s="593"/>
      <c r="F43" s="1817"/>
      <c r="G43" s="594"/>
      <c r="H43" s="603"/>
    </row>
    <row r="44" spans="3:8" ht="15.75">
      <c r="C44" s="597"/>
      <c r="D44" s="601"/>
      <c r="E44" s="593"/>
      <c r="F44" s="1817"/>
      <c r="G44" s="594"/>
      <c r="H44" s="603"/>
    </row>
    <row r="45" spans="3:8" ht="15.75">
      <c r="C45" s="591">
        <v>4</v>
      </c>
      <c r="D45" s="592" t="s">
        <v>2059</v>
      </c>
      <c r="E45" s="593"/>
      <c r="F45" s="1817"/>
      <c r="G45" s="594"/>
      <c r="H45" s="603"/>
    </row>
    <row r="46" spans="3:8" ht="15.75">
      <c r="C46" s="597"/>
      <c r="D46" s="601"/>
      <c r="E46" s="593"/>
      <c r="F46" s="1817"/>
      <c r="G46" s="594"/>
      <c r="H46" s="603"/>
    </row>
    <row r="47" spans="3:8" ht="15.75">
      <c r="C47" s="597" t="s">
        <v>1126</v>
      </c>
      <c r="D47" s="601" t="s">
        <v>2060</v>
      </c>
      <c r="E47" s="593"/>
      <c r="F47" s="1817"/>
      <c r="G47" s="594"/>
      <c r="H47" s="603"/>
    </row>
    <row r="48" spans="3:8" ht="15.75">
      <c r="C48" s="597"/>
      <c r="D48" s="601"/>
      <c r="E48" s="593"/>
      <c r="F48" s="1817"/>
      <c r="G48" s="1821"/>
      <c r="H48" s="603"/>
    </row>
    <row r="49" spans="3:8" ht="15.75">
      <c r="C49" s="597"/>
      <c r="D49" s="601" t="s">
        <v>573</v>
      </c>
      <c r="E49" s="593"/>
      <c r="F49" s="603">
        <f>+F15</f>
        <v>866942160.29999995</v>
      </c>
      <c r="G49" s="599">
        <f>+G15</f>
        <v>552919696.88999999</v>
      </c>
      <c r="H49" s="603">
        <f>+H15</f>
        <v>432876064.31999999</v>
      </c>
    </row>
    <row r="50" spans="3:8" ht="15.75">
      <c r="C50" s="597"/>
      <c r="D50" s="605" t="s">
        <v>2061</v>
      </c>
      <c r="E50" s="593"/>
      <c r="F50" s="603">
        <f>+F19</f>
        <v>-988480.28211065382</v>
      </c>
      <c r="G50" s="599">
        <f>+G19</f>
        <v>-8248259.7178893462</v>
      </c>
      <c r="H50" s="603">
        <f>+H19</f>
        <v>5686699.3852898097</v>
      </c>
    </row>
    <row r="51" spans="3:8" ht="15.75">
      <c r="C51" s="597"/>
      <c r="D51" s="601" t="s">
        <v>1301</v>
      </c>
      <c r="E51" s="593"/>
      <c r="F51" s="1817">
        <f>+BSPL!H517</f>
        <v>17105048.670000002</v>
      </c>
      <c r="G51" s="1821">
        <f>+[67]BSPL!F472</f>
        <v>8205875.8399999999</v>
      </c>
      <c r="H51" s="1817">
        <f>+[67]BSPL!G472</f>
        <v>6068106.8599999994</v>
      </c>
    </row>
    <row r="52" spans="3:8" ht="15.75">
      <c r="C52" s="597"/>
      <c r="D52" s="601"/>
      <c r="E52" s="593"/>
      <c r="F52" s="1817"/>
      <c r="G52" s="1823"/>
      <c r="H52" s="603"/>
    </row>
    <row r="53" spans="3:8" ht="15.75">
      <c r="C53" s="597"/>
      <c r="D53" s="600"/>
      <c r="E53" s="606" t="s">
        <v>2042</v>
      </c>
      <c r="F53" s="607">
        <f>+SUM(F49:F51)</f>
        <v>883058728.68788922</v>
      </c>
      <c r="G53" s="1824">
        <f>+SUM(G49:G51)</f>
        <v>552877313.01211071</v>
      </c>
      <c r="H53" s="607">
        <f>+SUM(H49:H51)</f>
        <v>444630870.5652898</v>
      </c>
    </row>
    <row r="54" spans="3:8" ht="15.75">
      <c r="C54" s="597"/>
      <c r="D54" s="601"/>
      <c r="E54" s="593"/>
      <c r="F54" s="1817"/>
      <c r="G54" s="594"/>
      <c r="H54" s="603"/>
    </row>
    <row r="55" spans="3:8" ht="15.75">
      <c r="C55" s="597" t="s">
        <v>1126</v>
      </c>
      <c r="D55" s="601" t="s">
        <v>2062</v>
      </c>
      <c r="E55" s="593"/>
      <c r="F55" s="1817"/>
      <c r="G55" s="594"/>
      <c r="H55" s="603"/>
    </row>
    <row r="56" spans="3:8" ht="15.75">
      <c r="C56" s="597"/>
      <c r="D56" s="601"/>
      <c r="E56" s="593"/>
      <c r="F56" s="1817"/>
      <c r="G56" s="594"/>
      <c r="H56" s="603"/>
    </row>
    <row r="57" spans="3:8" ht="15.75">
      <c r="C57" s="597"/>
      <c r="D57" s="601" t="s">
        <v>573</v>
      </c>
      <c r="E57" s="593"/>
      <c r="F57" s="603">
        <f>+F49</f>
        <v>866942160.29999995</v>
      </c>
      <c r="G57" s="1815">
        <f>+G49</f>
        <v>552919696.88999999</v>
      </c>
      <c r="H57" s="603">
        <f>+H49</f>
        <v>432876064.31999999</v>
      </c>
    </row>
    <row r="58" spans="3:8" ht="15.75">
      <c r="C58" s="597"/>
      <c r="D58" s="601" t="s">
        <v>2063</v>
      </c>
      <c r="E58" s="593"/>
      <c r="F58" s="608">
        <v>0</v>
      </c>
      <c r="G58" s="1825">
        <v>0</v>
      </c>
      <c r="H58" s="608">
        <v>0</v>
      </c>
    </row>
    <row r="59" spans="3:8" ht="15.75">
      <c r="C59" s="597"/>
      <c r="D59" s="601" t="s">
        <v>2064</v>
      </c>
      <c r="E59" s="593"/>
      <c r="F59" s="603">
        <v>0</v>
      </c>
      <c r="G59" s="1815">
        <v>0</v>
      </c>
      <c r="H59" s="603">
        <v>0</v>
      </c>
    </row>
    <row r="60" spans="3:8" ht="15.75">
      <c r="C60" s="597"/>
      <c r="D60" s="601" t="s">
        <v>1301</v>
      </c>
      <c r="E60" s="593"/>
      <c r="F60" s="603">
        <f>+F51</f>
        <v>17105048.670000002</v>
      </c>
      <c r="G60" s="1815">
        <f>+G51</f>
        <v>8205875.8399999999</v>
      </c>
      <c r="H60" s="603">
        <f>+H51</f>
        <v>6068106.8599999994</v>
      </c>
    </row>
    <row r="61" spans="3:8" ht="15.75">
      <c r="C61" s="597"/>
      <c r="D61" s="601" t="s">
        <v>2065</v>
      </c>
      <c r="E61" s="593"/>
      <c r="F61" s="603">
        <f>+BSPL!H510</f>
        <v>9075854.2200000007</v>
      </c>
      <c r="G61" s="1815">
        <f>+[67]BSPL!F465</f>
        <v>6875832.8200000003</v>
      </c>
      <c r="H61" s="603">
        <f>+[67]BSPL!G465</f>
        <v>7784928.8099999996</v>
      </c>
    </row>
    <row r="62" spans="3:8" ht="15.75">
      <c r="C62" s="597"/>
      <c r="D62" s="601" t="s">
        <v>2066</v>
      </c>
      <c r="E62" s="593"/>
      <c r="F62" s="603">
        <f>+BSPL!H511</f>
        <v>140580439.34</v>
      </c>
      <c r="G62" s="1815">
        <f>+[67]BSPL!F466</f>
        <v>123939401.44</v>
      </c>
      <c r="H62" s="603">
        <f>+[67]BSPL!G466</f>
        <v>131093465.02</v>
      </c>
    </row>
    <row r="63" spans="3:8" ht="15.75">
      <c r="C63" s="597"/>
      <c r="D63" s="601" t="s">
        <v>2067</v>
      </c>
      <c r="E63" s="593"/>
      <c r="F63" s="603">
        <f>+BSPL!H494</f>
        <v>21904975</v>
      </c>
      <c r="G63" s="1815">
        <f>+[67]BSPL!F450</f>
        <v>19178887</v>
      </c>
      <c r="H63" s="603">
        <f>+[67]BSPL!G450</f>
        <v>19024629</v>
      </c>
    </row>
    <row r="64" spans="3:8" ht="15.75">
      <c r="C64" s="597"/>
      <c r="D64" s="601" t="s">
        <v>280</v>
      </c>
      <c r="E64" s="593"/>
      <c r="F64" s="603">
        <f>+BSPL!H512</f>
        <v>4044390</v>
      </c>
      <c r="G64" s="1815">
        <f>+[67]BSPL!F467</f>
        <v>3861148</v>
      </c>
      <c r="H64" s="603">
        <f>+[67]BSPL!G467</f>
        <v>4167429</v>
      </c>
    </row>
    <row r="65" spans="3:8" ht="15.75">
      <c r="C65" s="597"/>
      <c r="D65" s="601" t="s">
        <v>2068</v>
      </c>
      <c r="E65" s="593"/>
      <c r="F65" s="603">
        <f>+BSPL!H515</f>
        <v>49000</v>
      </c>
      <c r="G65" s="1815">
        <f>+[67]BSPL!F470</f>
        <v>688233.98</v>
      </c>
      <c r="H65" s="603">
        <f>+[67]BSPL!G470</f>
        <v>954273.6</v>
      </c>
    </row>
    <row r="66" spans="3:8" ht="15.75">
      <c r="C66" s="597"/>
      <c r="D66" s="601" t="s">
        <v>2069</v>
      </c>
      <c r="E66" s="593"/>
      <c r="F66" s="603">
        <f>+BSPL!H514</f>
        <v>6320421.9900000002</v>
      </c>
      <c r="G66" s="1815">
        <f>+[67]BSPL!F469</f>
        <v>10661532.07</v>
      </c>
      <c r="H66" s="603">
        <f>+[67]BSPL!G469</f>
        <v>13943254.359999999</v>
      </c>
    </row>
    <row r="67" spans="3:8" ht="15.75">
      <c r="C67" s="597"/>
      <c r="D67" s="601" t="s">
        <v>1295</v>
      </c>
      <c r="E67" s="593"/>
      <c r="F67" s="603">
        <f>+BSPL!H509</f>
        <v>3282001</v>
      </c>
      <c r="G67" s="1815">
        <f>+[67]BSPL!F464</f>
        <v>2854617</v>
      </c>
      <c r="H67" s="603">
        <f>+[67]BSPL!G464</f>
        <v>2841598</v>
      </c>
    </row>
    <row r="68" spans="3:8" ht="15.75">
      <c r="C68" s="597"/>
      <c r="D68" s="601" t="s">
        <v>1302</v>
      </c>
      <c r="E68" s="593"/>
      <c r="F68" s="603">
        <f>+BSPL!H518</f>
        <v>6303933</v>
      </c>
      <c r="G68" s="1815">
        <f>+[67]BSPL!F473</f>
        <v>6129998</v>
      </c>
      <c r="H68" s="603">
        <f>+[67]BSPL!G473</f>
        <v>6659960</v>
      </c>
    </row>
    <row r="69" spans="3:8" ht="15.75">
      <c r="C69" s="597"/>
      <c r="D69" s="601" t="s">
        <v>1294</v>
      </c>
      <c r="E69" s="593"/>
      <c r="F69" s="603">
        <f>+BSPL!H508</f>
        <v>5119183</v>
      </c>
      <c r="G69" s="1815">
        <f>+[67]BSPL!F463</f>
        <v>4250954.5</v>
      </c>
      <c r="H69" s="603">
        <f>+[67]BSPL!G463</f>
        <v>4661821.3</v>
      </c>
    </row>
    <row r="70" spans="3:8" ht="15.75">
      <c r="C70" s="597"/>
      <c r="D70" s="601" t="s">
        <v>2070</v>
      </c>
      <c r="E70" s="609"/>
      <c r="F70" s="610">
        <f>+BSPL!H516</f>
        <v>783594</v>
      </c>
      <c r="G70" s="1826">
        <f>+[67]BSPL!F471</f>
        <v>703243</v>
      </c>
      <c r="H70" s="610">
        <f>+[67]BSPL!G471</f>
        <v>689707</v>
      </c>
    </row>
    <row r="71" spans="3:8" ht="15.75">
      <c r="C71" s="597"/>
      <c r="D71" s="600"/>
      <c r="E71" s="606" t="s">
        <v>2048</v>
      </c>
      <c r="F71" s="607">
        <f>+SUM(F57:F70)</f>
        <v>1081511000.52</v>
      </c>
      <c r="G71" s="1824">
        <f>+SUM(G57:G70)</f>
        <v>740269420.54000008</v>
      </c>
      <c r="H71" s="607">
        <f>+SUM(H57:H70)</f>
        <v>630765237.26999998</v>
      </c>
    </row>
    <row r="72" spans="3:8" ht="15.75">
      <c r="C72" s="597"/>
      <c r="D72" s="601"/>
      <c r="E72" s="593"/>
      <c r="F72" s="1817"/>
      <c r="G72" s="594"/>
      <c r="H72" s="603"/>
    </row>
    <row r="73" spans="3:8" ht="15.75">
      <c r="C73" s="597"/>
      <c r="D73" s="601"/>
      <c r="E73" s="593"/>
      <c r="F73" s="1817"/>
      <c r="G73" s="594"/>
      <c r="H73" s="603"/>
    </row>
    <row r="74" spans="3:8" ht="15.75">
      <c r="C74" s="611"/>
      <c r="D74" s="612" t="s">
        <v>2071</v>
      </c>
      <c r="E74" s="613"/>
      <c r="F74" s="614">
        <f>+F53/F71</f>
        <v>0.81650462016873326</v>
      </c>
      <c r="G74" s="1827">
        <f>+G53/G71</f>
        <v>0.74685958607989844</v>
      </c>
      <c r="H74" s="614">
        <f>+H53/H71</f>
        <v>0.70490706255418589</v>
      </c>
    </row>
  </sheetData>
  <mergeCells count="8">
    <mergeCell ref="C8:H8"/>
    <mergeCell ref="C9:H9"/>
    <mergeCell ref="C2:H2"/>
    <mergeCell ref="C3:H3"/>
    <mergeCell ref="C4:H4"/>
    <mergeCell ref="C5:H5"/>
    <mergeCell ref="C6:H6"/>
    <mergeCell ref="C7:H7"/>
  </mergeCells>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X123"/>
  <sheetViews>
    <sheetView view="pageBreakPreview" zoomScale="60" zoomScaleNormal="62" workbookViewId="0">
      <selection activeCell="K22" sqref="K22"/>
    </sheetView>
  </sheetViews>
  <sheetFormatPr defaultColWidth="9.140625" defaultRowHeight="15"/>
  <cols>
    <col min="1" max="1" width="4.42578125" style="836" customWidth="1"/>
    <col min="2" max="3" width="9.140625" style="836"/>
    <col min="4" max="4" width="42.5703125" style="836" bestFit="1" customWidth="1"/>
    <col min="5" max="5" width="1.42578125" style="836" customWidth="1"/>
    <col min="6" max="6" width="14.28515625" style="836" customWidth="1"/>
    <col min="7" max="7" width="35.42578125" style="836" bestFit="1" customWidth="1"/>
    <col min="8" max="8" width="41.85546875" style="836" bestFit="1" customWidth="1"/>
    <col min="9" max="9" width="16.140625" style="836" hidden="1" customWidth="1"/>
    <col min="10" max="10" width="19.85546875" style="836" hidden="1" customWidth="1"/>
    <col min="11" max="11" width="18.140625" style="836" bestFit="1" customWidth="1"/>
    <col min="12" max="12" width="19.28515625" style="836" bestFit="1" customWidth="1"/>
    <col min="13" max="13" width="19.28515625" style="836" customWidth="1"/>
    <col min="14" max="14" width="46.85546875" style="836" bestFit="1" customWidth="1"/>
    <col min="15" max="15" width="14.85546875" style="836" bestFit="1" customWidth="1"/>
    <col min="16" max="16" width="9.140625" style="836"/>
    <col min="17" max="17" width="28.42578125" style="836" bestFit="1" customWidth="1"/>
    <col min="18" max="18" width="16.42578125" style="836" bestFit="1" customWidth="1"/>
    <col min="19" max="19" width="27.5703125" style="836" bestFit="1" customWidth="1"/>
    <col min="20" max="20" width="19" style="836" bestFit="1" customWidth="1"/>
    <col min="21" max="21" width="16.42578125" style="836" bestFit="1" customWidth="1"/>
    <col min="22" max="22" width="17.28515625" style="836" bestFit="1" customWidth="1"/>
    <col min="23" max="23" width="9.140625" style="836"/>
    <col min="24" max="24" width="13.7109375" style="836" bestFit="1" customWidth="1"/>
    <col min="25" max="16384" width="9.140625" style="836"/>
  </cols>
  <sheetData>
    <row r="1" spans="1:19" ht="15.75">
      <c r="A1" s="830" t="s">
        <v>2091</v>
      </c>
      <c r="B1" s="831"/>
      <c r="C1" s="831"/>
      <c r="D1" s="831"/>
      <c r="E1" s="831"/>
      <c r="F1" s="832" t="s">
        <v>2092</v>
      </c>
      <c r="G1" s="833" t="s">
        <v>1870</v>
      </c>
      <c r="H1" s="833"/>
      <c r="I1" s="833"/>
      <c r="J1" s="833"/>
      <c r="K1" s="830"/>
      <c r="L1" s="834"/>
      <c r="M1" s="835"/>
    </row>
    <row r="2" spans="1:19" ht="15.75">
      <c r="A2" s="837"/>
      <c r="B2" s="838"/>
      <c r="C2" s="838"/>
      <c r="D2" s="838"/>
      <c r="E2" s="838"/>
      <c r="F2" s="839"/>
      <c r="G2" s="840"/>
      <c r="H2" s="840"/>
      <c r="I2" s="840"/>
      <c r="J2" s="840"/>
      <c r="K2" s="837"/>
      <c r="L2" s="841"/>
      <c r="M2" s="835"/>
    </row>
    <row r="3" spans="1:19" ht="15.75">
      <c r="A3" s="837" t="s">
        <v>2093</v>
      </c>
      <c r="B3" s="838"/>
      <c r="C3" s="838"/>
      <c r="D3" s="838"/>
      <c r="E3" s="838"/>
      <c r="F3" s="842" t="s">
        <v>2092</v>
      </c>
      <c r="G3" s="840" t="s">
        <v>2094</v>
      </c>
      <c r="H3" s="840"/>
      <c r="I3" s="840"/>
      <c r="J3" s="840"/>
      <c r="K3" s="837"/>
      <c r="L3" s="841"/>
      <c r="M3" s="835"/>
    </row>
    <row r="4" spans="1:19" ht="15.75">
      <c r="A4" s="837"/>
      <c r="B4" s="838"/>
      <c r="C4" s="838"/>
      <c r="D4" s="838"/>
      <c r="E4" s="838"/>
      <c r="F4" s="839"/>
      <c r="G4" s="840"/>
      <c r="H4" s="840"/>
      <c r="I4" s="840"/>
      <c r="J4" s="840"/>
      <c r="K4" s="837"/>
      <c r="L4" s="841"/>
      <c r="M4" s="835"/>
    </row>
    <row r="5" spans="1:19" ht="15.75">
      <c r="A5" s="837" t="s">
        <v>2095</v>
      </c>
      <c r="B5" s="838"/>
      <c r="C5" s="838"/>
      <c r="D5" s="838"/>
      <c r="E5" s="838"/>
      <c r="F5" s="842" t="s">
        <v>2092</v>
      </c>
      <c r="G5" s="840" t="s">
        <v>1626</v>
      </c>
      <c r="H5" s="840"/>
      <c r="I5" s="840"/>
      <c r="J5" s="840"/>
      <c r="K5" s="837"/>
      <c r="L5" s="841"/>
      <c r="M5" s="835"/>
    </row>
    <row r="6" spans="1:19" ht="15.75">
      <c r="A6" s="837"/>
      <c r="B6" s="838"/>
      <c r="C6" s="838"/>
      <c r="D6" s="838"/>
      <c r="E6" s="838"/>
      <c r="F6" s="839"/>
      <c r="G6" s="840"/>
      <c r="H6" s="840"/>
      <c r="I6" s="840"/>
      <c r="J6" s="840"/>
      <c r="K6" s="837"/>
      <c r="L6" s="841"/>
      <c r="M6" s="835"/>
    </row>
    <row r="7" spans="1:19" ht="15.75">
      <c r="A7" s="837" t="s">
        <v>2096</v>
      </c>
      <c r="B7" s="838"/>
      <c r="C7" s="838"/>
      <c r="D7" s="838"/>
      <c r="E7" s="838"/>
      <c r="F7" s="842" t="s">
        <v>2092</v>
      </c>
      <c r="G7" s="840" t="s">
        <v>2298</v>
      </c>
      <c r="H7" s="840"/>
      <c r="I7" s="840"/>
      <c r="J7" s="840"/>
      <c r="K7" s="837"/>
      <c r="L7" s="841"/>
      <c r="M7" s="835"/>
    </row>
    <row r="8" spans="1:19" ht="15.75">
      <c r="A8" s="837"/>
      <c r="B8" s="838"/>
      <c r="C8" s="838"/>
      <c r="D8" s="838"/>
      <c r="E8" s="838"/>
      <c r="F8" s="839"/>
      <c r="G8" s="840"/>
      <c r="H8" s="840"/>
      <c r="I8" s="840"/>
      <c r="J8" s="840"/>
      <c r="K8" s="837"/>
      <c r="L8" s="841"/>
      <c r="M8" s="835"/>
    </row>
    <row r="9" spans="1:19" ht="15.75">
      <c r="A9" s="837" t="s">
        <v>2097</v>
      </c>
      <c r="B9" s="838"/>
      <c r="C9" s="838"/>
      <c r="D9" s="838"/>
      <c r="E9" s="838"/>
      <c r="F9" s="842" t="s">
        <v>2092</v>
      </c>
      <c r="G9" s="840" t="s">
        <v>2098</v>
      </c>
      <c r="H9" s="840"/>
      <c r="I9" s="840"/>
      <c r="J9" s="840"/>
      <c r="K9" s="837"/>
      <c r="L9" s="841"/>
      <c r="M9" s="835"/>
    </row>
    <row r="10" spans="1:19" ht="15.75">
      <c r="A10" s="843"/>
      <c r="B10" s="839"/>
      <c r="C10" s="839"/>
      <c r="D10" s="839"/>
      <c r="E10" s="839"/>
      <c r="F10" s="839"/>
      <c r="G10" s="839"/>
      <c r="H10" s="844"/>
      <c r="I10" s="844"/>
      <c r="J10" s="844"/>
      <c r="K10" s="845"/>
      <c r="L10" s="846"/>
      <c r="M10" s="846"/>
    </row>
    <row r="11" spans="1:19" ht="15.75" customHeight="1">
      <c r="A11" s="2334" t="s">
        <v>2099</v>
      </c>
      <c r="B11" s="2335"/>
      <c r="C11" s="2335"/>
      <c r="D11" s="2335"/>
      <c r="E11" s="2335"/>
      <c r="F11" s="2335"/>
      <c r="G11" s="2335"/>
      <c r="H11" s="2335"/>
      <c r="I11" s="2335"/>
      <c r="J11" s="2335"/>
      <c r="K11" s="2335"/>
      <c r="L11" s="2335"/>
      <c r="M11" s="847"/>
    </row>
    <row r="12" spans="1:19" ht="15.75">
      <c r="A12" s="848"/>
      <c r="B12" s="849"/>
      <c r="C12" s="849"/>
      <c r="D12" s="849"/>
      <c r="E12" s="849"/>
      <c r="F12" s="849"/>
      <c r="G12" s="849"/>
      <c r="H12" s="850"/>
      <c r="I12" s="2336" t="s">
        <v>2100</v>
      </c>
      <c r="J12" s="2336"/>
      <c r="K12" s="2336" t="s">
        <v>2101</v>
      </c>
      <c r="L12" s="2336"/>
      <c r="M12" s="847"/>
    </row>
    <row r="13" spans="1:19" ht="15.75">
      <c r="A13" s="843"/>
      <c r="B13" s="839"/>
      <c r="C13" s="839"/>
      <c r="D13" s="839"/>
      <c r="E13" s="839"/>
      <c r="F13" s="839"/>
      <c r="G13" s="839"/>
      <c r="H13" s="685"/>
      <c r="I13" s="2337" t="s">
        <v>2102</v>
      </c>
      <c r="J13" s="2337"/>
      <c r="K13" s="851"/>
      <c r="L13" s="851"/>
    </row>
    <row r="14" spans="1:19" ht="15.75">
      <c r="A14" s="683" t="s">
        <v>2103</v>
      </c>
      <c r="B14" s="839"/>
      <c r="C14" s="839"/>
      <c r="D14" s="839"/>
      <c r="E14" s="839"/>
      <c r="F14" s="839"/>
      <c r="G14" s="839"/>
      <c r="H14" s="685"/>
      <c r="I14" s="686"/>
      <c r="J14" s="686">
        <f>+BSPL!H93</f>
        <v>3085726.7607851028</v>
      </c>
      <c r="K14" s="686"/>
      <c r="L14" s="686">
        <f>+BSPL!H93</f>
        <v>3085726.7607851028</v>
      </c>
      <c r="M14" s="852"/>
    </row>
    <row r="15" spans="1:19" ht="15.75">
      <c r="A15" s="683"/>
      <c r="B15" s="839"/>
      <c r="C15" s="839"/>
      <c r="D15" s="839"/>
      <c r="E15" s="839"/>
      <c r="F15" s="839"/>
      <c r="G15" s="853"/>
      <c r="H15" s="685"/>
      <c r="I15" s="686"/>
      <c r="J15" s="686"/>
      <c r="K15" s="686"/>
      <c r="L15" s="686"/>
      <c r="M15" s="852"/>
    </row>
    <row r="16" spans="1:19" ht="15.75">
      <c r="A16" s="854" t="s">
        <v>2104</v>
      </c>
      <c r="B16" s="839"/>
      <c r="C16" s="839"/>
      <c r="D16" s="839"/>
      <c r="E16" s="839"/>
      <c r="F16" s="839"/>
      <c r="G16" s="853"/>
      <c r="H16" s="685"/>
      <c r="I16" s="686"/>
      <c r="J16" s="686"/>
      <c r="K16" s="686"/>
      <c r="L16" s="686"/>
      <c r="M16" s="852"/>
      <c r="R16" s="855" t="s">
        <v>1258</v>
      </c>
      <c r="S16" s="855" t="s">
        <v>2105</v>
      </c>
    </row>
    <row r="17" spans="1:19" ht="15.75">
      <c r="A17" s="683"/>
      <c r="B17" s="856" t="s">
        <v>2106</v>
      </c>
      <c r="C17" s="856"/>
      <c r="D17" s="839"/>
      <c r="E17" s="839"/>
      <c r="F17" s="839"/>
      <c r="G17" s="839"/>
      <c r="H17" s="857"/>
      <c r="I17" s="858">
        <f>+BSPL!H87</f>
        <v>17957748.491325565</v>
      </c>
      <c r="J17" s="686"/>
      <c r="K17" s="858">
        <f t="shared" ref="K17:K24" si="0">+I17</f>
        <v>17957748.491325565</v>
      </c>
      <c r="L17" s="686"/>
      <c r="M17" s="852"/>
      <c r="Q17" s="836" t="s">
        <v>236</v>
      </c>
      <c r="R17" s="855" t="e">
        <f>+GETPIVOTDATA("Sum of Dr. Final HYR",[67]Pivot!$A$3,"PARTICULARS","PENALTY ON CGST","Note",26,"BS Main Head","Other Expenses","BS Sub Head","Establishment Expenses-Rates &amp; Taxes")</f>
        <v>#REF!</v>
      </c>
      <c r="S17" s="855">
        <v>75</v>
      </c>
    </row>
    <row r="18" spans="1:19" ht="15.75">
      <c r="A18" s="683"/>
      <c r="B18" s="856" t="s">
        <v>2107</v>
      </c>
      <c r="C18" s="856"/>
      <c r="D18" s="839"/>
      <c r="E18" s="839"/>
      <c r="F18" s="839"/>
      <c r="G18" s="839"/>
      <c r="H18" s="857"/>
      <c r="I18" s="858">
        <f>+GETPIVOTDATA("Sum of Dr. Final 21-22",Pivot!$A$3,"PARTICULARS","Gratuity To Staff","Note",25,"BS Main Head","Employee Benefit Expenses","BS Sub Head","Contribution to Funds")</f>
        <v>912232</v>
      </c>
      <c r="J18" s="686"/>
      <c r="K18" s="858">
        <v>912232</v>
      </c>
      <c r="L18" s="686"/>
      <c r="M18" s="852"/>
      <c r="Q18" s="836" t="s">
        <v>237</v>
      </c>
      <c r="R18" s="855"/>
      <c r="S18" s="855">
        <v>3000</v>
      </c>
    </row>
    <row r="19" spans="1:19" ht="15.75">
      <c r="A19" s="683"/>
      <c r="B19" s="856" t="s">
        <v>626</v>
      </c>
      <c r="C19" s="856"/>
      <c r="D19" s="839"/>
      <c r="E19" s="839"/>
      <c r="F19" s="839"/>
      <c r="G19" s="839"/>
      <c r="H19" s="685"/>
      <c r="I19" s="858">
        <f>+GETPIVOTDATA("Sum of Dr. Final 21-22",Pivot!$A$3,"Note",27,"BS Main Head","Other - Establishment Expenses","BS Sub Head","Donation")</f>
        <v>26700</v>
      </c>
      <c r="J19" s="686"/>
      <c r="K19" s="858">
        <f>+GETPIVOTDATA("Sum of Dr. Final 21-22",Pivot!$A$3,"PARTICULARS","Donation Account","Note",27,"BS Main Head","Other - Establishment Expenses","BS Sub Head","Donation")</f>
        <v>26700</v>
      </c>
      <c r="L19" s="686"/>
      <c r="M19" s="852"/>
      <c r="Q19" s="836" t="s">
        <v>774</v>
      </c>
      <c r="R19" s="855"/>
      <c r="S19" s="855">
        <v>19678</v>
      </c>
    </row>
    <row r="20" spans="1:19" ht="15.75">
      <c r="A20" s="683"/>
      <c r="B20" s="856" t="s">
        <v>588</v>
      </c>
      <c r="C20" s="856"/>
      <c r="D20" s="839"/>
      <c r="E20" s="839"/>
      <c r="F20" s="839"/>
      <c r="G20" s="839"/>
      <c r="H20" s="857"/>
      <c r="I20" s="858">
        <f>+GETPIVOTDATA("Sum of Dr. Final 21-22",Pivot!$A$3,"Note",27,"BS Main Head","Other - Establishment Expenses","BS Sub Head","CSR Expenses")</f>
        <v>1308660</v>
      </c>
      <c r="J20" s="686"/>
      <c r="K20" s="858">
        <f>+BSPL!H527</f>
        <v>1308660</v>
      </c>
      <c r="L20" s="686"/>
      <c r="M20" s="852"/>
      <c r="Q20" s="836" t="s">
        <v>2108</v>
      </c>
      <c r="R20" s="855"/>
      <c r="S20" s="855">
        <v>0</v>
      </c>
    </row>
    <row r="21" spans="1:19" ht="15.75">
      <c r="A21" s="683"/>
      <c r="B21" s="856" t="s">
        <v>165</v>
      </c>
      <c r="C21" s="856"/>
      <c r="D21" s="839"/>
      <c r="E21" s="839"/>
      <c r="F21" s="839"/>
      <c r="G21" s="839"/>
      <c r="H21" s="685"/>
      <c r="I21" s="858">
        <f>+GETPIVOTDATA("Sum of Dr. Final 21-22",Pivot!$A$3,"PARTICULARS","Interest on Income Tax","Note",27,"BS Main Head","Other - Establishment Expenses","BS Sub Head","Rates &amp; Taxes")</f>
        <v>154003</v>
      </c>
      <c r="J21" s="686"/>
      <c r="K21" s="858">
        <f>+GETPIVOTDATA("Sum of Dr. Final 21-22",Pivot!$A$3,"PARTICULARS","Interest on Income Tax","Note",27,"BS Main Head","Other - Establishment Expenses","BS Sub Head","Rates &amp; Taxes")</f>
        <v>154003</v>
      </c>
      <c r="L21" s="686"/>
      <c r="M21" s="852"/>
      <c r="Q21" s="836" t="s">
        <v>2109</v>
      </c>
      <c r="R21" s="855"/>
      <c r="S21" s="855">
        <v>0</v>
      </c>
    </row>
    <row r="22" spans="1:19" ht="15.75">
      <c r="A22" s="683"/>
      <c r="B22" s="856" t="s">
        <v>2110</v>
      </c>
      <c r="C22" s="856"/>
      <c r="D22" s="839"/>
      <c r="E22" s="839"/>
      <c r="F22" s="839"/>
      <c r="G22" s="839"/>
      <c r="H22" s="857"/>
      <c r="I22" s="858">
        <f>+GETPIVOTDATA("Sum of Cr. Final 21-22",Pivot!$A$3,"PARTICULARS","Incentive/ Bonus Payable","Note",20,"BS Main Head","Short Term Provisions","BS Sub Head","Provision for Employee Benefit")</f>
        <v>1486209</v>
      </c>
      <c r="J22" s="686"/>
      <c r="K22" s="858">
        <f>+GETPIVOTDATA("Sum of Cr. Final 21-22",Pivot!$A$3,"PARTICULARS","Incentive/ Bonus Payable","Note",20,"BS Main Head","Short Term Provisions","BS Sub Head","Provision for Employee Benefit")</f>
        <v>1486209</v>
      </c>
      <c r="L22" s="686"/>
      <c r="M22" s="852"/>
      <c r="Q22" s="836" t="s">
        <v>238</v>
      </c>
      <c r="R22" s="855" t="e">
        <f>+GETPIVOTDATA("Sum of Dr. Final HYR",[67]Pivot!$A$3,"PARTICULARS","PENALTY ON SGST","Note",26,"BS Main Head","Other Expenses","BS Sub Head","Establishment Expenses-Rates &amp; Taxes")</f>
        <v>#REF!</v>
      </c>
      <c r="S22" s="855">
        <v>75</v>
      </c>
    </row>
    <row r="23" spans="1:19" ht="15.75">
      <c r="A23" s="683"/>
      <c r="B23" s="856" t="s">
        <v>2111</v>
      </c>
      <c r="C23" s="856"/>
      <c r="D23" s="839"/>
      <c r="E23" s="839"/>
      <c r="F23" s="839"/>
      <c r="G23" s="839"/>
      <c r="H23" s="857"/>
      <c r="I23" s="858">
        <v>0</v>
      </c>
      <c r="J23" s="686"/>
      <c r="K23" s="858">
        <f t="shared" si="0"/>
        <v>0</v>
      </c>
      <c r="L23" s="686"/>
      <c r="M23" s="852"/>
      <c r="O23" s="859">
        <f>+I18+[66]BSPL!F106</f>
        <v>725981</v>
      </c>
      <c r="Q23" s="836" t="s">
        <v>239</v>
      </c>
      <c r="R23" s="855">
        <v>0</v>
      </c>
      <c r="S23" s="855">
        <v>33000</v>
      </c>
    </row>
    <row r="24" spans="1:19" ht="15.75">
      <c r="A24" s="683"/>
      <c r="B24" s="856" t="s">
        <v>2112</v>
      </c>
      <c r="C24" s="856"/>
      <c r="D24" s="839"/>
      <c r="E24" s="839"/>
      <c r="F24" s="839"/>
      <c r="G24" s="839"/>
      <c r="H24" s="857"/>
      <c r="I24" s="858">
        <v>0</v>
      </c>
      <c r="J24" s="686"/>
      <c r="K24" s="858">
        <f t="shared" si="0"/>
        <v>0</v>
      </c>
      <c r="L24" s="686"/>
      <c r="M24" s="852"/>
      <c r="R24" s="855"/>
      <c r="S24" s="855"/>
    </row>
    <row r="25" spans="1:19" ht="15.75">
      <c r="A25" s="683"/>
      <c r="B25" s="856" t="s">
        <v>167</v>
      </c>
      <c r="C25" s="839"/>
      <c r="D25" s="839"/>
      <c r="E25" s="839"/>
      <c r="F25" s="839"/>
      <c r="G25" s="839"/>
      <c r="H25" s="860"/>
      <c r="I25" s="861">
        <v>0</v>
      </c>
      <c r="J25" s="862">
        <f>SUM(I17:I25)</f>
        <v>21845552.491325565</v>
      </c>
      <c r="K25" s="861">
        <v>0</v>
      </c>
      <c r="L25" s="862">
        <f>SUM(K17:K25)</f>
        <v>21845552.491325565</v>
      </c>
      <c r="M25" s="863"/>
      <c r="N25" s="864">
        <f>+I18-I34</f>
        <v>912232</v>
      </c>
    </row>
    <row r="26" spans="1:19" ht="15.75">
      <c r="A26" s="683"/>
      <c r="B26" s="856"/>
      <c r="C26" s="839"/>
      <c r="D26" s="839"/>
      <c r="E26" s="839"/>
      <c r="F26" s="839"/>
      <c r="G26" s="853"/>
      <c r="H26" s="860"/>
      <c r="I26" s="686"/>
      <c r="J26" s="865">
        <f>J14+J25</f>
        <v>24931279.252110668</v>
      </c>
      <c r="K26" s="686"/>
      <c r="L26" s="865">
        <f>L14+L25</f>
        <v>24931279.252110668</v>
      </c>
      <c r="M26" s="835"/>
    </row>
    <row r="27" spans="1:19" ht="15.75">
      <c r="A27" s="843"/>
      <c r="B27" s="839"/>
      <c r="C27" s="839"/>
      <c r="D27" s="839"/>
      <c r="E27" s="839"/>
      <c r="F27" s="839"/>
      <c r="G27" s="853"/>
      <c r="H27" s="866"/>
      <c r="I27" s="867"/>
      <c r="J27" s="867"/>
      <c r="K27" s="867"/>
      <c r="L27" s="867"/>
      <c r="M27" s="863"/>
    </row>
    <row r="28" spans="1:19" ht="15.75">
      <c r="A28" s="854" t="s">
        <v>2113</v>
      </c>
      <c r="B28" s="839"/>
      <c r="C28" s="839"/>
      <c r="D28" s="839"/>
      <c r="E28" s="839"/>
      <c r="F28" s="839"/>
      <c r="G28" s="868"/>
      <c r="H28" s="685"/>
      <c r="I28" s="686"/>
      <c r="J28" s="686"/>
      <c r="K28" s="686"/>
      <c r="L28" s="686"/>
      <c r="M28" s="686"/>
      <c r="N28" s="869" t="s">
        <v>2114</v>
      </c>
      <c r="O28" s="870" t="s">
        <v>1628</v>
      </c>
    </row>
    <row r="29" spans="1:19" ht="15.75">
      <c r="A29" s="683"/>
      <c r="B29" s="839" t="s">
        <v>2115</v>
      </c>
      <c r="C29" s="839"/>
      <c r="D29" s="871"/>
      <c r="E29" s="684"/>
      <c r="F29" s="684"/>
      <c r="G29" s="868"/>
      <c r="H29" s="685"/>
      <c r="I29" s="686">
        <f>+'IT Dep'!O61</f>
        <v>14027878.745501384</v>
      </c>
      <c r="J29" s="686"/>
      <c r="K29" s="686">
        <f>+'IT Dep'!O61</f>
        <v>14027878.745501384</v>
      </c>
      <c r="L29" s="686"/>
      <c r="M29" s="686"/>
      <c r="N29" s="870" t="s">
        <v>2116</v>
      </c>
      <c r="O29" s="687">
        <v>909877</v>
      </c>
      <c r="Q29" s="836">
        <f>5500000*0.15</f>
        <v>825000</v>
      </c>
    </row>
    <row r="30" spans="1:19" ht="15.75">
      <c r="A30" s="683" t="s">
        <v>2117</v>
      </c>
      <c r="B30" s="872"/>
      <c r="C30" s="872"/>
      <c r="D30" s="839"/>
      <c r="E30" s="839"/>
      <c r="F30" s="839"/>
      <c r="G30" s="839"/>
      <c r="H30" s="685"/>
      <c r="I30" s="686"/>
      <c r="J30" s="686"/>
      <c r="K30" s="686"/>
      <c r="L30" s="686"/>
      <c r="M30" s="686"/>
      <c r="N30" s="870" t="s">
        <v>2118</v>
      </c>
      <c r="O30" s="687">
        <v>1385050</v>
      </c>
    </row>
    <row r="31" spans="1:19" ht="15.75">
      <c r="A31" s="837"/>
      <c r="B31" s="839"/>
      <c r="C31" s="839"/>
      <c r="D31" s="839"/>
      <c r="E31" s="839"/>
      <c r="F31" s="839"/>
      <c r="G31" s="839"/>
      <c r="H31" s="685"/>
      <c r="I31" s="686"/>
      <c r="J31" s="686"/>
      <c r="K31" s="686"/>
      <c r="L31" s="686"/>
      <c r="M31" s="686"/>
      <c r="N31" s="870" t="s">
        <v>626</v>
      </c>
      <c r="O31" s="687">
        <v>56000</v>
      </c>
    </row>
    <row r="32" spans="1:19" ht="15.75">
      <c r="A32" s="683" t="s">
        <v>2119</v>
      </c>
      <c r="B32" s="872"/>
      <c r="C32" s="872"/>
      <c r="D32" s="839"/>
      <c r="E32" s="839"/>
      <c r="F32" s="839"/>
      <c r="G32" s="839"/>
      <c r="H32" s="685"/>
      <c r="I32" s="686"/>
      <c r="J32" s="686"/>
      <c r="K32" s="686"/>
      <c r="L32" s="686"/>
      <c r="M32" s="686"/>
      <c r="N32" s="869" t="s">
        <v>2120</v>
      </c>
      <c r="O32" s="687"/>
    </row>
    <row r="33" spans="1:24" ht="15.75">
      <c r="A33" s="873"/>
      <c r="B33" s="839"/>
      <c r="C33" s="839"/>
      <c r="D33" s="839"/>
      <c r="E33" s="839"/>
      <c r="F33" s="839"/>
      <c r="G33" s="839"/>
      <c r="H33" s="685"/>
      <c r="I33" s="686"/>
      <c r="J33" s="686"/>
      <c r="K33" s="686"/>
      <c r="L33" s="686"/>
      <c r="M33" s="686"/>
      <c r="N33" s="870" t="s">
        <v>165</v>
      </c>
      <c r="O33" s="687">
        <v>19982</v>
      </c>
    </row>
    <row r="34" spans="1:24" ht="15.75">
      <c r="A34" s="873"/>
      <c r="B34" s="839" t="s">
        <v>3392</v>
      </c>
      <c r="C34" s="839"/>
      <c r="D34" s="839"/>
      <c r="E34" s="839"/>
      <c r="F34" s="839"/>
      <c r="G34" s="839"/>
      <c r="H34" s="685"/>
      <c r="I34" s="686">
        <v>0</v>
      </c>
      <c r="J34" s="686"/>
      <c r="K34" s="858">
        <f>119634+263164</f>
        <v>382798</v>
      </c>
      <c r="L34" s="686"/>
      <c r="M34" s="686"/>
      <c r="N34" s="869" t="s">
        <v>2121</v>
      </c>
      <c r="O34" s="687"/>
    </row>
    <row r="35" spans="1:24" ht="15.75">
      <c r="A35" s="873"/>
      <c r="B35" s="839" t="s">
        <v>2122</v>
      </c>
      <c r="C35" s="839"/>
      <c r="D35" s="839"/>
      <c r="E35" s="839"/>
      <c r="F35" s="839"/>
      <c r="G35" s="839"/>
      <c r="H35" s="685"/>
      <c r="I35" s="686"/>
      <c r="J35" s="686"/>
      <c r="K35" s="686">
        <v>251894</v>
      </c>
      <c r="L35" s="686"/>
      <c r="M35" s="686"/>
      <c r="N35" s="870" t="s">
        <v>2123</v>
      </c>
      <c r="O35" s="687">
        <v>795803</v>
      </c>
    </row>
    <row r="36" spans="1:24" ht="15.75">
      <c r="A36" s="873"/>
      <c r="B36" s="856" t="s">
        <v>2124</v>
      </c>
      <c r="C36" s="839"/>
      <c r="D36" s="839"/>
      <c r="E36" s="839"/>
      <c r="F36" s="839"/>
      <c r="G36" s="839"/>
      <c r="H36" s="685"/>
      <c r="I36" s="874">
        <v>0</v>
      </c>
      <c r="J36" s="686">
        <f>SUM(I29:I36)</f>
        <v>14027878.745501384</v>
      </c>
      <c r="K36" s="858">
        <f t="shared" ref="K36" si="1">+I36</f>
        <v>0</v>
      </c>
      <c r="L36" s="686">
        <f>SUM(K29:K36)</f>
        <v>14662570.745501384</v>
      </c>
      <c r="M36" s="686"/>
      <c r="N36" s="870" t="s">
        <v>2125</v>
      </c>
      <c r="O36" s="687">
        <v>1301094</v>
      </c>
    </row>
    <row r="37" spans="1:24" ht="15.75">
      <c r="A37" s="843"/>
      <c r="B37" s="872"/>
      <c r="C37" s="872"/>
      <c r="D37" s="839"/>
      <c r="E37" s="839"/>
      <c r="F37" s="839"/>
      <c r="G37" s="838" t="s">
        <v>2126</v>
      </c>
      <c r="H37" s="875" t="s">
        <v>2127</v>
      </c>
      <c r="I37" s="686"/>
      <c r="J37" s="876">
        <f>J26-J36</f>
        <v>10903400.506609283</v>
      </c>
      <c r="K37" s="686"/>
      <c r="L37" s="876">
        <f>L26-L36</f>
        <v>10268708.506609283</v>
      </c>
      <c r="M37" s="865"/>
      <c r="N37" s="869" t="s">
        <v>2128</v>
      </c>
      <c r="O37" s="687"/>
    </row>
    <row r="38" spans="1:24" ht="15.75">
      <c r="A38" s="843" t="s">
        <v>2129</v>
      </c>
      <c r="B38" s="872"/>
      <c r="C38" s="872"/>
      <c r="D38" s="839"/>
      <c r="E38" s="839"/>
      <c r="F38" s="839"/>
      <c r="G38" s="839"/>
      <c r="H38" s="875"/>
      <c r="I38" s="686">
        <v>0</v>
      </c>
      <c r="J38" s="686"/>
      <c r="K38" s="686">
        <v>0</v>
      </c>
      <c r="L38" s="686"/>
      <c r="M38" s="686"/>
      <c r="N38" s="870" t="s">
        <v>2130</v>
      </c>
      <c r="O38" s="687">
        <v>-438120</v>
      </c>
    </row>
    <row r="39" spans="1:24" ht="15.75">
      <c r="A39" s="843" t="s">
        <v>2131</v>
      </c>
      <c r="B39" s="872"/>
      <c r="C39" s="872"/>
      <c r="D39" s="839"/>
      <c r="E39" s="839"/>
      <c r="F39" s="839"/>
      <c r="G39" s="839"/>
      <c r="H39" s="685"/>
      <c r="I39" s="686">
        <f>I38</f>
        <v>0</v>
      </c>
      <c r="J39" s="686"/>
      <c r="K39" s="686">
        <f>K38</f>
        <v>0</v>
      </c>
      <c r="L39" s="686"/>
      <c r="M39" s="686"/>
      <c r="N39" s="870" t="s">
        <v>2132</v>
      </c>
      <c r="O39" s="687">
        <v>-1259230</v>
      </c>
    </row>
    <row r="40" spans="1:24" ht="15.75">
      <c r="A40" s="843"/>
      <c r="B40" s="839"/>
      <c r="C40" s="839"/>
      <c r="D40" s="839"/>
      <c r="E40" s="839"/>
      <c r="F40" s="839"/>
      <c r="G40" s="839"/>
      <c r="H40" s="875"/>
      <c r="I40" s="877"/>
      <c r="J40" s="877"/>
      <c r="K40" s="877"/>
      <c r="L40" s="877"/>
      <c r="M40" s="878"/>
      <c r="N40" s="879" t="s">
        <v>2133</v>
      </c>
      <c r="O40" s="880">
        <f>+SUM(O29:O39)</f>
        <v>2770456</v>
      </c>
    </row>
    <row r="41" spans="1:24" ht="16.5" thickBot="1">
      <c r="A41" s="843"/>
      <c r="B41" s="839"/>
      <c r="C41" s="839"/>
      <c r="D41" s="839"/>
      <c r="E41" s="839"/>
      <c r="F41" s="839"/>
      <c r="G41" s="838"/>
      <c r="H41" s="875"/>
      <c r="I41" s="877"/>
      <c r="J41" s="881">
        <f>SUM(J37:J39)</f>
        <v>10903400.506609283</v>
      </c>
      <c r="K41" s="877"/>
      <c r="L41" s="881">
        <f>SUM(L37:L39)</f>
        <v>10268708.506609283</v>
      </c>
      <c r="M41" s="882"/>
    </row>
    <row r="42" spans="1:24" ht="16.5" thickTop="1">
      <c r="A42" s="843"/>
      <c r="B42" s="839"/>
      <c r="C42" s="839"/>
      <c r="D42" s="839"/>
      <c r="E42" s="839"/>
      <c r="F42" s="839"/>
      <c r="G42" s="839"/>
      <c r="H42" s="875"/>
      <c r="I42" s="877"/>
      <c r="J42" s="877"/>
      <c r="K42" s="877"/>
      <c r="L42" s="877"/>
      <c r="M42" s="883"/>
      <c r="N42" s="884">
        <f>+L43-J43</f>
        <v>0</v>
      </c>
    </row>
    <row r="43" spans="1:24" ht="15.75">
      <c r="A43" s="843"/>
      <c r="B43" s="839"/>
      <c r="C43" s="839"/>
      <c r="D43" s="839"/>
      <c r="E43" s="839"/>
      <c r="F43" s="839" t="s">
        <v>2134</v>
      </c>
      <c r="G43" s="839"/>
      <c r="H43" s="875"/>
      <c r="I43" s="877"/>
      <c r="J43" s="877">
        <v>0</v>
      </c>
      <c r="K43" s="877"/>
      <c r="L43" s="885">
        <v>0</v>
      </c>
      <c r="M43" s="886"/>
      <c r="N43" s="887">
        <f>+L75</f>
        <v>-1033262.8136877958</v>
      </c>
    </row>
    <row r="44" spans="1:24" ht="15.75">
      <c r="A44" s="843"/>
      <c r="B44" s="839"/>
      <c r="C44" s="839"/>
      <c r="D44" s="839"/>
      <c r="E44" s="839"/>
      <c r="F44" s="839"/>
      <c r="G44" s="839"/>
      <c r="H44" s="875"/>
      <c r="I44" s="877"/>
      <c r="J44" s="877"/>
      <c r="K44" s="877"/>
      <c r="L44" s="877"/>
      <c r="M44" s="883"/>
    </row>
    <row r="45" spans="1:24" ht="16.5" thickBot="1">
      <c r="A45" s="843"/>
      <c r="B45" s="839"/>
      <c r="C45" s="839"/>
      <c r="D45" s="839"/>
      <c r="E45" s="839"/>
      <c r="F45" s="839"/>
      <c r="G45" s="838" t="s">
        <v>2126</v>
      </c>
      <c r="H45" s="875"/>
      <c r="I45" s="877"/>
      <c r="J45" s="888">
        <f>J41-J43</f>
        <v>10903400.506609283</v>
      </c>
      <c r="K45" s="877"/>
      <c r="L45" s="888">
        <f>L41-L43</f>
        <v>10268708.506609283</v>
      </c>
      <c r="M45" s="889"/>
      <c r="P45" s="839" t="s">
        <v>2135</v>
      </c>
    </row>
    <row r="46" spans="1:24" ht="60" thickTop="1" thickBot="1">
      <c r="A46" s="843"/>
      <c r="B46" s="839"/>
      <c r="C46" s="839"/>
      <c r="D46" s="839"/>
      <c r="E46" s="839"/>
      <c r="F46" s="839"/>
      <c r="G46" s="839"/>
      <c r="H46" s="875"/>
      <c r="I46" s="877"/>
      <c r="J46" s="877"/>
      <c r="K46" s="877"/>
      <c r="L46" s="877"/>
      <c r="M46" s="883"/>
      <c r="P46" s="890" t="s">
        <v>2136</v>
      </c>
      <c r="Q46" s="891" t="s">
        <v>2137</v>
      </c>
      <c r="R46" s="891" t="s">
        <v>2138</v>
      </c>
      <c r="S46" s="891" t="s">
        <v>2139</v>
      </c>
      <c r="T46" s="891" t="s">
        <v>2140</v>
      </c>
      <c r="U46" s="891" t="s">
        <v>2141</v>
      </c>
      <c r="V46" s="891" t="s">
        <v>2142</v>
      </c>
      <c r="W46" s="891" t="s">
        <v>2143</v>
      </c>
      <c r="X46" s="891" t="s">
        <v>1260</v>
      </c>
    </row>
    <row r="47" spans="1:24" ht="19.5">
      <c r="A47" s="843"/>
      <c r="B47" s="839"/>
      <c r="C47" s="839"/>
      <c r="D47" s="839"/>
      <c r="E47" s="839"/>
      <c r="F47" s="839"/>
      <c r="G47" s="839"/>
      <c r="H47" s="875"/>
      <c r="I47" s="877"/>
      <c r="J47" s="877"/>
      <c r="K47" s="877"/>
      <c r="L47" s="877"/>
      <c r="M47" s="883"/>
      <c r="Q47" s="892" t="s">
        <v>2144</v>
      </c>
      <c r="R47" s="893">
        <f>+J65-I68</f>
        <v>2717192.3317184141</v>
      </c>
      <c r="S47" s="894">
        <v>15</v>
      </c>
      <c r="T47" s="893">
        <f>+R47*S47/100</f>
        <v>407578.8497577621</v>
      </c>
      <c r="U47" s="893">
        <v>0</v>
      </c>
      <c r="V47" s="893">
        <f>+T47-U47</f>
        <v>407578.8497577621</v>
      </c>
      <c r="W47" s="893">
        <v>3</v>
      </c>
      <c r="X47" s="893">
        <f>+V47*W47/100</f>
        <v>12227.365492732863</v>
      </c>
    </row>
    <row r="48" spans="1:24" ht="19.5">
      <c r="A48" s="843"/>
      <c r="B48" s="839"/>
      <c r="C48" s="839"/>
      <c r="D48" s="839"/>
      <c r="E48" s="839"/>
      <c r="F48" s="839"/>
      <c r="G48" s="872"/>
      <c r="H48" s="875" t="s">
        <v>2145</v>
      </c>
      <c r="I48" s="877"/>
      <c r="J48" s="841">
        <f>IF(J45&gt;0,J45*0.25,0)</f>
        <v>2725850.1266523208</v>
      </c>
      <c r="K48" s="877"/>
      <c r="L48" s="841">
        <f>IF(L45&gt;0,L45*0.22,0)</f>
        <v>2259115.8714540424</v>
      </c>
      <c r="M48" s="835"/>
      <c r="Q48" s="892" t="s">
        <v>2146</v>
      </c>
      <c r="R48" s="893">
        <f>+R47</f>
        <v>2717192.3317184141</v>
      </c>
      <c r="S48" s="894">
        <v>45</v>
      </c>
      <c r="T48" s="893">
        <f t="shared" ref="T48:T50" si="2">+R48*S48/100</f>
        <v>1222736.5492732862</v>
      </c>
      <c r="U48" s="893">
        <v>2000000</v>
      </c>
      <c r="V48" s="893">
        <f t="shared" ref="V48:V50" si="3">+T48-U48</f>
        <v>-777263.45072671375</v>
      </c>
      <c r="W48" s="893">
        <v>3</v>
      </c>
      <c r="X48" s="893">
        <f t="shared" ref="X48:X50" si="4">+V48*W48/100</f>
        <v>-23317.903521801411</v>
      </c>
    </row>
    <row r="49" spans="1:24" ht="19.5">
      <c r="A49" s="843"/>
      <c r="B49" s="839"/>
      <c r="C49" s="839"/>
      <c r="D49" s="839"/>
      <c r="E49" s="839"/>
      <c r="F49" s="839"/>
      <c r="G49" s="872"/>
      <c r="H49" s="685"/>
      <c r="I49" s="686"/>
      <c r="J49" s="686"/>
      <c r="K49" s="686"/>
      <c r="L49" s="686"/>
      <c r="M49" s="852"/>
      <c r="Q49" s="892" t="s">
        <v>2147</v>
      </c>
      <c r="R49" s="893">
        <f>+R48</f>
        <v>2717192.3317184141</v>
      </c>
      <c r="S49" s="894">
        <v>75</v>
      </c>
      <c r="T49" s="893">
        <f t="shared" si="2"/>
        <v>2037894.2487888106</v>
      </c>
      <c r="U49" s="893">
        <v>7000000</v>
      </c>
      <c r="V49" s="893">
        <f t="shared" si="3"/>
        <v>-4962105.7512111897</v>
      </c>
      <c r="W49" s="893">
        <v>3</v>
      </c>
      <c r="X49" s="893">
        <f t="shared" si="4"/>
        <v>-148863.17253633571</v>
      </c>
    </row>
    <row r="50" spans="1:24" ht="19.5">
      <c r="A50" s="843"/>
      <c r="B50" s="839"/>
      <c r="C50" s="839"/>
      <c r="D50" s="839"/>
      <c r="E50" s="839"/>
      <c r="F50" s="839"/>
      <c r="G50" s="839"/>
      <c r="H50" s="685"/>
      <c r="I50" s="686"/>
      <c r="J50" s="686"/>
      <c r="K50" s="686"/>
      <c r="L50" s="686"/>
      <c r="M50" s="852"/>
      <c r="Q50" s="892" t="s">
        <v>2148</v>
      </c>
      <c r="R50" s="893">
        <f>+R49</f>
        <v>2717192.3317184141</v>
      </c>
      <c r="S50" s="894">
        <v>100</v>
      </c>
      <c r="T50" s="893">
        <f t="shared" si="2"/>
        <v>2717192.3317184136</v>
      </c>
      <c r="U50" s="893">
        <v>13000000</v>
      </c>
      <c r="V50" s="893">
        <f t="shared" si="3"/>
        <v>-10282807.668281587</v>
      </c>
      <c r="W50" s="893">
        <v>1</v>
      </c>
      <c r="X50" s="893">
        <f t="shared" si="4"/>
        <v>-102828.07668281587</v>
      </c>
    </row>
    <row r="51" spans="1:24" ht="19.5">
      <c r="A51" s="2338"/>
      <c r="B51" s="2339"/>
      <c r="C51" s="2339"/>
      <c r="D51" s="2339"/>
      <c r="E51" s="2339"/>
      <c r="F51" s="2339"/>
      <c r="G51" s="2339"/>
      <c r="H51" s="2340"/>
      <c r="I51" s="895"/>
      <c r="J51" s="896"/>
      <c r="K51" s="895"/>
      <c r="L51" s="896"/>
      <c r="M51" s="897"/>
      <c r="Q51" s="898" t="s">
        <v>1249</v>
      </c>
      <c r="R51" s="899"/>
      <c r="S51" s="900"/>
      <c r="T51" s="893"/>
      <c r="U51" s="893"/>
      <c r="V51" s="893"/>
      <c r="W51" s="893"/>
      <c r="X51" s="901">
        <f>+SUM(X47:X50)</f>
        <v>-262781.78724822012</v>
      </c>
    </row>
    <row r="52" spans="1:24" ht="20.25" thickBot="1">
      <c r="A52" s="683"/>
      <c r="B52" s="839"/>
      <c r="C52" s="839"/>
      <c r="D52" s="839"/>
      <c r="E52" s="839"/>
      <c r="F52" s="839"/>
      <c r="G52" s="839"/>
      <c r="H52" s="685"/>
      <c r="I52" s="686"/>
      <c r="J52" s="686"/>
      <c r="K52" s="686"/>
      <c r="L52" s="686"/>
      <c r="M52" s="852"/>
      <c r="Q52" s="900"/>
      <c r="R52" s="900"/>
      <c r="S52" s="900"/>
    </row>
    <row r="53" spans="1:24" ht="59.25" thickBot="1">
      <c r="A53" s="683"/>
      <c r="B53" s="839"/>
      <c r="C53" s="839"/>
      <c r="D53" s="839"/>
      <c r="E53" s="839"/>
      <c r="F53" s="839"/>
      <c r="G53" s="839"/>
      <c r="H53" s="685"/>
      <c r="I53" s="686"/>
      <c r="J53" s="686"/>
      <c r="K53" s="686"/>
      <c r="L53" s="686"/>
      <c r="M53" s="852"/>
      <c r="P53" s="890" t="s">
        <v>2136</v>
      </c>
      <c r="Q53" s="891" t="s">
        <v>2137</v>
      </c>
      <c r="R53" s="891" t="s">
        <v>2138</v>
      </c>
      <c r="S53" s="891" t="s">
        <v>2139</v>
      </c>
      <c r="T53" s="891" t="s">
        <v>2140</v>
      </c>
      <c r="U53" s="891" t="s">
        <v>2141</v>
      </c>
      <c r="V53" s="891" t="s">
        <v>2142</v>
      </c>
      <c r="W53" s="891" t="s">
        <v>2143</v>
      </c>
      <c r="X53" s="891" t="s">
        <v>1260</v>
      </c>
    </row>
    <row r="54" spans="1:24" ht="19.5">
      <c r="A54" s="683"/>
      <c r="B54" s="839"/>
      <c r="C54" s="902"/>
      <c r="D54" s="839"/>
      <c r="E54" s="902" t="str">
        <f>A14</f>
        <v>Profit as per Profit and Loss Statement after extraordinary item</v>
      </c>
      <c r="F54" s="839"/>
      <c r="G54" s="839"/>
      <c r="H54" s="685"/>
      <c r="I54" s="686"/>
      <c r="J54" s="903">
        <f>+J14</f>
        <v>3085726.7607851028</v>
      </c>
      <c r="K54" s="686"/>
      <c r="L54" s="903"/>
      <c r="M54" s="904"/>
      <c r="Q54" s="892" t="s">
        <v>2144</v>
      </c>
      <c r="R54" s="905">
        <f>+L65-K68</f>
        <v>2466737.1863122042</v>
      </c>
      <c r="S54" s="894">
        <v>15</v>
      </c>
      <c r="T54" s="905">
        <f>+R54*S54/100</f>
        <v>370010.5779468306</v>
      </c>
      <c r="U54" s="905">
        <v>0</v>
      </c>
      <c r="V54" s="905">
        <f>+T54-U54</f>
        <v>370010.5779468306</v>
      </c>
      <c r="W54" s="905">
        <v>3</v>
      </c>
      <c r="X54" s="905">
        <f>+V54*W54/100</f>
        <v>11100.317338404919</v>
      </c>
    </row>
    <row r="55" spans="1:24" ht="19.5">
      <c r="A55" s="683"/>
      <c r="B55" s="839"/>
      <c r="C55" s="902"/>
      <c r="D55" s="839"/>
      <c r="E55" s="906" t="s">
        <v>2149</v>
      </c>
      <c r="F55" s="839"/>
      <c r="G55" s="839"/>
      <c r="H55" s="685"/>
      <c r="I55" s="686"/>
      <c r="J55" s="874">
        <v>0</v>
      </c>
      <c r="K55" s="686"/>
      <c r="L55" s="874"/>
      <c r="M55" s="852"/>
      <c r="Q55" s="892" t="s">
        <v>2146</v>
      </c>
      <c r="R55" s="893">
        <f>+R54</f>
        <v>2466737.1863122042</v>
      </c>
      <c r="S55" s="894">
        <v>45</v>
      </c>
      <c r="T55" s="905">
        <f t="shared" ref="T55:T57" si="5">+R55*S55/100</f>
        <v>1110031.7338404919</v>
      </c>
      <c r="U55" s="905">
        <v>2000000</v>
      </c>
      <c r="V55" s="905">
        <f t="shared" ref="V55:V57" si="6">+T55-U55</f>
        <v>-889968.26615950814</v>
      </c>
      <c r="W55" s="905">
        <v>3</v>
      </c>
      <c r="X55" s="905">
        <f t="shared" ref="X55:X56" si="7">+V55*W55/100</f>
        <v>-26699.04798478524</v>
      </c>
    </row>
    <row r="56" spans="1:24" ht="19.5">
      <c r="A56" s="683"/>
      <c r="B56" s="839"/>
      <c r="C56" s="839"/>
      <c r="D56" s="839"/>
      <c r="E56" s="907" t="s">
        <v>2150</v>
      </c>
      <c r="F56" s="839"/>
      <c r="G56" s="868"/>
      <c r="H56" s="685"/>
      <c r="I56" s="686"/>
      <c r="J56" s="865">
        <f>J54-J55</f>
        <v>3085726.7607851028</v>
      </c>
      <c r="K56" s="686"/>
      <c r="L56" s="865"/>
      <c r="M56" s="835"/>
      <c r="Q56" s="892" t="s">
        <v>2147</v>
      </c>
      <c r="R56" s="893">
        <f>+R55</f>
        <v>2466737.1863122042</v>
      </c>
      <c r="S56" s="894">
        <v>75</v>
      </c>
      <c r="T56" s="905">
        <f t="shared" si="5"/>
        <v>1850052.8897341532</v>
      </c>
      <c r="U56" s="905">
        <v>7000000</v>
      </c>
      <c r="V56" s="905">
        <f t="shared" si="6"/>
        <v>-5149947.1102658473</v>
      </c>
      <c r="W56" s="905">
        <v>3</v>
      </c>
      <c r="X56" s="905">
        <f t="shared" si="7"/>
        <v>-154498.41330797542</v>
      </c>
    </row>
    <row r="57" spans="1:24" ht="19.5">
      <c r="A57" s="843"/>
      <c r="B57" s="839"/>
      <c r="C57" s="839"/>
      <c r="D57" s="839"/>
      <c r="E57" s="839"/>
      <c r="F57" s="839"/>
      <c r="G57" s="839"/>
      <c r="H57" s="685"/>
      <c r="I57" s="686"/>
      <c r="J57" s="686"/>
      <c r="K57" s="686"/>
      <c r="L57" s="686"/>
      <c r="M57" s="852"/>
      <c r="Q57" s="892" t="s">
        <v>2148</v>
      </c>
      <c r="R57" s="893">
        <f>+R56</f>
        <v>2466737.1863122042</v>
      </c>
      <c r="S57" s="894">
        <v>100</v>
      </c>
      <c r="T57" s="905">
        <f t="shared" si="5"/>
        <v>2466737.1863122042</v>
      </c>
      <c r="U57" s="905">
        <v>13000000</v>
      </c>
      <c r="V57" s="905">
        <f t="shared" si="6"/>
        <v>-10533262.813687796</v>
      </c>
      <c r="W57" s="905">
        <v>1</v>
      </c>
      <c r="X57" s="905">
        <v>0</v>
      </c>
    </row>
    <row r="58" spans="1:24" ht="19.5">
      <c r="A58" s="843"/>
      <c r="B58" s="839"/>
      <c r="C58" s="839"/>
      <c r="D58" s="839"/>
      <c r="E58" s="839" t="s">
        <v>2151</v>
      </c>
      <c r="F58" s="839"/>
      <c r="G58" s="839"/>
      <c r="H58" s="875" t="s">
        <v>2152</v>
      </c>
      <c r="I58" s="877"/>
      <c r="J58" s="865">
        <f>IF(J56&gt;0,J56*0.15,0)</f>
        <v>462859.01411776541</v>
      </c>
      <c r="K58" s="877"/>
      <c r="L58" s="865"/>
      <c r="M58" s="835"/>
      <c r="Q58" s="898" t="s">
        <v>1249</v>
      </c>
      <c r="R58" s="899"/>
      <c r="S58" s="900"/>
      <c r="T58" s="905"/>
      <c r="U58" s="905"/>
      <c r="V58" s="905"/>
      <c r="W58" s="905"/>
      <c r="X58" s="908">
        <f>+SUM(X54:X57)</f>
        <v>-170097.14395435574</v>
      </c>
    </row>
    <row r="59" spans="1:24" ht="15.75">
      <c r="A59" s="843"/>
      <c r="B59" s="839"/>
      <c r="C59" s="839"/>
      <c r="D59" s="839"/>
      <c r="E59" s="839"/>
      <c r="F59" s="839"/>
      <c r="G59" s="839"/>
      <c r="H59" s="685"/>
      <c r="I59" s="686"/>
      <c r="J59" s="686"/>
      <c r="K59" s="686"/>
      <c r="L59" s="686"/>
      <c r="M59" s="852"/>
    </row>
    <row r="60" spans="1:24" ht="15.75">
      <c r="A60" s="843"/>
      <c r="B60" s="839"/>
      <c r="C60" s="839"/>
      <c r="D60" s="839"/>
      <c r="E60" s="839"/>
      <c r="F60" s="839"/>
      <c r="G60" s="868" t="s">
        <v>2153</v>
      </c>
      <c r="H60" s="685"/>
      <c r="I60" s="686"/>
      <c r="J60" s="903">
        <f>IF(J58&gt;J48,J58,J48)</f>
        <v>2725850.1266523208</v>
      </c>
      <c r="K60" s="686"/>
      <c r="L60" s="903">
        <f>IF(L58&gt;L48,L58,L48)</f>
        <v>2259115.8714540424</v>
      </c>
      <c r="M60" s="904"/>
    </row>
    <row r="61" spans="1:24" ht="15.75">
      <c r="A61" s="843"/>
      <c r="B61" s="839"/>
      <c r="C61" s="839"/>
      <c r="D61" s="839"/>
      <c r="E61" s="839"/>
      <c r="F61" s="839"/>
      <c r="G61" s="839"/>
      <c r="H61" s="685"/>
      <c r="I61" s="686"/>
      <c r="J61" s="686"/>
      <c r="K61" s="686"/>
      <c r="L61" s="686"/>
      <c r="M61" s="852"/>
      <c r="O61" s="909">
        <f>+J60-J58</f>
        <v>2262991.1125345556</v>
      </c>
    </row>
    <row r="62" spans="1:24" ht="15.75">
      <c r="A62" s="843"/>
      <c r="B62" s="839"/>
      <c r="C62" s="839"/>
      <c r="D62" s="839"/>
      <c r="E62" s="839" t="s">
        <v>2154</v>
      </c>
      <c r="F62" s="839"/>
      <c r="G62" s="839"/>
      <c r="H62" s="685"/>
      <c r="I62" s="686"/>
      <c r="J62" s="910">
        <f>IF(J56&gt;10000000,J60*0.07,0)</f>
        <v>0</v>
      </c>
      <c r="K62" s="686"/>
      <c r="L62" s="910">
        <f>+ROUND(L60*10%,0)</f>
        <v>225912</v>
      </c>
      <c r="M62" s="904"/>
    </row>
    <row r="63" spans="1:24" ht="15.75">
      <c r="A63" s="843"/>
      <c r="B63" s="839"/>
      <c r="C63" s="839"/>
      <c r="D63" s="839"/>
      <c r="E63" s="839"/>
      <c r="F63" s="839"/>
      <c r="G63" s="839"/>
      <c r="H63" s="685"/>
      <c r="I63" s="686"/>
      <c r="J63" s="865">
        <f>+J60+J62</f>
        <v>2725850.1266523208</v>
      </c>
      <c r="K63" s="686"/>
      <c r="L63" s="865">
        <f>+L60+L62</f>
        <v>2485027.8714540424</v>
      </c>
      <c r="M63" s="835"/>
    </row>
    <row r="64" spans="1:24" ht="15.75">
      <c r="A64" s="843"/>
      <c r="B64" s="839"/>
      <c r="C64" s="839"/>
      <c r="D64" s="839"/>
      <c r="E64" s="839" t="s">
        <v>2155</v>
      </c>
      <c r="F64" s="839"/>
      <c r="G64" s="839"/>
      <c r="H64" s="685"/>
      <c r="I64" s="686"/>
      <c r="J64" s="910">
        <f>+J63*0.04</f>
        <v>109034.00506609284</v>
      </c>
      <c r="K64" s="686"/>
      <c r="L64" s="910">
        <f>+L63*0.04</f>
        <v>99401.114858161702</v>
      </c>
      <c r="M64" s="904"/>
    </row>
    <row r="65" spans="1:15" ht="15.75">
      <c r="A65" s="843"/>
      <c r="B65" s="839"/>
      <c r="C65" s="839"/>
      <c r="D65" s="839"/>
      <c r="E65" s="838" t="s">
        <v>2156</v>
      </c>
      <c r="F65" s="839"/>
      <c r="G65" s="839"/>
      <c r="H65" s="685"/>
      <c r="I65" s="686"/>
      <c r="J65" s="865">
        <f>J63+J64</f>
        <v>2834884.1317184139</v>
      </c>
      <c r="K65" s="686"/>
      <c r="L65" s="865">
        <f>L63+L64</f>
        <v>2584428.986312204</v>
      </c>
      <c r="M65" s="835"/>
      <c r="O65" s="836">
        <v>5500000</v>
      </c>
    </row>
    <row r="66" spans="1:15" ht="15.75">
      <c r="A66" s="843"/>
      <c r="B66" s="839"/>
      <c r="C66" s="839"/>
      <c r="D66" s="839"/>
      <c r="E66" s="839"/>
      <c r="F66" s="839"/>
      <c r="G66" s="839"/>
      <c r="H66" s="685"/>
      <c r="I66" s="686"/>
      <c r="J66" s="686"/>
      <c r="K66" s="686"/>
      <c r="L66" s="686"/>
      <c r="M66" s="852"/>
    </row>
    <row r="67" spans="1:15" ht="15.75">
      <c r="A67" s="843"/>
      <c r="B67" s="839"/>
      <c r="C67" s="839"/>
      <c r="D67" s="839"/>
      <c r="E67" s="839" t="s">
        <v>2157</v>
      </c>
      <c r="F67" s="839"/>
      <c r="G67" s="839"/>
      <c r="H67" s="685"/>
      <c r="I67" s="686"/>
      <c r="J67" s="686"/>
      <c r="K67" s="686"/>
      <c r="L67" s="686"/>
      <c r="M67" s="852"/>
    </row>
    <row r="68" spans="1:15" ht="15.75">
      <c r="A68" s="843"/>
      <c r="B68" s="839"/>
      <c r="C68" s="839"/>
      <c r="D68" s="839"/>
      <c r="E68" s="839" t="s">
        <v>2158</v>
      </c>
      <c r="F68" s="839"/>
      <c r="G68" s="839"/>
      <c r="H68" s="911"/>
      <c r="I68" s="867">
        <f>+GETPIVOTDATA("Sum of Dr. Final 21-22",Pivot!$A$3,"PARTICULARS","T C S F. Y. 2021-22","Note",11,"BS Main Head","Current Tax Assets","BS Sub Head","Advance Income Tax")+GETPIVOTDATA("Sum of Dr. Final 21-22",Pivot!$A$3,"PARTICULARS","TDS ( A.Y. 2022-23)","Note",11,"BS Main Head","Current Tax Assets","BS Sub Head","Advance Income Tax")</f>
        <v>117691.8</v>
      </c>
      <c r="J68" s="867"/>
      <c r="K68" s="867">
        <f>+GETPIVOTDATA("Sum of Dr. Final 21-22",Pivot!$A$3,"PARTICULARS","T C S F. Y. 2021-22","Note",11,"BS Main Head","Current Tax Assets","BS Sub Head","Advance Income Tax")+GETPIVOTDATA("Sum of Dr. Final 21-22",Pivot!$A$3,"PARTICULARS","TDS ( A.Y. 2022-23)","Note",11,"BS Main Head","Current Tax Assets","BS Sub Head","Advance Income Tax")</f>
        <v>117691.8</v>
      </c>
      <c r="L68" s="867"/>
      <c r="M68" s="863"/>
    </row>
    <row r="69" spans="1:15" ht="15.75">
      <c r="A69" s="843"/>
      <c r="B69" s="839"/>
      <c r="C69" s="839"/>
      <c r="D69" s="839"/>
      <c r="E69" s="839" t="s">
        <v>2159</v>
      </c>
      <c r="F69" s="839"/>
      <c r="G69" s="839"/>
      <c r="H69" s="866"/>
      <c r="I69" s="867">
        <v>0</v>
      </c>
      <c r="J69" s="867"/>
      <c r="K69" s="867">
        <v>0</v>
      </c>
      <c r="L69" s="867"/>
      <c r="M69" s="863"/>
    </row>
    <row r="70" spans="1:15" ht="15.75">
      <c r="A70" s="843"/>
      <c r="B70" s="839"/>
      <c r="C70" s="839"/>
      <c r="D70" s="839"/>
      <c r="E70" s="839" t="s">
        <v>2160</v>
      </c>
      <c r="F70" s="839"/>
      <c r="G70" s="839"/>
      <c r="H70" s="866"/>
      <c r="I70" s="862">
        <f>+GETPIVOTDATA("Sum of Dr. Final 21-22",Pivot!$A$3,"PARTICULARS","Advance Income Tax (A.Y.2022-23)","Note",11,"BS Main Head","Current Tax Assets","BS Sub Head","Advance Income Tax")</f>
        <v>3500000</v>
      </c>
      <c r="J70" s="912">
        <f>SUM(I68:I70)</f>
        <v>3617691.8</v>
      </c>
      <c r="K70" s="867">
        <f>+GETPIVOTDATA("Sum of Dr. Final 21-22",Pivot!$A$3,"PARTICULARS","Advance Income Tax (A.Y.2022-23)","Note",11,"BS Main Head","Current Tax Assets","BS Sub Head","Advance Income Tax")</f>
        <v>3500000</v>
      </c>
      <c r="L70" s="912">
        <f>SUM(K68:K70)</f>
        <v>3617691.8</v>
      </c>
      <c r="M70" s="913"/>
    </row>
    <row r="71" spans="1:15" ht="15.75">
      <c r="A71" s="843"/>
      <c r="B71" s="839"/>
      <c r="C71" s="839"/>
      <c r="D71" s="839"/>
      <c r="E71" s="838"/>
      <c r="F71" s="839"/>
      <c r="G71" s="914"/>
      <c r="H71" s="685"/>
      <c r="I71" s="686"/>
      <c r="J71" s="876">
        <f>J65-J70</f>
        <v>-782807.66828158591</v>
      </c>
      <c r="K71" s="686"/>
      <c r="L71" s="876">
        <f>L65-L70</f>
        <v>-1033262.8136877958</v>
      </c>
      <c r="M71" s="835"/>
    </row>
    <row r="72" spans="1:15" ht="15.75">
      <c r="A72" s="843"/>
      <c r="B72" s="839"/>
      <c r="C72" s="839"/>
      <c r="D72" s="839"/>
      <c r="E72" s="839" t="s">
        <v>2161</v>
      </c>
      <c r="F72" s="839"/>
      <c r="G72" s="839"/>
      <c r="H72" s="685"/>
      <c r="I72" s="686"/>
      <c r="J72" s="686">
        <v>0</v>
      </c>
      <c r="K72" s="686"/>
      <c r="L72" s="686">
        <v>0</v>
      </c>
      <c r="M72" s="852"/>
    </row>
    <row r="73" spans="1:15" ht="15.75">
      <c r="A73" s="843"/>
      <c r="B73" s="839"/>
      <c r="C73" s="839"/>
      <c r="D73" s="839"/>
      <c r="E73" s="839"/>
      <c r="F73" s="839"/>
      <c r="G73" s="839"/>
      <c r="H73" s="685"/>
      <c r="I73" s="686"/>
      <c r="J73" s="865">
        <f>J71+J72</f>
        <v>-782807.66828158591</v>
      </c>
      <c r="K73" s="686"/>
      <c r="L73" s="865">
        <f>L71+L72</f>
        <v>-1033262.8136877958</v>
      </c>
      <c r="M73" s="835"/>
    </row>
    <row r="74" spans="1:15" ht="15.75">
      <c r="A74" s="843"/>
      <c r="B74" s="839"/>
      <c r="C74" s="839"/>
      <c r="D74" s="839"/>
      <c r="E74" s="839" t="s">
        <v>2162</v>
      </c>
      <c r="F74" s="839"/>
      <c r="G74" s="839"/>
      <c r="H74" s="685"/>
      <c r="I74" s="686"/>
      <c r="J74" s="915">
        <v>0</v>
      </c>
      <c r="K74" s="686"/>
      <c r="L74" s="915">
        <v>0</v>
      </c>
      <c r="M74" s="916"/>
    </row>
    <row r="75" spans="1:15" ht="15.75">
      <c r="A75" s="843"/>
      <c r="B75" s="838"/>
      <c r="C75" s="838"/>
      <c r="D75" s="839"/>
      <c r="E75" s="838" t="s">
        <v>2163</v>
      </c>
      <c r="F75" s="839"/>
      <c r="G75" s="917"/>
      <c r="H75" s="685"/>
      <c r="I75" s="686"/>
      <c r="J75" s="918">
        <f>J73-J74</f>
        <v>-782807.66828158591</v>
      </c>
      <c r="K75" s="686"/>
      <c r="L75" s="918">
        <f>L73-L74</f>
        <v>-1033262.8136877958</v>
      </c>
      <c r="M75" s="835"/>
    </row>
    <row r="76" spans="1:15" ht="15.75">
      <c r="A76" s="919"/>
      <c r="B76" s="920"/>
      <c r="C76" s="920"/>
      <c r="D76" s="920"/>
      <c r="E76" s="920"/>
      <c r="F76" s="920"/>
      <c r="G76" s="920"/>
      <c r="H76" s="921"/>
      <c r="I76" s="874"/>
      <c r="J76" s="874"/>
      <c r="K76" s="874"/>
      <c r="L76" s="874"/>
      <c r="M76" s="852"/>
    </row>
    <row r="77" spans="1:15" ht="15.75">
      <c r="A77" s="843"/>
      <c r="B77" s="839"/>
      <c r="C77" s="839"/>
      <c r="D77" s="839"/>
      <c r="E77" s="839"/>
      <c r="F77" s="839"/>
      <c r="G77" s="839"/>
      <c r="H77" s="844"/>
      <c r="I77" s="844"/>
      <c r="J77" s="844"/>
      <c r="K77" s="844"/>
      <c r="L77" s="922"/>
      <c r="M77" s="904"/>
    </row>
    <row r="78" spans="1:15" ht="15.75">
      <c r="A78" s="843"/>
      <c r="K78" s="844"/>
      <c r="L78" s="923"/>
      <c r="M78" s="904"/>
    </row>
    <row r="79" spans="1:15" ht="15.75">
      <c r="A79" s="839"/>
      <c r="B79" s="836" t="s">
        <v>2164</v>
      </c>
      <c r="K79" s="839"/>
      <c r="L79" s="924"/>
      <c r="M79" s="924"/>
    </row>
    <row r="80" spans="1:15" ht="15.75">
      <c r="A80" s="839"/>
      <c r="K80" s="839"/>
      <c r="L80" s="924"/>
      <c r="M80" s="924"/>
    </row>
    <row r="81" spans="1:13" ht="15.75">
      <c r="A81" s="839"/>
      <c r="B81" s="2328" t="s">
        <v>9</v>
      </c>
      <c r="C81" s="2329"/>
      <c r="D81" s="2329"/>
      <c r="E81" s="2330"/>
      <c r="F81" s="2324" t="s">
        <v>2165</v>
      </c>
      <c r="G81" s="2318" t="s">
        <v>2166</v>
      </c>
      <c r="H81" s="2320"/>
      <c r="I81" s="2326" t="s">
        <v>1249</v>
      </c>
      <c r="J81" s="2326" t="s">
        <v>1680</v>
      </c>
      <c r="K81" s="839"/>
      <c r="L81" s="924"/>
      <c r="M81" s="924"/>
    </row>
    <row r="82" spans="1:13" ht="15.75">
      <c r="A82" s="839"/>
      <c r="B82" s="2331"/>
      <c r="C82" s="2332"/>
      <c r="D82" s="2332"/>
      <c r="E82" s="2333"/>
      <c r="F82" s="2325"/>
      <c r="G82" s="925" t="s">
        <v>2167</v>
      </c>
      <c r="H82" s="925" t="s">
        <v>2168</v>
      </c>
      <c r="I82" s="2327"/>
      <c r="J82" s="2327"/>
      <c r="K82" s="839"/>
      <c r="L82" s="924"/>
      <c r="M82" s="924"/>
    </row>
    <row r="83" spans="1:13" ht="15.75">
      <c r="A83" s="839"/>
      <c r="B83" s="2321" t="s">
        <v>2169</v>
      </c>
      <c r="C83" s="2322"/>
      <c r="D83" s="2322"/>
      <c r="E83" s="2323"/>
      <c r="F83" s="687">
        <v>0</v>
      </c>
      <c r="G83" s="687">
        <f>+I83-H83</f>
        <v>18395606</v>
      </c>
      <c r="H83" s="687">
        <v>10039411</v>
      </c>
      <c r="I83" s="687">
        <v>28435017</v>
      </c>
      <c r="J83" s="926">
        <f>+I83</f>
        <v>28435017</v>
      </c>
      <c r="K83" s="839"/>
      <c r="L83" s="924"/>
      <c r="M83" s="924"/>
    </row>
    <row r="84" spans="1:13" ht="15.75">
      <c r="A84" s="839"/>
      <c r="B84" s="2321" t="s">
        <v>2170</v>
      </c>
      <c r="C84" s="2322"/>
      <c r="D84" s="2322"/>
      <c r="E84" s="2323"/>
      <c r="F84" s="687">
        <v>0</v>
      </c>
      <c r="G84" s="926">
        <f>+I84-H84</f>
        <v>-11260589</v>
      </c>
      <c r="H84" s="687">
        <v>-10039411</v>
      </c>
      <c r="I84" s="687">
        <v>-21300000</v>
      </c>
      <c r="J84" s="926">
        <f>+J83+I84</f>
        <v>7135017</v>
      </c>
      <c r="K84" s="839"/>
      <c r="L84" s="924"/>
      <c r="M84" s="924"/>
    </row>
    <row r="85" spans="1:13" ht="15.75">
      <c r="A85" s="839"/>
      <c r="B85" s="2318" t="s">
        <v>1680</v>
      </c>
      <c r="C85" s="2319"/>
      <c r="D85" s="2319"/>
      <c r="E85" s="2320"/>
      <c r="F85" s="927">
        <v>0</v>
      </c>
      <c r="G85" s="928">
        <f>+SUM(G83:G84)</f>
        <v>7135017</v>
      </c>
      <c r="H85" s="928">
        <f>+SUM(H83:H84)</f>
        <v>0</v>
      </c>
      <c r="I85" s="870"/>
      <c r="J85" s="870"/>
      <c r="K85" s="839"/>
      <c r="L85" s="924"/>
      <c r="M85" s="924"/>
    </row>
    <row r="86" spans="1:13" ht="15.75">
      <c r="A86" s="839"/>
      <c r="B86" s="2321" t="s">
        <v>2171</v>
      </c>
      <c r="C86" s="2322"/>
      <c r="D86" s="2322"/>
      <c r="E86" s="2323"/>
      <c r="F86" s="687">
        <v>0</v>
      </c>
      <c r="G86" s="687">
        <v>-1635017</v>
      </c>
      <c r="H86" s="687">
        <v>0</v>
      </c>
      <c r="I86" s="687">
        <f>+SUM(G86:H86)</f>
        <v>-1635017</v>
      </c>
      <c r="J86" s="926">
        <f>+J84+I86</f>
        <v>5500000</v>
      </c>
      <c r="K86" s="839"/>
      <c r="L86" s="924"/>
      <c r="M86" s="924"/>
    </row>
    <row r="87" spans="1:13" ht="15.75">
      <c r="A87" s="839"/>
      <c r="B87" s="2321"/>
      <c r="C87" s="2322"/>
      <c r="D87" s="2322"/>
      <c r="E87" s="2323"/>
      <c r="F87" s="870"/>
      <c r="G87" s="870"/>
      <c r="H87" s="870"/>
      <c r="I87" s="870"/>
      <c r="J87" s="870"/>
      <c r="K87" s="839"/>
      <c r="L87" s="924"/>
      <c r="M87" s="924"/>
    </row>
    <row r="88" spans="1:13" ht="15.75">
      <c r="A88" s="839"/>
      <c r="B88" s="839"/>
      <c r="C88" s="839"/>
      <c r="D88" s="839"/>
      <c r="E88" s="839"/>
      <c r="F88" s="839"/>
      <c r="G88" s="839"/>
      <c r="H88" s="839"/>
      <c r="I88" s="839"/>
      <c r="J88" s="839"/>
      <c r="K88" s="839"/>
      <c r="L88" s="924"/>
      <c r="M88" s="924"/>
    </row>
    <row r="89" spans="1:13" ht="15.75">
      <c r="A89" s="839"/>
      <c r="B89" s="836" t="s">
        <v>2164</v>
      </c>
      <c r="K89" s="839"/>
      <c r="L89" s="924"/>
      <c r="M89" s="924"/>
    </row>
    <row r="90" spans="1:13" ht="15.75">
      <c r="A90" s="839"/>
      <c r="K90" s="839"/>
      <c r="L90" s="924"/>
      <c r="M90" s="924"/>
    </row>
    <row r="91" spans="1:13" ht="15.75">
      <c r="A91" s="839"/>
      <c r="B91" s="2328" t="s">
        <v>9</v>
      </c>
      <c r="C91" s="2329"/>
      <c r="D91" s="2329"/>
      <c r="E91" s="2330"/>
      <c r="F91" s="2324" t="s">
        <v>2165</v>
      </c>
      <c r="G91" s="2318" t="s">
        <v>2166</v>
      </c>
      <c r="H91" s="2320"/>
      <c r="I91" s="2326" t="s">
        <v>1249</v>
      </c>
      <c r="J91" s="2326" t="s">
        <v>1680</v>
      </c>
      <c r="K91" s="839"/>
      <c r="L91" s="924"/>
      <c r="M91" s="924"/>
    </row>
    <row r="92" spans="1:13" ht="15.75">
      <c r="A92" s="839"/>
      <c r="B92" s="2331"/>
      <c r="C92" s="2332"/>
      <c r="D92" s="2332"/>
      <c r="E92" s="2333"/>
      <c r="F92" s="2325"/>
      <c r="G92" s="925" t="s">
        <v>2167</v>
      </c>
      <c r="H92" s="925" t="s">
        <v>2168</v>
      </c>
      <c r="I92" s="2327"/>
      <c r="J92" s="2327"/>
      <c r="K92" s="839"/>
      <c r="L92" s="924"/>
      <c r="M92" s="924"/>
    </row>
    <row r="93" spans="1:13" ht="15.75">
      <c r="A93" s="839"/>
      <c r="B93" s="2321" t="s">
        <v>2169</v>
      </c>
      <c r="C93" s="2322"/>
      <c r="D93" s="2322"/>
      <c r="E93" s="2323"/>
      <c r="F93" s="687">
        <v>0</v>
      </c>
      <c r="G93" s="687">
        <f>+I93-H93</f>
        <v>18395606</v>
      </c>
      <c r="H93" s="687">
        <v>10039411</v>
      </c>
      <c r="I93" s="687">
        <v>28435017</v>
      </c>
      <c r="J93" s="926">
        <f>+I93</f>
        <v>28435017</v>
      </c>
      <c r="K93" s="839"/>
      <c r="L93" s="924"/>
      <c r="M93" s="924"/>
    </row>
    <row r="94" spans="1:13" ht="15.75">
      <c r="A94" s="839"/>
      <c r="B94" s="2321" t="s">
        <v>2170</v>
      </c>
      <c r="C94" s="2322"/>
      <c r="D94" s="2322"/>
      <c r="E94" s="2323"/>
      <c r="F94" s="687">
        <v>0</v>
      </c>
      <c r="G94" s="926">
        <f>+I94/I93*G93</f>
        <v>-13779714.209420027</v>
      </c>
      <c r="H94" s="687">
        <f>+I94/I93*H93</f>
        <v>-7520285.7905799747</v>
      </c>
      <c r="I94" s="687">
        <v>-21300000</v>
      </c>
      <c r="J94" s="926">
        <f>+J93+I94</f>
        <v>7135017</v>
      </c>
      <c r="K94" s="839"/>
      <c r="L94" s="924"/>
      <c r="M94" s="924"/>
    </row>
    <row r="95" spans="1:13" ht="15.75">
      <c r="A95" s="839"/>
      <c r="B95" s="2318" t="s">
        <v>1680</v>
      </c>
      <c r="C95" s="2319"/>
      <c r="D95" s="2319"/>
      <c r="E95" s="2320"/>
      <c r="F95" s="927">
        <v>0</v>
      </c>
      <c r="G95" s="928">
        <f>+SUM(G93:G94)</f>
        <v>4615891.7905799728</v>
      </c>
      <c r="H95" s="928">
        <f>+SUM(H93:H94)</f>
        <v>2519125.2094200253</v>
      </c>
      <c r="I95" s="870"/>
      <c r="J95" s="870"/>
      <c r="K95" s="839"/>
      <c r="L95" s="924"/>
      <c r="M95" s="924"/>
    </row>
    <row r="96" spans="1:13" ht="15.75">
      <c r="A96" s="839"/>
      <c r="B96" s="2321" t="s">
        <v>2171</v>
      </c>
      <c r="C96" s="2322"/>
      <c r="D96" s="2322"/>
      <c r="E96" s="2323"/>
      <c r="F96" s="687">
        <v>0</v>
      </c>
      <c r="G96" s="687">
        <f>+I96/I93*G93</f>
        <v>-1057749.623828324</v>
      </c>
      <c r="H96" s="687">
        <f>+I96/I93*H93</f>
        <v>-577267.37617167586</v>
      </c>
      <c r="I96" s="687">
        <v>-1635017</v>
      </c>
      <c r="J96" s="926">
        <f>+J94+I96</f>
        <v>5500000</v>
      </c>
      <c r="K96" s="839"/>
      <c r="L96" s="924"/>
      <c r="M96" s="924"/>
    </row>
    <row r="97" spans="1:13" ht="15.75">
      <c r="A97" s="839"/>
      <c r="B97" s="2321"/>
      <c r="C97" s="2322"/>
      <c r="D97" s="2322"/>
      <c r="E97" s="2323"/>
      <c r="F97" s="870"/>
      <c r="G97" s="926">
        <f>+G95+G96</f>
        <v>3558142.1667516488</v>
      </c>
      <c r="H97" s="926">
        <f>+H95+H96</f>
        <v>1941857.8332483494</v>
      </c>
      <c r="I97" s="870"/>
      <c r="J97" s="870"/>
      <c r="K97" s="839"/>
      <c r="L97" s="924"/>
      <c r="M97" s="924"/>
    </row>
    <row r="98" spans="1:13" ht="15.75">
      <c r="A98" s="839"/>
      <c r="B98" s="839"/>
      <c r="C98" s="839"/>
      <c r="D98" s="839"/>
      <c r="E98" s="839"/>
      <c r="F98" s="839"/>
      <c r="G98" s="839"/>
      <c r="H98" s="839"/>
      <c r="I98" s="839"/>
      <c r="J98" s="839"/>
      <c r="K98" s="839"/>
      <c r="L98" s="924"/>
      <c r="M98" s="924"/>
    </row>
    <row r="99" spans="1:13" ht="15.75">
      <c r="A99" s="839"/>
      <c r="B99" s="839"/>
      <c r="C99" s="839"/>
      <c r="D99" s="839"/>
      <c r="E99" s="839"/>
      <c r="F99" s="839"/>
      <c r="G99" s="839"/>
      <c r="H99" s="839"/>
      <c r="I99" s="839"/>
      <c r="J99" s="839"/>
      <c r="K99" s="839"/>
      <c r="L99" s="924"/>
      <c r="M99" s="924"/>
    </row>
    <row r="100" spans="1:13" ht="15.75">
      <c r="A100" s="839"/>
      <c r="B100" s="839"/>
      <c r="C100" s="839"/>
      <c r="D100" s="839"/>
      <c r="E100" s="839"/>
      <c r="F100" s="839"/>
      <c r="G100" s="839"/>
      <c r="H100" s="839"/>
      <c r="I100" s="839"/>
      <c r="J100" s="839"/>
      <c r="K100" s="839"/>
      <c r="L100" s="924"/>
      <c r="M100" s="924"/>
    </row>
    <row r="101" spans="1:13" ht="15.75">
      <c r="A101" s="839"/>
      <c r="B101" s="839"/>
      <c r="C101" s="839"/>
      <c r="D101" s="839"/>
      <c r="E101" s="839"/>
      <c r="F101" s="839"/>
      <c r="G101" s="839"/>
      <c r="H101" s="839"/>
      <c r="I101" s="839"/>
      <c r="J101" s="839"/>
      <c r="K101" s="839"/>
      <c r="L101" s="924"/>
      <c r="M101" s="924"/>
    </row>
    <row r="102" spans="1:13" ht="15.75">
      <c r="A102" s="839"/>
      <c r="B102" s="839"/>
      <c r="C102" s="839"/>
      <c r="D102" s="839"/>
      <c r="E102" s="839"/>
      <c r="F102" s="839"/>
      <c r="G102" s="839"/>
      <c r="H102" s="839"/>
      <c r="I102" s="839"/>
      <c r="J102" s="839"/>
      <c r="K102" s="839"/>
      <c r="L102" s="924"/>
      <c r="M102" s="924"/>
    </row>
    <row r="103" spans="1:13" ht="15.75">
      <c r="A103" s="839"/>
      <c r="B103" s="839"/>
      <c r="C103" s="839"/>
      <c r="D103" s="839"/>
      <c r="E103" s="839"/>
      <c r="F103" s="839"/>
      <c r="G103" s="839"/>
      <c r="H103" s="839"/>
      <c r="I103" s="839"/>
      <c r="J103" s="839"/>
      <c r="K103" s="839"/>
      <c r="L103" s="924"/>
      <c r="M103" s="924"/>
    </row>
    <row r="104" spans="1:13" ht="15.75">
      <c r="A104" s="839"/>
      <c r="B104" s="839"/>
      <c r="C104" s="839"/>
      <c r="D104" s="839"/>
      <c r="E104" s="839"/>
      <c r="F104" s="839"/>
      <c r="G104" s="839"/>
      <c r="H104" s="839"/>
      <c r="I104" s="839"/>
      <c r="J104" s="839"/>
      <c r="K104" s="839"/>
      <c r="L104" s="924"/>
      <c r="M104" s="924"/>
    </row>
    <row r="105" spans="1:13" ht="15.75">
      <c r="A105" s="839"/>
      <c r="B105" s="839"/>
      <c r="C105" s="839"/>
      <c r="D105" s="839"/>
      <c r="E105" s="839"/>
      <c r="F105" s="839"/>
      <c r="G105" s="839"/>
      <c r="H105" s="844"/>
      <c r="I105" s="844"/>
      <c r="J105" s="844"/>
      <c r="K105" s="844"/>
      <c r="L105" s="929"/>
      <c r="M105" s="929"/>
    </row>
    <row r="106" spans="1:13" ht="15.75">
      <c r="A106" s="930" t="s">
        <v>2172</v>
      </c>
      <c r="B106" s="839"/>
      <c r="C106" s="839"/>
      <c r="D106" s="839"/>
      <c r="E106" s="839"/>
      <c r="F106" s="839"/>
      <c r="G106" s="839"/>
      <c r="H106" s="844"/>
      <c r="I106" s="844"/>
      <c r="J106" s="844"/>
      <c r="K106" s="844"/>
      <c r="L106" s="929"/>
      <c r="M106" s="929"/>
    </row>
    <row r="107" spans="1:13" ht="15.75">
      <c r="A107" s="839"/>
      <c r="B107" s="839"/>
      <c r="C107" s="839"/>
      <c r="D107" s="839"/>
      <c r="E107" s="839"/>
      <c r="F107" s="839"/>
      <c r="G107" s="839"/>
      <c r="H107" s="844"/>
      <c r="I107" s="844"/>
      <c r="J107" s="844"/>
      <c r="K107" s="844"/>
      <c r="L107" s="929"/>
      <c r="M107" s="929"/>
    </row>
    <row r="108" spans="1:13" ht="15.75">
      <c r="A108" s="931" t="s">
        <v>2173</v>
      </c>
      <c r="B108" s="932"/>
      <c r="C108" s="932"/>
      <c r="D108" s="932"/>
      <c r="E108" s="839"/>
      <c r="F108" s="839"/>
      <c r="G108" s="839"/>
      <c r="H108" s="933"/>
      <c r="I108" s="933" t="s">
        <v>2174</v>
      </c>
      <c r="J108" s="934"/>
      <c r="K108" s="934"/>
      <c r="L108" s="929"/>
      <c r="M108" s="929"/>
    </row>
    <row r="109" spans="1:13" ht="15.75">
      <c r="A109" s="838" t="s">
        <v>2175</v>
      </c>
      <c r="B109" s="839"/>
      <c r="C109" s="684"/>
      <c r="D109" s="839"/>
      <c r="E109" s="839"/>
      <c r="F109" s="839"/>
      <c r="G109" s="839"/>
      <c r="H109" s="935"/>
      <c r="I109" s="936" t="s">
        <v>2176</v>
      </c>
      <c r="J109" s="937" t="s">
        <v>2177</v>
      </c>
      <c r="K109" s="938"/>
      <c r="L109" s="929"/>
      <c r="M109" s="929"/>
    </row>
    <row r="110" spans="1:13" ht="15.75">
      <c r="A110" s="838"/>
      <c r="B110" s="839"/>
      <c r="C110" s="684"/>
      <c r="D110" s="839"/>
      <c r="E110" s="839"/>
      <c r="F110" s="839"/>
      <c r="G110" s="839"/>
      <c r="H110" s="935"/>
      <c r="I110" s="939">
        <f>J48</f>
        <v>2725850.1266523208</v>
      </c>
      <c r="J110" s="940">
        <f>J58</f>
        <v>462859.01411776541</v>
      </c>
      <c r="K110" s="941"/>
      <c r="L110" s="929"/>
      <c r="M110" s="929"/>
    </row>
    <row r="111" spans="1:13" ht="15.75">
      <c r="A111" s="839" t="s">
        <v>2178</v>
      </c>
      <c r="B111" s="839"/>
      <c r="C111" s="684">
        <f>'[70]Balance Sheet'!F28</f>
        <v>0</v>
      </c>
      <c r="D111" s="839"/>
      <c r="E111" s="839"/>
      <c r="F111" s="839"/>
      <c r="G111" s="839"/>
      <c r="H111" s="942" t="s">
        <v>2179</v>
      </c>
      <c r="I111" s="939">
        <f>I110*7%</f>
        <v>190809.50886566247</v>
      </c>
      <c r="J111" s="940">
        <f>J110*7%</f>
        <v>32400.130988243582</v>
      </c>
      <c r="K111" s="941"/>
      <c r="L111" s="929"/>
      <c r="M111" s="929"/>
    </row>
    <row r="112" spans="1:13" ht="15.75">
      <c r="A112" s="839" t="s">
        <v>2180</v>
      </c>
      <c r="B112" s="839"/>
      <c r="C112" s="684">
        <f>'[70]Balance Sheet'!F29</f>
        <v>26922650</v>
      </c>
      <c r="D112" s="839"/>
      <c r="E112" s="839"/>
      <c r="F112" s="839"/>
      <c r="G112" s="839"/>
      <c r="H112" s="942" t="s">
        <v>2181</v>
      </c>
      <c r="I112" s="943">
        <f>SUM(I110:I111)*3%</f>
        <v>87499.789065539488</v>
      </c>
      <c r="J112" s="944">
        <f>SUM(J110:J111)*3%</f>
        <v>14857.774353180268</v>
      </c>
      <c r="K112" s="941"/>
      <c r="L112" s="929"/>
      <c r="M112" s="929"/>
    </row>
    <row r="113" spans="1:13" ht="15.75">
      <c r="A113" s="839" t="s">
        <v>2182</v>
      </c>
      <c r="B113" s="839"/>
      <c r="C113" s="684">
        <f>'[70]Balance Sheet'!F33</f>
        <v>26922640</v>
      </c>
      <c r="D113" s="945">
        <f>C111+C112+C113</f>
        <v>53845290</v>
      </c>
      <c r="E113" s="839"/>
      <c r="F113" s="839"/>
      <c r="G113" s="839"/>
      <c r="H113" s="935"/>
      <c r="I113" s="939">
        <f>SUM(I110:I112)</f>
        <v>3004159.4245835226</v>
      </c>
      <c r="J113" s="940">
        <f>SUM(J110:J112)</f>
        <v>510116.91945918923</v>
      </c>
      <c r="K113" s="946">
        <f>J113-I113</f>
        <v>-2494042.5051243333</v>
      </c>
      <c r="L113" s="929"/>
      <c r="M113" s="929"/>
    </row>
    <row r="114" spans="1:13" ht="15.75">
      <c r="A114" s="839" t="s">
        <v>2183</v>
      </c>
      <c r="B114" s="839"/>
      <c r="C114" s="839"/>
      <c r="D114" s="839"/>
      <c r="E114" s="839"/>
      <c r="F114" s="839"/>
      <c r="G114" s="839"/>
      <c r="H114" s="935"/>
      <c r="I114" s="947"/>
      <c r="J114" s="948"/>
      <c r="K114" s="949"/>
      <c r="L114" s="929"/>
      <c r="M114" s="929"/>
    </row>
    <row r="115" spans="1:13" ht="15.75">
      <c r="A115" s="839"/>
      <c r="B115" s="839"/>
      <c r="C115" s="839"/>
      <c r="D115" s="839"/>
      <c r="E115" s="839"/>
      <c r="F115" s="839"/>
      <c r="G115" s="839"/>
      <c r="H115" s="844"/>
      <c r="I115" s="844"/>
      <c r="J115" s="844"/>
      <c r="K115" s="844"/>
      <c r="L115" s="929"/>
      <c r="M115" s="929"/>
    </row>
    <row r="116" spans="1:13" ht="15.75">
      <c r="A116" s="839"/>
      <c r="B116" s="839"/>
      <c r="C116" s="839"/>
      <c r="D116" s="839"/>
      <c r="E116" s="839"/>
      <c r="F116" s="839"/>
      <c r="G116" s="839"/>
      <c r="H116" s="844"/>
      <c r="I116" s="844"/>
      <c r="J116" s="844"/>
      <c r="K116" s="844"/>
      <c r="L116" s="929"/>
      <c r="M116" s="929"/>
    </row>
    <row r="117" spans="1:13" ht="15.75">
      <c r="A117" s="839" t="s">
        <v>2184</v>
      </c>
      <c r="B117" s="839"/>
      <c r="C117" s="839">
        <v>0</v>
      </c>
      <c r="D117" s="839">
        <f>C117</f>
        <v>0</v>
      </c>
      <c r="E117" s="839"/>
      <c r="F117" s="839"/>
      <c r="G117" s="839"/>
      <c r="H117" s="844"/>
      <c r="I117" s="844"/>
      <c r="J117" s="844"/>
      <c r="K117" s="844"/>
      <c r="L117" s="929"/>
      <c r="M117" s="929"/>
    </row>
    <row r="118" spans="1:13" ht="15.75">
      <c r="A118" s="839"/>
      <c r="B118" s="839"/>
      <c r="C118" s="839"/>
      <c r="D118" s="684">
        <f>D113-D117</f>
        <v>53845290</v>
      </c>
      <c r="E118" s="839"/>
      <c r="F118" s="839"/>
      <c r="G118" s="839"/>
      <c r="H118" s="844"/>
      <c r="I118" s="844"/>
      <c r="J118" s="844"/>
      <c r="K118" s="844"/>
      <c r="L118" s="929"/>
      <c r="M118" s="929"/>
    </row>
    <row r="119" spans="1:13" ht="15.75">
      <c r="A119" s="839"/>
      <c r="B119" s="839"/>
      <c r="C119" s="839"/>
      <c r="D119" s="839"/>
      <c r="E119" s="839"/>
      <c r="F119" s="839"/>
      <c r="G119" s="839"/>
      <c r="H119" s="844"/>
      <c r="I119" s="844"/>
      <c r="J119" s="844"/>
      <c r="K119" s="844"/>
      <c r="L119" s="929"/>
      <c r="M119" s="929"/>
    </row>
    <row r="120" spans="1:13" ht="15.75">
      <c r="A120" s="839" t="s">
        <v>2185</v>
      </c>
      <c r="B120" s="839"/>
      <c r="C120" s="839"/>
      <c r="D120" s="839"/>
      <c r="E120" s="839"/>
      <c r="F120" s="839"/>
      <c r="G120" s="839"/>
      <c r="H120" s="844"/>
      <c r="I120" s="844"/>
      <c r="J120" s="844"/>
      <c r="K120" s="844"/>
      <c r="L120" s="929"/>
      <c r="M120" s="929"/>
    </row>
    <row r="121" spans="1:13" ht="15.75">
      <c r="A121" s="838" t="s">
        <v>2186</v>
      </c>
      <c r="B121" s="839"/>
      <c r="C121" s="839"/>
      <c r="D121" s="950" t="s">
        <v>2187</v>
      </c>
      <c r="E121" s="951"/>
      <c r="F121" s="952" t="s">
        <v>2188</v>
      </c>
      <c r="G121" s="952" t="s">
        <v>2189</v>
      </c>
      <c r="H121" s="844"/>
      <c r="I121" s="844"/>
      <c r="J121" s="844"/>
      <c r="K121" s="844"/>
      <c r="L121" s="929"/>
      <c r="M121" s="929"/>
    </row>
    <row r="122" spans="1:13" ht="15.75">
      <c r="A122" s="953">
        <v>50000000</v>
      </c>
      <c r="B122" s="684">
        <v>1000000000</v>
      </c>
      <c r="C122" s="839"/>
      <c r="D122" s="954"/>
      <c r="E122" s="955"/>
      <c r="F122" s="956"/>
      <c r="G122" s="957"/>
      <c r="H122" s="844"/>
      <c r="I122" s="844"/>
      <c r="J122" s="844"/>
      <c r="K122" s="844"/>
      <c r="L122" s="929"/>
      <c r="M122" s="929"/>
    </row>
    <row r="123" spans="1:13" ht="15.75">
      <c r="A123" s="839"/>
      <c r="B123" s="684"/>
      <c r="C123" s="839"/>
      <c r="D123" s="958">
        <f>4200000</f>
        <v>4200000</v>
      </c>
      <c r="E123" s="959"/>
      <c r="F123" s="960">
        <v>2040000</v>
      </c>
      <c r="G123" s="961">
        <f>D123-F123</f>
        <v>2160000</v>
      </c>
      <c r="H123" s="844"/>
      <c r="I123" s="844"/>
      <c r="J123" s="844"/>
      <c r="K123" s="844"/>
      <c r="L123" s="929"/>
      <c r="M123" s="929"/>
    </row>
  </sheetData>
  <mergeCells count="25">
    <mergeCell ref="B81:E82"/>
    <mergeCell ref="F81:F82"/>
    <mergeCell ref="G81:H81"/>
    <mergeCell ref="I81:I82"/>
    <mergeCell ref="J81:J82"/>
    <mergeCell ref="A11:L11"/>
    <mergeCell ref="I12:J12"/>
    <mergeCell ref="K12:L12"/>
    <mergeCell ref="I13:J13"/>
    <mergeCell ref="A51:H51"/>
    <mergeCell ref="I91:I92"/>
    <mergeCell ref="J91:J92"/>
    <mergeCell ref="B93:E93"/>
    <mergeCell ref="B94:E94"/>
    <mergeCell ref="B83:E83"/>
    <mergeCell ref="B84:E84"/>
    <mergeCell ref="B85:E85"/>
    <mergeCell ref="B86:E86"/>
    <mergeCell ref="B87:E87"/>
    <mergeCell ref="B91:E92"/>
    <mergeCell ref="B95:E95"/>
    <mergeCell ref="B96:E96"/>
    <mergeCell ref="B97:E97"/>
    <mergeCell ref="F91:F92"/>
    <mergeCell ref="G91:H91"/>
  </mergeCells>
  <pageMargins left="0.7" right="0.7" top="0.75" bottom="0.75" header="0.3" footer="0.3"/>
  <pageSetup scale="39" orientation="portrait" r:id="rId1"/>
  <rowBreaks count="1" manualBreakCount="1">
    <brk id="76"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3:H962"/>
  <sheetViews>
    <sheetView view="pageBreakPreview" topLeftCell="A790" zoomScale="60" zoomScaleNormal="100" workbookViewId="0">
      <selection activeCell="D810" sqref="D810"/>
    </sheetView>
  </sheetViews>
  <sheetFormatPr defaultRowHeight="15"/>
  <cols>
    <col min="1" max="1" width="19.7109375" bestFit="1" customWidth="1"/>
    <col min="2" max="2" width="58" customWidth="1"/>
    <col min="3" max="3" width="54" customWidth="1"/>
    <col min="4" max="4" width="71.28515625" customWidth="1"/>
    <col min="5" max="8" width="18" bestFit="1" customWidth="1"/>
  </cols>
  <sheetData>
    <row r="3" spans="1:8" s="14" customFormat="1" ht="31.9" customHeight="1">
      <c r="A3" s="13" t="s">
        <v>967</v>
      </c>
      <c r="B3" s="13" t="s">
        <v>404</v>
      </c>
      <c r="C3" s="13" t="s">
        <v>405</v>
      </c>
      <c r="D3" s="13" t="s">
        <v>402</v>
      </c>
      <c r="E3" s="14" t="s">
        <v>1063</v>
      </c>
      <c r="F3" s="14" t="s">
        <v>1064</v>
      </c>
      <c r="G3" s="14" t="s">
        <v>969</v>
      </c>
      <c r="H3" s="14" t="s">
        <v>970</v>
      </c>
    </row>
    <row r="4" spans="1:8">
      <c r="A4" s="12">
        <v>2</v>
      </c>
      <c r="B4" s="12" t="s">
        <v>1072</v>
      </c>
      <c r="C4" s="12" t="s">
        <v>953</v>
      </c>
      <c r="D4" s="12" t="s">
        <v>249</v>
      </c>
      <c r="E4" s="11">
        <v>2070258</v>
      </c>
      <c r="F4" s="11">
        <v>0</v>
      </c>
      <c r="G4" s="11"/>
      <c r="H4" s="11"/>
    </row>
    <row r="5" spans="1:8">
      <c r="D5" s="12" t="s">
        <v>248</v>
      </c>
      <c r="E5" s="11">
        <v>153050</v>
      </c>
      <c r="F5" s="11">
        <v>0</v>
      </c>
      <c r="G5" s="11"/>
      <c r="H5" s="11"/>
    </row>
    <row r="6" spans="1:8">
      <c r="D6" s="12" t="s">
        <v>247</v>
      </c>
      <c r="E6" s="11">
        <v>711000</v>
      </c>
      <c r="F6" s="11">
        <v>0</v>
      </c>
      <c r="G6" s="11"/>
      <c r="H6" s="11"/>
    </row>
    <row r="7" spans="1:8">
      <c r="D7" s="12" t="s">
        <v>250</v>
      </c>
      <c r="E7" s="11">
        <v>27003</v>
      </c>
      <c r="F7" s="11">
        <v>0</v>
      </c>
      <c r="G7" s="11"/>
      <c r="H7" s="11"/>
    </row>
    <row r="8" spans="1:8">
      <c r="D8" s="12" t="s">
        <v>398</v>
      </c>
      <c r="E8" s="11">
        <v>16722713</v>
      </c>
      <c r="F8" s="11">
        <v>0</v>
      </c>
      <c r="G8" s="11"/>
      <c r="H8" s="11"/>
    </row>
    <row r="9" spans="1:8">
      <c r="D9" s="12" t="s">
        <v>395</v>
      </c>
      <c r="E9" s="11">
        <v>1138497.31</v>
      </c>
      <c r="F9" s="11">
        <v>0</v>
      </c>
      <c r="G9" s="11">
        <v>133008</v>
      </c>
      <c r="H9" s="11">
        <v>0</v>
      </c>
    </row>
    <row r="10" spans="1:8">
      <c r="D10" s="12" t="s">
        <v>396</v>
      </c>
      <c r="E10" s="11">
        <v>4115523</v>
      </c>
      <c r="F10" s="11">
        <v>0</v>
      </c>
      <c r="G10" s="11"/>
      <c r="H10" s="11"/>
    </row>
    <row r="11" spans="1:8">
      <c r="D11" s="12" t="s">
        <v>397</v>
      </c>
      <c r="E11" s="11">
        <v>15442705.91</v>
      </c>
      <c r="F11" s="11">
        <v>0</v>
      </c>
      <c r="G11" s="11">
        <v>180000</v>
      </c>
      <c r="H11" s="11">
        <v>0</v>
      </c>
    </row>
    <row r="12" spans="1:8">
      <c r="C12" s="12" t="s">
        <v>1029</v>
      </c>
      <c r="D12" s="230"/>
      <c r="E12" s="11">
        <v>40380750.219999999</v>
      </c>
      <c r="F12" s="11">
        <v>0</v>
      </c>
      <c r="G12" s="11">
        <v>313008</v>
      </c>
      <c r="H12" s="11">
        <v>0</v>
      </c>
    </row>
    <row r="13" spans="1:8">
      <c r="C13" s="12" t="s">
        <v>522</v>
      </c>
      <c r="D13" s="12" t="s">
        <v>521</v>
      </c>
      <c r="E13" s="11">
        <v>61286378.619999997</v>
      </c>
      <c r="F13" s="11">
        <v>0</v>
      </c>
      <c r="G13" s="11">
        <v>58923230.630000003</v>
      </c>
      <c r="H13" s="11">
        <v>0</v>
      </c>
    </row>
    <row r="14" spans="1:8">
      <c r="D14" s="12" t="s">
        <v>50</v>
      </c>
      <c r="E14" s="11">
        <v>0</v>
      </c>
      <c r="F14" s="11">
        <v>0</v>
      </c>
      <c r="G14" s="11">
        <v>0</v>
      </c>
      <c r="H14" s="11">
        <v>0</v>
      </c>
    </row>
    <row r="15" spans="1:8">
      <c r="D15" s="12" t="s">
        <v>67</v>
      </c>
      <c r="E15" s="11">
        <v>868635.7</v>
      </c>
      <c r="F15" s="11">
        <v>0</v>
      </c>
      <c r="G15" s="11">
        <v>744525.7</v>
      </c>
      <c r="H15" s="11">
        <v>0</v>
      </c>
    </row>
    <row r="16" spans="1:8">
      <c r="D16" s="12" t="s">
        <v>108</v>
      </c>
      <c r="E16" s="11">
        <v>26458587.010000002</v>
      </c>
      <c r="F16" s="11">
        <v>0</v>
      </c>
      <c r="G16" s="11">
        <v>26188107.010000002</v>
      </c>
      <c r="H16" s="11">
        <v>0</v>
      </c>
    </row>
    <row r="17" spans="3:8">
      <c r="D17" s="12" t="s">
        <v>523</v>
      </c>
      <c r="E17" s="11">
        <v>0</v>
      </c>
      <c r="F17" s="11">
        <v>0</v>
      </c>
      <c r="G17" s="11">
        <v>0</v>
      </c>
      <c r="H17" s="11">
        <v>0</v>
      </c>
    </row>
    <row r="18" spans="3:8">
      <c r="D18" s="12" t="s">
        <v>128</v>
      </c>
      <c r="E18" s="11">
        <v>33965000</v>
      </c>
      <c r="F18" s="11">
        <v>0</v>
      </c>
      <c r="G18" s="11">
        <v>33965000</v>
      </c>
      <c r="H18" s="11">
        <v>0</v>
      </c>
    </row>
    <row r="19" spans="3:8">
      <c r="D19" s="12" t="s">
        <v>130</v>
      </c>
      <c r="E19" s="11">
        <v>1344196.03</v>
      </c>
      <c r="F19" s="11">
        <v>0</v>
      </c>
      <c r="G19" s="11">
        <v>1330213.03</v>
      </c>
      <c r="H19" s="11">
        <v>0</v>
      </c>
    </row>
    <row r="20" spans="3:8">
      <c r="D20" s="12" t="s">
        <v>217</v>
      </c>
      <c r="E20" s="11">
        <v>1123742.8799999999</v>
      </c>
      <c r="F20" s="11">
        <v>0</v>
      </c>
      <c r="G20" s="11">
        <v>1024059.47</v>
      </c>
      <c r="H20" s="11">
        <v>0</v>
      </c>
    </row>
    <row r="21" spans="3:8">
      <c r="D21" s="12" t="s">
        <v>240</v>
      </c>
      <c r="E21" s="11">
        <v>222104414.13999999</v>
      </c>
      <c r="F21" s="11">
        <v>0</v>
      </c>
      <c r="G21" s="11">
        <v>215300342.28</v>
      </c>
      <c r="H21" s="11">
        <v>0</v>
      </c>
    </row>
    <row r="22" spans="3:8">
      <c r="D22" s="12" t="s">
        <v>384</v>
      </c>
      <c r="E22" s="11">
        <v>2991111</v>
      </c>
      <c r="F22" s="11">
        <v>0</v>
      </c>
      <c r="G22" s="11">
        <v>2991111</v>
      </c>
      <c r="H22" s="11">
        <v>0</v>
      </c>
    </row>
    <row r="23" spans="3:8">
      <c r="C23" s="12" t="s">
        <v>1030</v>
      </c>
      <c r="D23" s="230"/>
      <c r="E23" s="11">
        <v>350142065.38</v>
      </c>
      <c r="F23" s="11">
        <v>0</v>
      </c>
      <c r="G23" s="11">
        <v>340466589.12</v>
      </c>
      <c r="H23" s="11">
        <v>0</v>
      </c>
    </row>
    <row r="24" spans="3:8">
      <c r="C24" s="12" t="s">
        <v>790</v>
      </c>
      <c r="D24" s="12" t="s">
        <v>258</v>
      </c>
      <c r="E24" s="11">
        <v>0</v>
      </c>
      <c r="F24" s="11">
        <v>7064285</v>
      </c>
      <c r="G24" s="11">
        <v>0</v>
      </c>
      <c r="H24" s="11">
        <v>5155701</v>
      </c>
    </row>
    <row r="25" spans="3:8">
      <c r="D25" s="12" t="s">
        <v>791</v>
      </c>
      <c r="E25" s="11">
        <v>0</v>
      </c>
      <c r="F25" s="11">
        <v>730456</v>
      </c>
      <c r="G25" s="11">
        <v>0</v>
      </c>
      <c r="H25" s="11">
        <v>688913</v>
      </c>
    </row>
    <row r="26" spans="3:8">
      <c r="D26" s="12" t="s">
        <v>792</v>
      </c>
      <c r="E26" s="11">
        <v>0</v>
      </c>
      <c r="F26" s="11">
        <v>18195794</v>
      </c>
      <c r="G26" s="11">
        <v>0</v>
      </c>
      <c r="H26" s="11">
        <v>16345551</v>
      </c>
    </row>
    <row r="27" spans="3:8">
      <c r="D27" s="12" t="s">
        <v>261</v>
      </c>
      <c r="E27" s="11">
        <v>0</v>
      </c>
      <c r="F27" s="11">
        <v>379192</v>
      </c>
      <c r="G27" s="11">
        <v>0</v>
      </c>
      <c r="H27" s="11">
        <v>379192</v>
      </c>
    </row>
    <row r="28" spans="3:8">
      <c r="D28" s="12" t="s">
        <v>793</v>
      </c>
      <c r="E28" s="11">
        <v>0</v>
      </c>
      <c r="F28" s="11">
        <v>1062735</v>
      </c>
      <c r="G28" s="11">
        <v>0</v>
      </c>
      <c r="H28" s="11">
        <v>1014019</v>
      </c>
    </row>
    <row r="29" spans="3:8">
      <c r="D29" s="12" t="s">
        <v>794</v>
      </c>
      <c r="E29" s="11">
        <v>0</v>
      </c>
      <c r="F29" s="11">
        <v>712545</v>
      </c>
      <c r="G29" s="11">
        <v>0</v>
      </c>
      <c r="H29" s="11">
        <v>598548</v>
      </c>
    </row>
    <row r="30" spans="3:8">
      <c r="D30" s="12" t="s">
        <v>795</v>
      </c>
      <c r="E30" s="11">
        <v>0</v>
      </c>
      <c r="F30" s="11">
        <v>113124922</v>
      </c>
      <c r="G30" s="11">
        <v>0</v>
      </c>
      <c r="H30" s="11">
        <v>99496148</v>
      </c>
    </row>
    <row r="31" spans="3:8">
      <c r="D31" s="12" t="s">
        <v>796</v>
      </c>
      <c r="E31" s="11">
        <v>0</v>
      </c>
      <c r="F31" s="11">
        <v>927869</v>
      </c>
      <c r="G31" s="11">
        <v>0</v>
      </c>
      <c r="H31" s="11">
        <v>558720</v>
      </c>
    </row>
    <row r="32" spans="3:8">
      <c r="C32" s="12" t="s">
        <v>1031</v>
      </c>
      <c r="D32" s="230"/>
      <c r="E32" s="11">
        <v>0</v>
      </c>
      <c r="F32" s="11">
        <v>142197798</v>
      </c>
      <c r="G32" s="11">
        <v>0</v>
      </c>
      <c r="H32" s="11">
        <v>124236792</v>
      </c>
    </row>
    <row r="33" spans="1:8">
      <c r="B33" s="12" t="s">
        <v>1572</v>
      </c>
      <c r="C33" s="230"/>
      <c r="D33" s="230"/>
      <c r="E33" s="11">
        <v>390522815.60000002</v>
      </c>
      <c r="F33" s="11">
        <v>142197798</v>
      </c>
      <c r="G33" s="11">
        <v>340779597.12</v>
      </c>
      <c r="H33" s="11">
        <v>124236792</v>
      </c>
    </row>
    <row r="34" spans="1:8">
      <c r="A34" s="12" t="s">
        <v>990</v>
      </c>
      <c r="B34" s="230"/>
      <c r="C34" s="230"/>
      <c r="D34" s="230"/>
      <c r="E34" s="11">
        <v>390522815.60000002</v>
      </c>
      <c r="F34" s="11">
        <v>142197798</v>
      </c>
      <c r="G34" s="11">
        <v>340779597.12</v>
      </c>
      <c r="H34" s="11">
        <v>124236792</v>
      </c>
    </row>
    <row r="35" spans="1:8">
      <c r="A35" s="12">
        <v>3</v>
      </c>
      <c r="B35" s="12" t="s">
        <v>1549</v>
      </c>
      <c r="C35" s="12" t="s">
        <v>603</v>
      </c>
      <c r="D35" s="12" t="s">
        <v>601</v>
      </c>
      <c r="E35" s="11">
        <v>0</v>
      </c>
      <c r="F35" s="11">
        <v>0</v>
      </c>
      <c r="G35" s="11">
        <v>0</v>
      </c>
      <c r="H35" s="11">
        <v>0</v>
      </c>
    </row>
    <row r="36" spans="1:8">
      <c r="D36" s="12" t="s">
        <v>88</v>
      </c>
      <c r="E36" s="11">
        <v>215314.61</v>
      </c>
      <c r="F36" s="11">
        <v>0</v>
      </c>
      <c r="G36" s="11">
        <v>206250</v>
      </c>
      <c r="H36" s="11">
        <v>0</v>
      </c>
    </row>
    <row r="37" spans="1:8">
      <c r="D37" s="12" t="s">
        <v>89</v>
      </c>
      <c r="E37" s="11">
        <v>150294</v>
      </c>
      <c r="F37" s="11">
        <v>0</v>
      </c>
      <c r="G37" s="11">
        <v>125000</v>
      </c>
      <c r="H37" s="11">
        <v>0</v>
      </c>
    </row>
    <row r="38" spans="1:8">
      <c r="D38" s="12" t="s">
        <v>608</v>
      </c>
      <c r="E38" s="11">
        <v>0</v>
      </c>
      <c r="F38" s="11">
        <v>0</v>
      </c>
      <c r="G38" s="11">
        <v>0</v>
      </c>
      <c r="H38" s="11">
        <v>0</v>
      </c>
    </row>
    <row r="39" spans="1:8">
      <c r="D39" s="12" t="s">
        <v>124</v>
      </c>
      <c r="E39" s="11">
        <v>250000</v>
      </c>
      <c r="F39" s="11">
        <v>0</v>
      </c>
      <c r="G39" s="11"/>
      <c r="H39" s="11"/>
    </row>
    <row r="40" spans="1:8">
      <c r="D40" s="12" t="s">
        <v>641</v>
      </c>
      <c r="E40" s="11">
        <v>0</v>
      </c>
      <c r="F40" s="11">
        <v>0</v>
      </c>
      <c r="G40" s="11">
        <v>0</v>
      </c>
      <c r="H40" s="11">
        <v>0</v>
      </c>
    </row>
    <row r="41" spans="1:8">
      <c r="D41" s="12" t="s">
        <v>642</v>
      </c>
      <c r="E41" s="11">
        <v>0</v>
      </c>
      <c r="F41" s="11">
        <v>0</v>
      </c>
      <c r="G41" s="11">
        <v>0</v>
      </c>
      <c r="H41" s="11">
        <v>0</v>
      </c>
    </row>
    <row r="42" spans="1:8">
      <c r="D42" s="12" t="s">
        <v>125</v>
      </c>
      <c r="E42" s="11">
        <v>1767870</v>
      </c>
      <c r="F42" s="11">
        <v>0</v>
      </c>
      <c r="G42" s="11">
        <v>1654054</v>
      </c>
      <c r="H42" s="11">
        <v>0</v>
      </c>
    </row>
    <row r="43" spans="1:8">
      <c r="D43" s="12" t="s">
        <v>783</v>
      </c>
      <c r="E43" s="11">
        <v>0</v>
      </c>
      <c r="F43" s="11">
        <v>0</v>
      </c>
      <c r="G43" s="11">
        <v>0</v>
      </c>
      <c r="H43" s="11">
        <v>0</v>
      </c>
    </row>
    <row r="44" spans="1:8">
      <c r="C44" s="12" t="s">
        <v>1038</v>
      </c>
      <c r="D44" s="230"/>
      <c r="E44" s="11">
        <v>2383478.61</v>
      </c>
      <c r="F44" s="11">
        <v>0</v>
      </c>
      <c r="G44" s="11">
        <v>1985304</v>
      </c>
      <c r="H44" s="11">
        <v>0</v>
      </c>
    </row>
    <row r="45" spans="1:8">
      <c r="B45" s="12" t="s">
        <v>1573</v>
      </c>
      <c r="C45" s="230"/>
      <c r="D45" s="230"/>
      <c r="E45" s="11">
        <v>2383478.61</v>
      </c>
      <c r="F45" s="11">
        <v>0</v>
      </c>
      <c r="G45" s="11">
        <v>1985304</v>
      </c>
      <c r="H45" s="11">
        <v>0</v>
      </c>
    </row>
    <row r="46" spans="1:8">
      <c r="A46" s="12" t="s">
        <v>991</v>
      </c>
      <c r="B46" s="230"/>
      <c r="C46" s="230"/>
      <c r="D46" s="230"/>
      <c r="E46" s="11">
        <v>2383478.61</v>
      </c>
      <c r="F46" s="11">
        <v>0</v>
      </c>
      <c r="G46" s="11">
        <v>1985304</v>
      </c>
      <c r="H46" s="11">
        <v>0</v>
      </c>
    </row>
    <row r="47" spans="1:8">
      <c r="A47" s="12">
        <v>4</v>
      </c>
      <c r="B47" s="12" t="s">
        <v>1547</v>
      </c>
      <c r="C47" s="12" t="s">
        <v>958</v>
      </c>
      <c r="D47" s="12" t="s">
        <v>14</v>
      </c>
      <c r="E47" s="11">
        <v>1000000</v>
      </c>
      <c r="F47" s="11">
        <v>0</v>
      </c>
      <c r="G47" s="11"/>
      <c r="H47" s="11"/>
    </row>
    <row r="48" spans="1:8">
      <c r="D48" s="12" t="s">
        <v>60</v>
      </c>
      <c r="E48" s="11">
        <v>1031300</v>
      </c>
      <c r="F48" s="11">
        <v>0</v>
      </c>
      <c r="G48" s="11"/>
      <c r="H48" s="11"/>
    </row>
    <row r="49" spans="3:8">
      <c r="D49" s="12" t="s">
        <v>133</v>
      </c>
      <c r="E49" s="11">
        <v>927610</v>
      </c>
      <c r="F49" s="11">
        <v>0</v>
      </c>
      <c r="G49" s="11"/>
      <c r="H49" s="11"/>
    </row>
    <row r="50" spans="3:8">
      <c r="D50" s="12" t="s">
        <v>138</v>
      </c>
      <c r="E50" s="11">
        <v>1200000</v>
      </c>
      <c r="F50" s="11">
        <v>0</v>
      </c>
      <c r="G50" s="11"/>
      <c r="H50" s="11"/>
    </row>
    <row r="51" spans="3:8">
      <c r="D51" s="12" t="s">
        <v>143</v>
      </c>
      <c r="E51" s="11">
        <v>300000</v>
      </c>
      <c r="F51" s="11">
        <v>0</v>
      </c>
      <c r="G51" s="11"/>
      <c r="H51" s="11"/>
    </row>
    <row r="52" spans="3:8">
      <c r="D52" s="12" t="s">
        <v>151</v>
      </c>
      <c r="E52" s="11">
        <v>200000</v>
      </c>
      <c r="F52" s="11">
        <v>0</v>
      </c>
      <c r="G52" s="11"/>
      <c r="H52" s="11"/>
    </row>
    <row r="53" spans="3:8">
      <c r="D53" s="12" t="s">
        <v>184</v>
      </c>
      <c r="E53" s="11">
        <v>4945556</v>
      </c>
      <c r="F53" s="11">
        <v>0</v>
      </c>
      <c r="G53" s="11">
        <v>2745000</v>
      </c>
      <c r="H53" s="11">
        <v>0</v>
      </c>
    </row>
    <row r="54" spans="3:8">
      <c r="D54" s="12" t="s">
        <v>210</v>
      </c>
      <c r="E54" s="11">
        <v>1389464</v>
      </c>
      <c r="F54" s="11">
        <v>0</v>
      </c>
      <c r="G54" s="11">
        <v>0</v>
      </c>
      <c r="H54" s="11">
        <v>0</v>
      </c>
    </row>
    <row r="55" spans="3:8">
      <c r="D55" s="12" t="s">
        <v>341</v>
      </c>
      <c r="E55" s="11">
        <v>2100000</v>
      </c>
      <c r="F55" s="11">
        <v>0</v>
      </c>
      <c r="G55" s="11"/>
      <c r="H55" s="11"/>
    </row>
    <row r="56" spans="3:8">
      <c r="D56" s="12" t="s">
        <v>356</v>
      </c>
      <c r="E56" s="11">
        <v>700000</v>
      </c>
      <c r="F56" s="11">
        <v>0</v>
      </c>
      <c r="G56" s="11">
        <v>0</v>
      </c>
      <c r="H56" s="11">
        <v>0</v>
      </c>
    </row>
    <row r="57" spans="3:8">
      <c r="D57" s="12" t="s">
        <v>960</v>
      </c>
      <c r="E57" s="11">
        <v>0</v>
      </c>
      <c r="F57" s="11">
        <v>0</v>
      </c>
      <c r="G57" s="11">
        <v>0</v>
      </c>
      <c r="H57" s="11">
        <v>0</v>
      </c>
    </row>
    <row r="58" spans="3:8">
      <c r="C58" s="12" t="s">
        <v>1021</v>
      </c>
      <c r="D58" s="230"/>
      <c r="E58" s="11">
        <v>13793930</v>
      </c>
      <c r="F58" s="11">
        <v>0</v>
      </c>
      <c r="G58" s="11">
        <v>2745000</v>
      </c>
      <c r="H58" s="11">
        <v>0</v>
      </c>
    </row>
    <row r="59" spans="3:8">
      <c r="C59" s="12" t="s">
        <v>590</v>
      </c>
      <c r="D59" s="12" t="s">
        <v>589</v>
      </c>
      <c r="E59" s="11">
        <v>0</v>
      </c>
      <c r="F59" s="11">
        <v>0</v>
      </c>
      <c r="G59" s="11">
        <v>0</v>
      </c>
      <c r="H59" s="11">
        <v>0</v>
      </c>
    </row>
    <row r="60" spans="3:8">
      <c r="D60" s="12" t="s">
        <v>272</v>
      </c>
      <c r="E60" s="11">
        <v>16866441</v>
      </c>
      <c r="F60" s="11">
        <v>0</v>
      </c>
      <c r="G60" s="11">
        <v>15450441</v>
      </c>
      <c r="H60" s="11">
        <v>0</v>
      </c>
    </row>
    <row r="61" spans="3:8">
      <c r="D61" s="12" t="s">
        <v>940</v>
      </c>
      <c r="E61" s="11">
        <v>0</v>
      </c>
      <c r="F61" s="11">
        <v>0</v>
      </c>
      <c r="G61" s="11">
        <v>0</v>
      </c>
      <c r="H61" s="11">
        <v>0</v>
      </c>
    </row>
    <row r="62" spans="3:8">
      <c r="D62" s="12" t="s">
        <v>941</v>
      </c>
      <c r="E62" s="11">
        <v>0</v>
      </c>
      <c r="F62" s="11">
        <v>0</v>
      </c>
      <c r="G62" s="11">
        <v>0</v>
      </c>
      <c r="H62" s="11">
        <v>0</v>
      </c>
    </row>
    <row r="63" spans="3:8">
      <c r="D63" s="12" t="s">
        <v>942</v>
      </c>
      <c r="E63" s="11">
        <v>0</v>
      </c>
      <c r="F63" s="11">
        <v>0</v>
      </c>
      <c r="G63" s="11">
        <v>0</v>
      </c>
      <c r="H63" s="11">
        <v>0</v>
      </c>
    </row>
    <row r="64" spans="3:8">
      <c r="C64" s="12" t="s">
        <v>1033</v>
      </c>
      <c r="D64" s="230"/>
      <c r="E64" s="11">
        <v>16866441</v>
      </c>
      <c r="F64" s="11">
        <v>0</v>
      </c>
      <c r="G64" s="11">
        <v>15450441</v>
      </c>
      <c r="H64" s="11">
        <v>0</v>
      </c>
    </row>
    <row r="65" spans="1:8">
      <c r="C65" s="12" t="s">
        <v>600</v>
      </c>
      <c r="D65" s="12" t="s">
        <v>82</v>
      </c>
      <c r="E65" s="11">
        <v>6800</v>
      </c>
      <c r="F65" s="11">
        <v>0</v>
      </c>
      <c r="G65" s="11">
        <v>6800</v>
      </c>
      <c r="H65" s="11">
        <v>0</v>
      </c>
    </row>
    <row r="66" spans="1:8">
      <c r="D66" s="12" t="s">
        <v>86</v>
      </c>
      <c r="E66" s="11">
        <v>50000</v>
      </c>
      <c r="F66" s="11">
        <v>0</v>
      </c>
      <c r="G66" s="11">
        <v>50000</v>
      </c>
      <c r="H66" s="11">
        <v>0</v>
      </c>
    </row>
    <row r="67" spans="1:8">
      <c r="D67" s="12" t="s">
        <v>87</v>
      </c>
      <c r="E67" s="11">
        <v>322100</v>
      </c>
      <c r="F67" s="11">
        <v>0</v>
      </c>
      <c r="G67" s="11">
        <v>248200</v>
      </c>
      <c r="H67" s="11">
        <v>0</v>
      </c>
    </row>
    <row r="68" spans="1:8">
      <c r="D68" s="12" t="s">
        <v>604</v>
      </c>
      <c r="E68" s="11">
        <v>200000</v>
      </c>
      <c r="F68" s="11">
        <v>0</v>
      </c>
      <c r="G68" s="11">
        <v>200000</v>
      </c>
      <c r="H68" s="11">
        <v>0</v>
      </c>
    </row>
    <row r="69" spans="1:8">
      <c r="D69" s="12" t="s">
        <v>605</v>
      </c>
      <c r="E69" s="11">
        <v>10777</v>
      </c>
      <c r="F69" s="11">
        <v>0</v>
      </c>
      <c r="G69" s="11">
        <v>10777</v>
      </c>
      <c r="H69" s="11">
        <v>0</v>
      </c>
    </row>
    <row r="70" spans="1:8">
      <c r="C70" s="12" t="s">
        <v>1036</v>
      </c>
      <c r="D70" s="230"/>
      <c r="E70" s="11">
        <v>589677</v>
      </c>
      <c r="F70" s="11">
        <v>0</v>
      </c>
      <c r="G70" s="11">
        <v>515777</v>
      </c>
      <c r="H70" s="11">
        <v>0</v>
      </c>
    </row>
    <row r="71" spans="1:8">
      <c r="B71" s="12" t="s">
        <v>1574</v>
      </c>
      <c r="C71" s="230"/>
      <c r="D71" s="230"/>
      <c r="E71" s="11">
        <v>31250048</v>
      </c>
      <c r="F71" s="11">
        <v>0</v>
      </c>
      <c r="G71" s="11">
        <v>18711218</v>
      </c>
      <c r="H71" s="11">
        <v>0</v>
      </c>
    </row>
    <row r="72" spans="1:8">
      <c r="A72" s="12" t="s">
        <v>992</v>
      </c>
      <c r="B72" s="230"/>
      <c r="C72" s="230"/>
      <c r="D72" s="230"/>
      <c r="E72" s="11">
        <v>31250048</v>
      </c>
      <c r="F72" s="11">
        <v>0</v>
      </c>
      <c r="G72" s="11">
        <v>18711218</v>
      </c>
      <c r="H72" s="11">
        <v>0</v>
      </c>
    </row>
    <row r="73" spans="1:8">
      <c r="A73" s="12">
        <v>6</v>
      </c>
      <c r="B73" s="12" t="s">
        <v>1074</v>
      </c>
      <c r="C73" s="12" t="s">
        <v>423</v>
      </c>
      <c r="D73" s="12" t="s">
        <v>15</v>
      </c>
      <c r="E73" s="11">
        <v>451631</v>
      </c>
      <c r="F73" s="11">
        <v>0</v>
      </c>
      <c r="G73" s="11"/>
      <c r="H73" s="11"/>
    </row>
    <row r="74" spans="1:8">
      <c r="D74" s="12" t="s">
        <v>20</v>
      </c>
      <c r="E74" s="11">
        <v>1519590</v>
      </c>
      <c r="F74" s="11">
        <v>0</v>
      </c>
      <c r="G74" s="11">
        <v>3825310</v>
      </c>
      <c r="H74" s="11">
        <v>0</v>
      </c>
    </row>
    <row r="75" spans="1:8">
      <c r="D75" s="12" t="s">
        <v>443</v>
      </c>
      <c r="E75" s="11">
        <v>0</v>
      </c>
      <c r="F75" s="11">
        <v>0</v>
      </c>
      <c r="G75" s="11">
        <v>3124400</v>
      </c>
      <c r="H75" s="11">
        <v>0</v>
      </c>
    </row>
    <row r="76" spans="1:8">
      <c r="D76" s="12" t="s">
        <v>22</v>
      </c>
      <c r="E76" s="11">
        <v>5363383.43</v>
      </c>
      <c r="F76" s="11">
        <v>0</v>
      </c>
      <c r="G76" s="11">
        <v>7858026.4299999997</v>
      </c>
      <c r="H76" s="11">
        <v>0</v>
      </c>
    </row>
    <row r="77" spans="1:8">
      <c r="D77" s="12" t="s">
        <v>24</v>
      </c>
      <c r="E77" s="11">
        <v>10176297</v>
      </c>
      <c r="F77" s="11">
        <v>0</v>
      </c>
      <c r="G77" s="11"/>
      <c r="H77" s="11"/>
    </row>
    <row r="78" spans="1:8">
      <c r="D78" s="12" t="s">
        <v>26</v>
      </c>
      <c r="E78" s="11">
        <v>2902069</v>
      </c>
      <c r="F78" s="11">
        <v>0</v>
      </c>
      <c r="G78" s="11">
        <v>1585664</v>
      </c>
      <c r="H78" s="11">
        <v>0</v>
      </c>
    </row>
    <row r="79" spans="1:8">
      <c r="D79" s="12" t="s">
        <v>486</v>
      </c>
      <c r="E79" s="11">
        <v>0</v>
      </c>
      <c r="F79" s="11">
        <v>0</v>
      </c>
      <c r="G79" s="11">
        <v>0</v>
      </c>
      <c r="H79" s="11">
        <v>0</v>
      </c>
    </row>
    <row r="80" spans="1:8">
      <c r="D80" s="12" t="s">
        <v>487</v>
      </c>
      <c r="E80" s="11">
        <v>0</v>
      </c>
      <c r="F80" s="11">
        <v>0</v>
      </c>
      <c r="G80" s="11">
        <v>0</v>
      </c>
      <c r="H80" s="11">
        <v>0</v>
      </c>
    </row>
    <row r="81" spans="4:8">
      <c r="D81" s="12" t="s">
        <v>32</v>
      </c>
      <c r="E81" s="11">
        <v>876095</v>
      </c>
      <c r="F81" s="11">
        <v>0</v>
      </c>
      <c r="G81" s="11"/>
      <c r="H81" s="11"/>
    </row>
    <row r="82" spans="4:8">
      <c r="D82" s="12" t="s">
        <v>514</v>
      </c>
      <c r="E82" s="11">
        <v>0</v>
      </c>
      <c r="F82" s="11">
        <v>0</v>
      </c>
      <c r="G82" s="11">
        <v>0</v>
      </c>
      <c r="H82" s="11">
        <v>0</v>
      </c>
    </row>
    <row r="83" spans="4:8">
      <c r="D83" s="12" t="s">
        <v>569</v>
      </c>
      <c r="E83" s="11">
        <v>0</v>
      </c>
      <c r="F83" s="11">
        <v>0</v>
      </c>
      <c r="G83" s="11">
        <v>19377618</v>
      </c>
      <c r="H83" s="11">
        <v>0</v>
      </c>
    </row>
    <row r="84" spans="4:8">
      <c r="D84" s="12" t="s">
        <v>61</v>
      </c>
      <c r="E84" s="11">
        <v>9482492</v>
      </c>
      <c r="F84" s="11">
        <v>0</v>
      </c>
      <c r="G84" s="11">
        <v>396306</v>
      </c>
      <c r="H84" s="11">
        <v>0</v>
      </c>
    </row>
    <row r="85" spans="4:8">
      <c r="D85" s="12" t="s">
        <v>461</v>
      </c>
      <c r="E85" s="11">
        <v>0</v>
      </c>
      <c r="F85" s="11">
        <v>0</v>
      </c>
      <c r="G85" s="11">
        <v>0</v>
      </c>
      <c r="H85" s="11">
        <v>0</v>
      </c>
    </row>
    <row r="86" spans="4:8">
      <c r="D86" s="12" t="s">
        <v>575</v>
      </c>
      <c r="E86" s="11">
        <v>0</v>
      </c>
      <c r="F86" s="11">
        <v>0</v>
      </c>
      <c r="G86" s="11">
        <v>614111</v>
      </c>
      <c r="H86" s="11">
        <v>0</v>
      </c>
    </row>
    <row r="87" spans="4:8">
      <c r="D87" s="12" t="s">
        <v>74</v>
      </c>
      <c r="E87" s="11">
        <v>344368</v>
      </c>
      <c r="F87" s="11">
        <v>0</v>
      </c>
      <c r="G87" s="11">
        <v>62901</v>
      </c>
      <c r="H87" s="11">
        <v>0</v>
      </c>
    </row>
    <row r="88" spans="4:8">
      <c r="D88" s="12" t="s">
        <v>594</v>
      </c>
      <c r="E88" s="11">
        <v>0</v>
      </c>
      <c r="F88" s="11">
        <v>0</v>
      </c>
      <c r="G88" s="11">
        <v>0</v>
      </c>
      <c r="H88" s="11">
        <v>0</v>
      </c>
    </row>
    <row r="89" spans="4:8">
      <c r="D89" s="12" t="s">
        <v>614</v>
      </c>
      <c r="E89" s="11">
        <v>0</v>
      </c>
      <c r="F89" s="11">
        <v>0</v>
      </c>
      <c r="G89" s="11">
        <v>0</v>
      </c>
      <c r="H89" s="11">
        <v>0</v>
      </c>
    </row>
    <row r="90" spans="4:8">
      <c r="D90" s="12" t="s">
        <v>466</v>
      </c>
      <c r="E90" s="11">
        <v>0</v>
      </c>
      <c r="F90" s="11">
        <v>0</v>
      </c>
      <c r="G90" s="11">
        <v>890949</v>
      </c>
      <c r="H90" s="11">
        <v>0</v>
      </c>
    </row>
    <row r="91" spans="4:8">
      <c r="D91" s="12" t="s">
        <v>629</v>
      </c>
      <c r="E91" s="11">
        <v>0</v>
      </c>
      <c r="F91" s="11">
        <v>0</v>
      </c>
      <c r="G91" s="11">
        <v>0</v>
      </c>
      <c r="H91" s="11">
        <v>0</v>
      </c>
    </row>
    <row r="92" spans="4:8">
      <c r="D92" s="12" t="s">
        <v>663</v>
      </c>
      <c r="E92" s="11">
        <v>0</v>
      </c>
      <c r="F92" s="11">
        <v>0</v>
      </c>
      <c r="G92" s="11">
        <v>1753713</v>
      </c>
      <c r="H92" s="11">
        <v>0</v>
      </c>
    </row>
    <row r="93" spans="4:8">
      <c r="D93" s="12" t="s">
        <v>665</v>
      </c>
      <c r="E93" s="11">
        <v>0</v>
      </c>
      <c r="F93" s="11">
        <v>0</v>
      </c>
      <c r="G93" s="11">
        <v>0</v>
      </c>
      <c r="H93" s="11">
        <v>0</v>
      </c>
    </row>
    <row r="94" spans="4:8">
      <c r="D94" s="12" t="s">
        <v>680</v>
      </c>
      <c r="E94" s="11">
        <v>0</v>
      </c>
      <c r="F94" s="11">
        <v>0</v>
      </c>
      <c r="G94" s="11">
        <v>330414</v>
      </c>
      <c r="H94" s="11">
        <v>0</v>
      </c>
    </row>
    <row r="95" spans="4:8">
      <c r="D95" s="12" t="s">
        <v>710</v>
      </c>
      <c r="E95" s="11">
        <v>0</v>
      </c>
      <c r="F95" s="11">
        <v>0</v>
      </c>
      <c r="G95" s="11">
        <v>0</v>
      </c>
      <c r="H95" s="11">
        <v>0</v>
      </c>
    </row>
    <row r="96" spans="4:8">
      <c r="D96" s="12" t="s">
        <v>711</v>
      </c>
      <c r="E96" s="11">
        <v>0</v>
      </c>
      <c r="F96" s="11">
        <v>0</v>
      </c>
      <c r="G96" s="11">
        <v>172778</v>
      </c>
      <c r="H96" s="11">
        <v>0</v>
      </c>
    </row>
    <row r="97" spans="4:8">
      <c r="D97" s="12" t="s">
        <v>177</v>
      </c>
      <c r="E97" s="11">
        <v>488208</v>
      </c>
      <c r="F97" s="11">
        <v>0</v>
      </c>
      <c r="G97" s="11">
        <v>565401</v>
      </c>
      <c r="H97" s="11">
        <v>0</v>
      </c>
    </row>
    <row r="98" spans="4:8">
      <c r="D98" s="12" t="s">
        <v>717</v>
      </c>
      <c r="E98" s="11">
        <v>0</v>
      </c>
      <c r="F98" s="11">
        <v>0</v>
      </c>
      <c r="G98" s="11">
        <v>0</v>
      </c>
      <c r="H98" s="11">
        <v>0</v>
      </c>
    </row>
    <row r="99" spans="4:8">
      <c r="D99" s="12" t="s">
        <v>718</v>
      </c>
      <c r="E99" s="11">
        <v>1310924</v>
      </c>
      <c r="F99" s="11">
        <v>0</v>
      </c>
      <c r="G99" s="11">
        <v>0</v>
      </c>
      <c r="H99" s="11">
        <v>0</v>
      </c>
    </row>
    <row r="100" spans="4:8">
      <c r="D100" s="12" t="s">
        <v>719</v>
      </c>
      <c r="E100" s="11">
        <v>0</v>
      </c>
      <c r="F100" s="11">
        <v>0</v>
      </c>
      <c r="G100" s="11">
        <v>573513</v>
      </c>
      <c r="H100" s="11">
        <v>0</v>
      </c>
    </row>
    <row r="101" spans="4:8">
      <c r="D101" s="12" t="s">
        <v>188</v>
      </c>
      <c r="E101" s="11">
        <v>42218801</v>
      </c>
      <c r="F101" s="11">
        <v>0</v>
      </c>
      <c r="G101" s="11">
        <v>45230726</v>
      </c>
      <c r="H101" s="11">
        <v>0</v>
      </c>
    </row>
    <row r="102" spans="4:8">
      <c r="D102" s="12" t="s">
        <v>727</v>
      </c>
      <c r="E102" s="11">
        <v>0</v>
      </c>
      <c r="F102" s="11">
        <v>0</v>
      </c>
      <c r="G102" s="11">
        <v>0</v>
      </c>
      <c r="H102" s="11">
        <v>0</v>
      </c>
    </row>
    <row r="103" spans="4:8">
      <c r="D103" s="12" t="s">
        <v>465</v>
      </c>
      <c r="E103" s="11">
        <v>0</v>
      </c>
      <c r="F103" s="11">
        <v>0</v>
      </c>
      <c r="G103" s="11">
        <v>3430</v>
      </c>
      <c r="H103" s="11">
        <v>0</v>
      </c>
    </row>
    <row r="104" spans="4:8">
      <c r="D104" s="12" t="s">
        <v>930</v>
      </c>
      <c r="E104" s="11">
        <v>0</v>
      </c>
      <c r="F104" s="11">
        <v>0</v>
      </c>
      <c r="G104" s="11">
        <v>0</v>
      </c>
      <c r="H104" s="11">
        <v>0</v>
      </c>
    </row>
    <row r="105" spans="4:8">
      <c r="D105" s="12" t="s">
        <v>745</v>
      </c>
      <c r="E105" s="11">
        <v>0</v>
      </c>
      <c r="F105" s="11">
        <v>0</v>
      </c>
      <c r="G105" s="11">
        <v>0</v>
      </c>
      <c r="H105" s="11">
        <v>0</v>
      </c>
    </row>
    <row r="106" spans="4:8">
      <c r="D106" s="12" t="s">
        <v>751</v>
      </c>
      <c r="E106" s="11">
        <v>0</v>
      </c>
      <c r="F106" s="11">
        <v>0</v>
      </c>
      <c r="G106" s="11">
        <v>0</v>
      </c>
      <c r="H106" s="11">
        <v>0</v>
      </c>
    </row>
    <row r="107" spans="4:8">
      <c r="D107" s="12" t="s">
        <v>763</v>
      </c>
      <c r="E107" s="11">
        <v>0</v>
      </c>
      <c r="F107" s="11">
        <v>0</v>
      </c>
      <c r="G107" s="11">
        <v>2929</v>
      </c>
      <c r="H107" s="11">
        <v>0</v>
      </c>
    </row>
    <row r="108" spans="4:8">
      <c r="D108" s="12" t="s">
        <v>222</v>
      </c>
      <c r="E108" s="11">
        <v>359743</v>
      </c>
      <c r="F108" s="11">
        <v>0</v>
      </c>
      <c r="G108" s="11">
        <v>189048</v>
      </c>
      <c r="H108" s="11">
        <v>0</v>
      </c>
    </row>
    <row r="109" spans="4:8">
      <c r="D109" s="12" t="s">
        <v>771</v>
      </c>
      <c r="E109" s="11">
        <v>0</v>
      </c>
      <c r="F109" s="11">
        <v>733</v>
      </c>
      <c r="G109" s="11">
        <v>0</v>
      </c>
      <c r="H109" s="11">
        <v>0</v>
      </c>
    </row>
    <row r="110" spans="4:8">
      <c r="D110" s="12" t="s">
        <v>778</v>
      </c>
      <c r="E110" s="11">
        <v>0</v>
      </c>
      <c r="F110" s="11">
        <v>0</v>
      </c>
      <c r="G110" s="11">
        <v>0</v>
      </c>
      <c r="H110" s="11">
        <v>0</v>
      </c>
    </row>
    <row r="111" spans="4:8">
      <c r="D111" s="12" t="s">
        <v>245</v>
      </c>
      <c r="E111" s="11">
        <v>12971715</v>
      </c>
      <c r="F111" s="11">
        <v>0</v>
      </c>
      <c r="G111" s="11">
        <v>3897944</v>
      </c>
      <c r="H111" s="11">
        <v>0</v>
      </c>
    </row>
    <row r="112" spans="4:8">
      <c r="D112" s="12" t="s">
        <v>784</v>
      </c>
      <c r="E112" s="11">
        <v>0</v>
      </c>
      <c r="F112" s="11">
        <v>0</v>
      </c>
      <c r="G112" s="11">
        <v>0</v>
      </c>
      <c r="H112" s="11">
        <v>0</v>
      </c>
    </row>
    <row r="113" spans="4:8">
      <c r="D113" s="12" t="s">
        <v>813</v>
      </c>
      <c r="E113" s="11">
        <v>0</v>
      </c>
      <c r="F113" s="11">
        <v>0</v>
      </c>
      <c r="G113" s="11">
        <v>0</v>
      </c>
      <c r="H113" s="11">
        <v>0</v>
      </c>
    </row>
    <row r="114" spans="4:8">
      <c r="D114" s="12" t="s">
        <v>281</v>
      </c>
      <c r="E114" s="11">
        <v>1197020</v>
      </c>
      <c r="F114" s="11">
        <v>0</v>
      </c>
      <c r="G114" s="11">
        <v>3359955</v>
      </c>
      <c r="H114" s="11">
        <v>0</v>
      </c>
    </row>
    <row r="115" spans="4:8">
      <c r="D115" s="12" t="s">
        <v>933</v>
      </c>
      <c r="E115" s="11">
        <v>0</v>
      </c>
      <c r="F115" s="11">
        <v>0</v>
      </c>
      <c r="G115" s="11">
        <v>0</v>
      </c>
      <c r="H115" s="11">
        <v>0</v>
      </c>
    </row>
    <row r="116" spans="4:8">
      <c r="D116" s="12" t="s">
        <v>814</v>
      </c>
      <c r="E116" s="11">
        <v>14451586</v>
      </c>
      <c r="F116" s="11">
        <v>0</v>
      </c>
      <c r="G116" s="11">
        <v>25272743</v>
      </c>
      <c r="H116" s="11">
        <v>0</v>
      </c>
    </row>
    <row r="117" spans="4:8">
      <c r="D117" s="12" t="s">
        <v>296</v>
      </c>
      <c r="E117" s="11">
        <v>4622711</v>
      </c>
      <c r="F117" s="11">
        <v>0</v>
      </c>
      <c r="G117" s="11"/>
      <c r="H117" s="11"/>
    </row>
    <row r="118" spans="4:8">
      <c r="D118" s="12" t="s">
        <v>840</v>
      </c>
      <c r="E118" s="11">
        <v>3429284</v>
      </c>
      <c r="F118" s="11">
        <v>0</v>
      </c>
      <c r="G118" s="11">
        <v>347389</v>
      </c>
      <c r="H118" s="11">
        <v>0</v>
      </c>
    </row>
    <row r="119" spans="4:8">
      <c r="D119" s="12" t="s">
        <v>518</v>
      </c>
      <c r="E119" s="11">
        <v>0</v>
      </c>
      <c r="F119" s="11">
        <v>0</v>
      </c>
      <c r="G119" s="11">
        <v>0</v>
      </c>
      <c r="H119" s="11">
        <v>0</v>
      </c>
    </row>
    <row r="120" spans="4:8">
      <c r="D120" s="12" t="s">
        <v>517</v>
      </c>
      <c r="E120" s="11">
        <v>0</v>
      </c>
      <c r="F120" s="11">
        <v>0</v>
      </c>
      <c r="G120" s="11">
        <v>0</v>
      </c>
      <c r="H120" s="11">
        <v>0</v>
      </c>
    </row>
    <row r="121" spans="4:8">
      <c r="D121" s="12" t="s">
        <v>934</v>
      </c>
      <c r="E121" s="11">
        <v>0</v>
      </c>
      <c r="F121" s="11">
        <v>0</v>
      </c>
      <c r="G121" s="11">
        <v>0</v>
      </c>
      <c r="H121" s="11">
        <v>0</v>
      </c>
    </row>
    <row r="122" spans="4:8">
      <c r="D122" s="12" t="s">
        <v>312</v>
      </c>
      <c r="E122" s="11">
        <v>1231667</v>
      </c>
      <c r="F122" s="11">
        <v>0</v>
      </c>
      <c r="G122" s="11">
        <v>0</v>
      </c>
      <c r="H122" s="11">
        <v>0</v>
      </c>
    </row>
    <row r="123" spans="4:8">
      <c r="D123" s="12" t="s">
        <v>328</v>
      </c>
      <c r="E123" s="11">
        <v>1020644</v>
      </c>
      <c r="F123" s="11">
        <v>0</v>
      </c>
      <c r="G123" s="11">
        <v>0</v>
      </c>
      <c r="H123" s="11">
        <v>0</v>
      </c>
    </row>
    <row r="124" spans="4:8">
      <c r="D124" s="12" t="s">
        <v>863</v>
      </c>
      <c r="E124" s="11">
        <v>0</v>
      </c>
      <c r="F124" s="11">
        <v>0</v>
      </c>
      <c r="G124" s="11">
        <v>29993</v>
      </c>
      <c r="H124" s="11">
        <v>0</v>
      </c>
    </row>
    <row r="125" spans="4:8">
      <c r="D125" s="12" t="s">
        <v>664</v>
      </c>
      <c r="E125" s="11">
        <v>0</v>
      </c>
      <c r="F125" s="11">
        <v>0</v>
      </c>
      <c r="G125" s="11">
        <v>0</v>
      </c>
      <c r="H125" s="11">
        <v>0</v>
      </c>
    </row>
    <row r="126" spans="4:8">
      <c r="D126" s="12" t="s">
        <v>331</v>
      </c>
      <c r="E126" s="11">
        <v>5205371</v>
      </c>
      <c r="F126" s="11">
        <v>0</v>
      </c>
      <c r="G126" s="11">
        <v>2856394</v>
      </c>
      <c r="H126" s="11">
        <v>0</v>
      </c>
    </row>
    <row r="127" spans="4:8">
      <c r="D127" s="12" t="s">
        <v>332</v>
      </c>
      <c r="E127" s="11">
        <v>557086</v>
      </c>
      <c r="F127" s="11">
        <v>0</v>
      </c>
      <c r="G127" s="11">
        <v>168822</v>
      </c>
      <c r="H127" s="11">
        <v>0</v>
      </c>
    </row>
    <row r="128" spans="4:8">
      <c r="D128" s="12" t="s">
        <v>938</v>
      </c>
      <c r="E128" s="11">
        <v>0</v>
      </c>
      <c r="F128" s="11">
        <v>0</v>
      </c>
      <c r="G128" s="11">
        <v>0</v>
      </c>
      <c r="H128" s="11">
        <v>0</v>
      </c>
    </row>
    <row r="129" spans="4:8">
      <c r="D129" s="12" t="s">
        <v>463</v>
      </c>
      <c r="E129" s="11">
        <v>0</v>
      </c>
      <c r="F129" s="11">
        <v>0</v>
      </c>
      <c r="G129" s="11">
        <v>0</v>
      </c>
      <c r="H129" s="11">
        <v>0</v>
      </c>
    </row>
    <row r="130" spans="4:8">
      <c r="D130" s="12" t="s">
        <v>335</v>
      </c>
      <c r="E130" s="11">
        <v>1005946</v>
      </c>
      <c r="F130" s="11">
        <v>0</v>
      </c>
      <c r="G130" s="11"/>
      <c r="H130" s="11"/>
    </row>
    <row r="131" spans="4:8">
      <c r="D131" s="12" t="s">
        <v>871</v>
      </c>
      <c r="E131" s="11">
        <v>0</v>
      </c>
      <c r="F131" s="11">
        <v>0</v>
      </c>
      <c r="G131" s="11">
        <v>0</v>
      </c>
      <c r="H131" s="11">
        <v>0</v>
      </c>
    </row>
    <row r="132" spans="4:8">
      <c r="D132" s="12" t="s">
        <v>872</v>
      </c>
      <c r="E132" s="11">
        <v>0</v>
      </c>
      <c r="F132" s="11">
        <v>0</v>
      </c>
      <c r="G132" s="11">
        <v>511714</v>
      </c>
      <c r="H132" s="11">
        <v>0</v>
      </c>
    </row>
    <row r="133" spans="4:8">
      <c r="D133" s="12" t="s">
        <v>873</v>
      </c>
      <c r="E133" s="11">
        <v>0</v>
      </c>
      <c r="F133" s="11">
        <v>0</v>
      </c>
      <c r="G133" s="11">
        <v>885649</v>
      </c>
      <c r="H133" s="11">
        <v>0</v>
      </c>
    </row>
    <row r="134" spans="4:8">
      <c r="D134" s="12" t="s">
        <v>337</v>
      </c>
      <c r="E134" s="11">
        <v>1958488</v>
      </c>
      <c r="F134" s="11">
        <v>0</v>
      </c>
      <c r="G134" s="11">
        <v>173031</v>
      </c>
      <c r="H134" s="11">
        <v>0</v>
      </c>
    </row>
    <row r="135" spans="4:8">
      <c r="D135" s="12" t="s">
        <v>875</v>
      </c>
      <c r="E135" s="11">
        <v>0</v>
      </c>
      <c r="F135" s="11">
        <v>0</v>
      </c>
      <c r="G135" s="11">
        <v>0</v>
      </c>
      <c r="H135" s="11">
        <v>0</v>
      </c>
    </row>
    <row r="136" spans="4:8">
      <c r="D136" s="12" t="s">
        <v>885</v>
      </c>
      <c r="E136" s="11">
        <v>0</v>
      </c>
      <c r="F136" s="11">
        <v>0</v>
      </c>
      <c r="G136" s="11">
        <v>0</v>
      </c>
      <c r="H136" s="11">
        <v>0</v>
      </c>
    </row>
    <row r="137" spans="4:8">
      <c r="D137" s="12" t="s">
        <v>887</v>
      </c>
      <c r="E137" s="11">
        <v>0</v>
      </c>
      <c r="F137" s="11">
        <v>0</v>
      </c>
      <c r="G137" s="11">
        <v>0</v>
      </c>
      <c r="H137" s="11">
        <v>0</v>
      </c>
    </row>
    <row r="138" spans="4:8">
      <c r="D138" s="12" t="s">
        <v>889</v>
      </c>
      <c r="E138" s="11">
        <v>0</v>
      </c>
      <c r="F138" s="11">
        <v>0</v>
      </c>
      <c r="G138" s="11">
        <v>0</v>
      </c>
      <c r="H138" s="11">
        <v>0</v>
      </c>
    </row>
    <row r="139" spans="4:8">
      <c r="D139" s="12" t="s">
        <v>724</v>
      </c>
      <c r="E139" s="11">
        <v>0</v>
      </c>
      <c r="F139" s="11">
        <v>0</v>
      </c>
      <c r="G139" s="11">
        <v>0</v>
      </c>
      <c r="H139" s="11">
        <v>0</v>
      </c>
    </row>
    <row r="140" spans="4:8">
      <c r="D140" s="12" t="s">
        <v>379</v>
      </c>
      <c r="E140" s="11">
        <v>365534</v>
      </c>
      <c r="F140" s="11">
        <v>0</v>
      </c>
      <c r="G140" s="11">
        <v>519122</v>
      </c>
      <c r="H140" s="11">
        <v>0</v>
      </c>
    </row>
    <row r="141" spans="4:8">
      <c r="D141" s="12" t="s">
        <v>464</v>
      </c>
      <c r="E141" s="11">
        <v>0</v>
      </c>
      <c r="F141" s="11">
        <v>0</v>
      </c>
      <c r="G141" s="11">
        <v>0</v>
      </c>
      <c r="H141" s="11">
        <v>34754</v>
      </c>
    </row>
    <row r="142" spans="4:8">
      <c r="D142" s="12" t="s">
        <v>911</v>
      </c>
      <c r="E142" s="11">
        <v>0</v>
      </c>
      <c r="F142" s="11">
        <v>0</v>
      </c>
      <c r="G142" s="11">
        <v>0</v>
      </c>
      <c r="H142" s="11">
        <v>0</v>
      </c>
    </row>
    <row r="143" spans="4:8">
      <c r="D143" s="12" t="s">
        <v>515</v>
      </c>
      <c r="E143" s="11">
        <v>0</v>
      </c>
      <c r="F143" s="11">
        <v>0</v>
      </c>
      <c r="G143" s="11">
        <v>0</v>
      </c>
      <c r="H143" s="11">
        <v>0</v>
      </c>
    </row>
    <row r="144" spans="4:8">
      <c r="D144" s="12" t="s">
        <v>943</v>
      </c>
      <c r="E144" s="11">
        <v>0</v>
      </c>
      <c r="F144" s="11">
        <v>0</v>
      </c>
      <c r="G144" s="11">
        <v>179827</v>
      </c>
      <c r="H144" s="11">
        <v>0</v>
      </c>
    </row>
    <row r="145" spans="1:8">
      <c r="D145" s="12" t="s">
        <v>516</v>
      </c>
      <c r="E145" s="11">
        <v>0</v>
      </c>
      <c r="F145" s="11">
        <v>0</v>
      </c>
      <c r="G145" s="11">
        <v>0</v>
      </c>
      <c r="H145" s="11">
        <v>0</v>
      </c>
    </row>
    <row r="146" spans="1:8">
      <c r="D146" s="12" t="s">
        <v>950</v>
      </c>
      <c r="E146" s="11">
        <v>0</v>
      </c>
      <c r="F146" s="11">
        <v>0</v>
      </c>
      <c r="G146" s="11">
        <v>0</v>
      </c>
      <c r="H146" s="11">
        <v>0</v>
      </c>
    </row>
    <row r="147" spans="1:8">
      <c r="D147" s="12" t="s">
        <v>400</v>
      </c>
      <c r="E147" s="11">
        <v>43044826</v>
      </c>
      <c r="F147" s="11">
        <v>0</v>
      </c>
      <c r="G147" s="11">
        <v>31034983</v>
      </c>
      <c r="H147" s="11">
        <v>0</v>
      </c>
    </row>
    <row r="148" spans="1:8">
      <c r="D148" s="12" t="s">
        <v>462</v>
      </c>
      <c r="E148" s="11">
        <v>0</v>
      </c>
      <c r="F148" s="11">
        <v>0</v>
      </c>
      <c r="G148" s="11">
        <v>0</v>
      </c>
      <c r="H148" s="11">
        <v>0</v>
      </c>
    </row>
    <row r="149" spans="1:8">
      <c r="C149" s="12" t="s">
        <v>982</v>
      </c>
      <c r="D149" s="230"/>
      <c r="E149" s="11">
        <v>166555479.43000001</v>
      </c>
      <c r="F149" s="11">
        <v>733</v>
      </c>
      <c r="G149" s="11">
        <v>155794803.43000001</v>
      </c>
      <c r="H149" s="11">
        <v>34754</v>
      </c>
    </row>
    <row r="150" spans="1:8">
      <c r="B150" s="12" t="s">
        <v>1575</v>
      </c>
      <c r="C150" s="230"/>
      <c r="D150" s="230"/>
      <c r="E150" s="11">
        <v>166555479.43000001</v>
      </c>
      <c r="F150" s="11">
        <v>733</v>
      </c>
      <c r="G150" s="11">
        <v>155794803.43000001</v>
      </c>
      <c r="H150" s="11">
        <v>34754</v>
      </c>
    </row>
    <row r="151" spans="1:8">
      <c r="A151" s="12" t="s">
        <v>993</v>
      </c>
      <c r="B151" s="230"/>
      <c r="C151" s="230"/>
      <c r="D151" s="230"/>
      <c r="E151" s="11">
        <v>166555479.43000001</v>
      </c>
      <c r="F151" s="11">
        <v>733</v>
      </c>
      <c r="G151" s="11">
        <v>155794803.43000001</v>
      </c>
      <c r="H151" s="11">
        <v>34754</v>
      </c>
    </row>
    <row r="152" spans="1:8">
      <c r="A152" s="12">
        <v>7</v>
      </c>
      <c r="B152" s="12" t="s">
        <v>1548</v>
      </c>
      <c r="C152" s="12" t="s">
        <v>833</v>
      </c>
      <c r="D152" s="12" t="s">
        <v>315</v>
      </c>
      <c r="E152" s="11">
        <v>10757.64</v>
      </c>
      <c r="F152" s="11">
        <v>0</v>
      </c>
      <c r="G152" s="11">
        <v>78364.399999999994</v>
      </c>
      <c r="H152" s="11">
        <v>0</v>
      </c>
    </row>
    <row r="153" spans="1:8">
      <c r="C153" s="12" t="s">
        <v>1039</v>
      </c>
      <c r="D153" s="230"/>
      <c r="E153" s="11">
        <v>10757.64</v>
      </c>
      <c r="F153" s="11">
        <v>0</v>
      </c>
      <c r="G153" s="11">
        <v>78364.399999999994</v>
      </c>
      <c r="H153" s="11">
        <v>0</v>
      </c>
    </row>
    <row r="154" spans="1:8">
      <c r="C154" s="12" t="s">
        <v>529</v>
      </c>
      <c r="D154" s="12" t="s">
        <v>528</v>
      </c>
      <c r="E154" s="11">
        <v>68389</v>
      </c>
      <c r="F154" s="11">
        <v>0</v>
      </c>
      <c r="G154" s="11">
        <v>255504</v>
      </c>
      <c r="H154" s="11">
        <v>0</v>
      </c>
    </row>
    <row r="155" spans="1:8">
      <c r="C155" s="12" t="s">
        <v>1041</v>
      </c>
      <c r="D155" s="230"/>
      <c r="E155" s="11">
        <v>68389</v>
      </c>
      <c r="F155" s="11">
        <v>0</v>
      </c>
      <c r="G155" s="11">
        <v>255504</v>
      </c>
      <c r="H155" s="11">
        <v>0</v>
      </c>
    </row>
    <row r="156" spans="1:8">
      <c r="B156" s="12" t="s">
        <v>1576</v>
      </c>
      <c r="C156" s="230"/>
      <c r="D156" s="230"/>
      <c r="E156" s="11">
        <v>79146.64</v>
      </c>
      <c r="F156" s="11">
        <v>0</v>
      </c>
      <c r="G156" s="11">
        <v>333868.40000000002</v>
      </c>
      <c r="H156" s="11">
        <v>0</v>
      </c>
    </row>
    <row r="157" spans="1:8">
      <c r="A157" s="12" t="s">
        <v>994</v>
      </c>
      <c r="B157" s="230"/>
      <c r="C157" s="230"/>
      <c r="D157" s="230"/>
      <c r="E157" s="11">
        <v>79146.64</v>
      </c>
      <c r="F157" s="11">
        <v>0</v>
      </c>
      <c r="G157" s="11">
        <v>333868.40000000002</v>
      </c>
      <c r="H157" s="11">
        <v>0</v>
      </c>
    </row>
    <row r="158" spans="1:8">
      <c r="A158" s="12">
        <v>8</v>
      </c>
      <c r="B158" s="12" t="s">
        <v>1548</v>
      </c>
      <c r="C158" s="12" t="s">
        <v>832</v>
      </c>
      <c r="D158" s="12" t="s">
        <v>831</v>
      </c>
      <c r="E158" s="11">
        <v>0</v>
      </c>
      <c r="F158" s="11">
        <v>0</v>
      </c>
      <c r="G158" s="11">
        <v>0</v>
      </c>
      <c r="H158" s="11">
        <v>0</v>
      </c>
    </row>
    <row r="159" spans="1:8">
      <c r="C159" s="12" t="s">
        <v>1040</v>
      </c>
      <c r="D159" s="230"/>
      <c r="E159" s="11">
        <v>0</v>
      </c>
      <c r="F159" s="11">
        <v>0</v>
      </c>
      <c r="G159" s="11">
        <v>0</v>
      </c>
      <c r="H159" s="11">
        <v>0</v>
      </c>
    </row>
    <row r="160" spans="1:8">
      <c r="B160" s="12" t="s">
        <v>1576</v>
      </c>
      <c r="C160" s="230"/>
      <c r="D160" s="230"/>
      <c r="E160" s="11">
        <v>0</v>
      </c>
      <c r="F160" s="11">
        <v>0</v>
      </c>
      <c r="G160" s="11">
        <v>0</v>
      </c>
      <c r="H160" s="11">
        <v>0</v>
      </c>
    </row>
    <row r="161" spans="1:8">
      <c r="A161" s="12" t="s">
        <v>995</v>
      </c>
      <c r="B161" s="230"/>
      <c r="C161" s="230"/>
      <c r="D161" s="230"/>
      <c r="E161" s="11">
        <v>0</v>
      </c>
      <c r="F161" s="11">
        <v>0</v>
      </c>
      <c r="G161" s="11">
        <v>0</v>
      </c>
      <c r="H161" s="11">
        <v>0</v>
      </c>
    </row>
    <row r="162" spans="1:8">
      <c r="A162" s="12">
        <v>9</v>
      </c>
      <c r="B162" s="12" t="s">
        <v>602</v>
      </c>
      <c r="C162" s="12" t="s">
        <v>450</v>
      </c>
      <c r="D162" s="12" t="s">
        <v>454</v>
      </c>
      <c r="E162" s="11">
        <v>0</v>
      </c>
      <c r="F162" s="11">
        <v>0</v>
      </c>
      <c r="G162" s="11">
        <v>0</v>
      </c>
      <c r="H162" s="11">
        <v>0</v>
      </c>
    </row>
    <row r="163" spans="1:8">
      <c r="D163" s="12" t="s">
        <v>452</v>
      </c>
      <c r="E163" s="11">
        <v>0</v>
      </c>
      <c r="F163" s="11">
        <v>0</v>
      </c>
      <c r="G163" s="11">
        <v>4500</v>
      </c>
      <c r="H163" s="11">
        <v>0</v>
      </c>
    </row>
    <row r="164" spans="1:8">
      <c r="D164" s="12" t="s">
        <v>43</v>
      </c>
      <c r="E164" s="11">
        <v>5000</v>
      </c>
      <c r="F164" s="11">
        <v>0</v>
      </c>
      <c r="G164" s="11">
        <v>0</v>
      </c>
      <c r="H164" s="11">
        <v>0</v>
      </c>
    </row>
    <row r="165" spans="1:8">
      <c r="D165" s="12" t="s">
        <v>572</v>
      </c>
      <c r="E165" s="11">
        <v>0</v>
      </c>
      <c r="F165" s="11">
        <v>0</v>
      </c>
      <c r="G165" s="11">
        <v>4000</v>
      </c>
      <c r="H165" s="11">
        <v>0</v>
      </c>
    </row>
    <row r="166" spans="1:8">
      <c r="D166" s="12" t="s">
        <v>616</v>
      </c>
      <c r="E166" s="11">
        <v>0</v>
      </c>
      <c r="F166" s="11">
        <v>0</v>
      </c>
      <c r="G166" s="11">
        <v>0</v>
      </c>
      <c r="H166" s="11">
        <v>0</v>
      </c>
    </row>
    <row r="167" spans="1:8">
      <c r="D167" s="12" t="s">
        <v>615</v>
      </c>
      <c r="E167" s="11">
        <v>0</v>
      </c>
      <c r="F167" s="11">
        <v>0</v>
      </c>
      <c r="G167" s="11">
        <v>0</v>
      </c>
      <c r="H167" s="11">
        <v>0</v>
      </c>
    </row>
    <row r="168" spans="1:8">
      <c r="D168" s="12" t="s">
        <v>617</v>
      </c>
      <c r="E168" s="11">
        <v>0</v>
      </c>
      <c r="F168" s="11">
        <v>0</v>
      </c>
      <c r="G168" s="11">
        <v>6000</v>
      </c>
      <c r="H168" s="11">
        <v>0</v>
      </c>
    </row>
    <row r="169" spans="1:8">
      <c r="D169" s="12" t="s">
        <v>97</v>
      </c>
      <c r="E169" s="11">
        <v>54000</v>
      </c>
      <c r="F169" s="11">
        <v>0</v>
      </c>
      <c r="G169" s="11">
        <v>0</v>
      </c>
      <c r="H169" s="11">
        <v>0</v>
      </c>
    </row>
    <row r="170" spans="1:8">
      <c r="D170" s="12" t="s">
        <v>662</v>
      </c>
      <c r="E170" s="11">
        <v>15000</v>
      </c>
      <c r="F170" s="11">
        <v>0</v>
      </c>
      <c r="G170" s="11">
        <v>27000</v>
      </c>
      <c r="H170" s="11">
        <v>0</v>
      </c>
    </row>
    <row r="171" spans="1:8">
      <c r="D171" s="12" t="s">
        <v>179</v>
      </c>
      <c r="E171" s="11">
        <v>20000</v>
      </c>
      <c r="F171" s="11">
        <v>0</v>
      </c>
      <c r="G171" s="11">
        <v>66000</v>
      </c>
      <c r="H171" s="11">
        <v>0</v>
      </c>
    </row>
    <row r="172" spans="1:8">
      <c r="D172" s="12" t="s">
        <v>186</v>
      </c>
      <c r="E172" s="11">
        <v>14000</v>
      </c>
      <c r="F172" s="11">
        <v>0</v>
      </c>
      <c r="G172" s="11">
        <v>6000</v>
      </c>
      <c r="H172" s="11">
        <v>0</v>
      </c>
    </row>
    <row r="173" spans="1:8">
      <c r="D173" s="12" t="s">
        <v>201</v>
      </c>
      <c r="E173" s="11">
        <v>5000</v>
      </c>
      <c r="F173" s="11">
        <v>0</v>
      </c>
      <c r="G173" s="11">
        <v>11000</v>
      </c>
      <c r="H173" s="11">
        <v>0</v>
      </c>
    </row>
    <row r="174" spans="1:8">
      <c r="D174" s="12" t="s">
        <v>732</v>
      </c>
      <c r="E174" s="11">
        <v>0</v>
      </c>
      <c r="F174" s="11">
        <v>0</v>
      </c>
      <c r="G174" s="11">
        <v>0</v>
      </c>
      <c r="H174" s="11">
        <v>0</v>
      </c>
    </row>
    <row r="175" spans="1:8">
      <c r="D175" s="12" t="s">
        <v>203</v>
      </c>
      <c r="E175" s="11">
        <v>39000</v>
      </c>
      <c r="F175" s="11">
        <v>0</v>
      </c>
      <c r="G175" s="11">
        <v>8000</v>
      </c>
      <c r="H175" s="11">
        <v>0</v>
      </c>
    </row>
    <row r="176" spans="1:8">
      <c r="D176" s="12" t="s">
        <v>744</v>
      </c>
      <c r="E176" s="11">
        <v>9000</v>
      </c>
      <c r="F176" s="11">
        <v>0</v>
      </c>
      <c r="G176" s="11">
        <v>2000</v>
      </c>
      <c r="H176" s="11">
        <v>0</v>
      </c>
    </row>
    <row r="177" spans="4:8">
      <c r="D177" s="12" t="s">
        <v>749</v>
      </c>
      <c r="E177" s="11">
        <v>0</v>
      </c>
      <c r="F177" s="11">
        <v>0</v>
      </c>
      <c r="G177" s="11">
        <v>0</v>
      </c>
      <c r="H177" s="11">
        <v>0</v>
      </c>
    </row>
    <row r="178" spans="4:8">
      <c r="D178" s="12" t="s">
        <v>209</v>
      </c>
      <c r="E178" s="11">
        <v>53000</v>
      </c>
      <c r="F178" s="11">
        <v>0</v>
      </c>
      <c r="G178" s="11"/>
      <c r="H178" s="11"/>
    </row>
    <row r="179" spans="4:8">
      <c r="D179" s="12" t="s">
        <v>453</v>
      </c>
      <c r="E179" s="11">
        <v>0</v>
      </c>
      <c r="F179" s="11">
        <v>0</v>
      </c>
      <c r="G179" s="11">
        <v>1000</v>
      </c>
      <c r="H179" s="11">
        <v>0</v>
      </c>
    </row>
    <row r="180" spans="4:8">
      <c r="D180" s="12" t="s">
        <v>211</v>
      </c>
      <c r="E180" s="11">
        <v>9000</v>
      </c>
      <c r="F180" s="11">
        <v>0</v>
      </c>
      <c r="G180" s="11">
        <v>0</v>
      </c>
      <c r="H180" s="11">
        <v>0</v>
      </c>
    </row>
    <row r="181" spans="4:8">
      <c r="D181" s="12" t="s">
        <v>212</v>
      </c>
      <c r="E181" s="11">
        <v>62000</v>
      </c>
      <c r="F181" s="11">
        <v>0</v>
      </c>
      <c r="G181" s="11">
        <v>12000</v>
      </c>
      <c r="H181" s="11">
        <v>0</v>
      </c>
    </row>
    <row r="182" spans="4:8">
      <c r="D182" s="12" t="s">
        <v>780</v>
      </c>
      <c r="E182" s="11">
        <v>0</v>
      </c>
      <c r="F182" s="11">
        <v>0</v>
      </c>
      <c r="G182" s="11">
        <v>0</v>
      </c>
      <c r="H182" s="11">
        <v>0</v>
      </c>
    </row>
    <row r="183" spans="4:8">
      <c r="D183" s="12" t="s">
        <v>244</v>
      </c>
      <c r="E183" s="11">
        <v>8000</v>
      </c>
      <c r="F183" s="11">
        <v>0</v>
      </c>
      <c r="G183" s="11"/>
      <c r="H183" s="11"/>
    </row>
    <row r="184" spans="4:8">
      <c r="D184" s="12" t="s">
        <v>815</v>
      </c>
      <c r="E184" s="11">
        <v>0</v>
      </c>
      <c r="F184" s="11">
        <v>0</v>
      </c>
      <c r="G184" s="11">
        <v>0</v>
      </c>
      <c r="H184" s="11">
        <v>0</v>
      </c>
    </row>
    <row r="185" spans="4:8">
      <c r="D185" s="12" t="s">
        <v>455</v>
      </c>
      <c r="E185" s="11">
        <v>0</v>
      </c>
      <c r="F185" s="11">
        <v>0</v>
      </c>
      <c r="G185" s="11">
        <v>0</v>
      </c>
      <c r="H185" s="11">
        <v>0</v>
      </c>
    </row>
    <row r="186" spans="4:8">
      <c r="D186" s="12" t="s">
        <v>449</v>
      </c>
      <c r="E186" s="11">
        <v>0</v>
      </c>
      <c r="F186" s="11">
        <v>0</v>
      </c>
      <c r="G186" s="11">
        <v>11000</v>
      </c>
      <c r="H186" s="11">
        <v>0</v>
      </c>
    </row>
    <row r="187" spans="4:8">
      <c r="D187" s="12" t="s">
        <v>820</v>
      </c>
      <c r="E187" s="11">
        <v>0</v>
      </c>
      <c r="F187" s="11">
        <v>0</v>
      </c>
      <c r="G187" s="11">
        <v>0</v>
      </c>
      <c r="H187" s="11">
        <v>0</v>
      </c>
    </row>
    <row r="188" spans="4:8">
      <c r="D188" s="12" t="s">
        <v>290</v>
      </c>
      <c r="E188" s="11">
        <v>4000</v>
      </c>
      <c r="F188" s="11">
        <v>0</v>
      </c>
      <c r="G188" s="11"/>
      <c r="H188" s="11"/>
    </row>
    <row r="189" spans="4:8">
      <c r="D189" s="12" t="s">
        <v>297</v>
      </c>
      <c r="E189" s="11">
        <v>2000</v>
      </c>
      <c r="F189" s="11">
        <v>0</v>
      </c>
      <c r="G189" s="11">
        <v>0</v>
      </c>
      <c r="H189" s="11">
        <v>0</v>
      </c>
    </row>
    <row r="190" spans="4:8">
      <c r="D190" s="12" t="s">
        <v>851</v>
      </c>
      <c r="E190" s="11">
        <v>0</v>
      </c>
      <c r="F190" s="11">
        <v>0</v>
      </c>
      <c r="G190" s="11">
        <v>0</v>
      </c>
      <c r="H190" s="11">
        <v>0</v>
      </c>
    </row>
    <row r="191" spans="4:8">
      <c r="D191" s="12" t="s">
        <v>311</v>
      </c>
      <c r="E191" s="11">
        <v>14000</v>
      </c>
      <c r="F191" s="11">
        <v>0</v>
      </c>
      <c r="G191" s="11"/>
      <c r="H191" s="11"/>
    </row>
    <row r="192" spans="4:8">
      <c r="D192" s="12" t="s">
        <v>861</v>
      </c>
      <c r="E192" s="11">
        <v>0</v>
      </c>
      <c r="F192" s="11">
        <v>0</v>
      </c>
      <c r="G192" s="11">
        <v>0</v>
      </c>
      <c r="H192" s="11">
        <v>0</v>
      </c>
    </row>
    <row r="193" spans="1:8">
      <c r="D193" s="12" t="s">
        <v>349</v>
      </c>
      <c r="E193" s="11">
        <v>5000</v>
      </c>
      <c r="F193" s="11">
        <v>0</v>
      </c>
      <c r="G193" s="11"/>
      <c r="H193" s="11"/>
    </row>
    <row r="194" spans="1:8">
      <c r="D194" s="12" t="s">
        <v>350</v>
      </c>
      <c r="E194" s="11">
        <v>1500</v>
      </c>
      <c r="F194" s="11">
        <v>0</v>
      </c>
      <c r="G194" s="11">
        <v>2500</v>
      </c>
      <c r="H194" s="11">
        <v>0</v>
      </c>
    </row>
    <row r="195" spans="1:8">
      <c r="D195" s="12" t="s">
        <v>880</v>
      </c>
      <c r="E195" s="11">
        <v>11000</v>
      </c>
      <c r="F195" s="11">
        <v>0</v>
      </c>
      <c r="G195" s="11">
        <v>37000</v>
      </c>
      <c r="H195" s="11">
        <v>0</v>
      </c>
    </row>
    <row r="196" spans="1:8">
      <c r="D196" s="12" t="s">
        <v>354</v>
      </c>
      <c r="E196" s="11">
        <v>1000</v>
      </c>
      <c r="F196" s="11">
        <v>0</v>
      </c>
      <c r="G196" s="11"/>
      <c r="H196" s="11"/>
    </row>
    <row r="197" spans="1:8">
      <c r="D197" s="12" t="s">
        <v>355</v>
      </c>
      <c r="E197" s="11">
        <v>14000</v>
      </c>
      <c r="F197" s="11">
        <v>0</v>
      </c>
      <c r="G197" s="11">
        <v>4000</v>
      </c>
      <c r="H197" s="11">
        <v>0</v>
      </c>
    </row>
    <row r="198" spans="1:8">
      <c r="D198" s="12" t="s">
        <v>888</v>
      </c>
      <c r="E198" s="11">
        <v>0</v>
      </c>
      <c r="F198" s="11">
        <v>0</v>
      </c>
      <c r="G198" s="11">
        <v>0</v>
      </c>
      <c r="H198" s="11">
        <v>0</v>
      </c>
    </row>
    <row r="199" spans="1:8">
      <c r="D199" s="12" t="s">
        <v>451</v>
      </c>
      <c r="E199" s="11">
        <v>0</v>
      </c>
      <c r="F199" s="11">
        <v>0</v>
      </c>
      <c r="G199" s="11">
        <v>5000</v>
      </c>
      <c r="H199" s="11">
        <v>0</v>
      </c>
    </row>
    <row r="200" spans="1:8">
      <c r="C200" s="12" t="s">
        <v>1035</v>
      </c>
      <c r="D200" s="230"/>
      <c r="E200" s="11">
        <v>345500</v>
      </c>
      <c r="F200" s="11">
        <v>0</v>
      </c>
      <c r="G200" s="11">
        <v>207000</v>
      </c>
      <c r="H200" s="11">
        <v>0</v>
      </c>
    </row>
    <row r="201" spans="1:8">
      <c r="B201" s="12" t="s">
        <v>981</v>
      </c>
      <c r="C201" s="230"/>
      <c r="D201" s="230"/>
      <c r="E201" s="11">
        <v>345500</v>
      </c>
      <c r="F201" s="11">
        <v>0</v>
      </c>
      <c r="G201" s="11">
        <v>207000</v>
      </c>
      <c r="H201" s="11">
        <v>0</v>
      </c>
    </row>
    <row r="202" spans="1:8">
      <c r="A202" s="12" t="s">
        <v>996</v>
      </c>
      <c r="B202" s="230"/>
      <c r="C202" s="230"/>
      <c r="D202" s="230"/>
      <c r="E202" s="11">
        <v>345500</v>
      </c>
      <c r="F202" s="11">
        <v>0</v>
      </c>
      <c r="G202" s="11">
        <v>207000</v>
      </c>
      <c r="H202" s="11">
        <v>0</v>
      </c>
    </row>
    <row r="203" spans="1:8">
      <c r="A203" s="12">
        <v>10</v>
      </c>
      <c r="B203" s="12" t="s">
        <v>598</v>
      </c>
      <c r="C203" s="12" t="s">
        <v>445</v>
      </c>
      <c r="D203" s="12" t="s">
        <v>447</v>
      </c>
      <c r="E203" s="11">
        <v>0</v>
      </c>
      <c r="F203" s="11">
        <v>0</v>
      </c>
      <c r="G203" s="11">
        <v>0</v>
      </c>
      <c r="H203" s="11">
        <v>0</v>
      </c>
    </row>
    <row r="204" spans="1:8">
      <c r="D204" s="12" t="s">
        <v>444</v>
      </c>
      <c r="E204" s="11">
        <v>0</v>
      </c>
      <c r="F204" s="11">
        <v>0</v>
      </c>
      <c r="G204" s="11">
        <v>0</v>
      </c>
      <c r="H204" s="11">
        <v>0</v>
      </c>
    </row>
    <row r="205" spans="1:8">
      <c r="D205" s="12" t="s">
        <v>470</v>
      </c>
      <c r="E205" s="11">
        <v>0</v>
      </c>
      <c r="F205" s="11">
        <v>0</v>
      </c>
      <c r="G205" s="11">
        <v>0</v>
      </c>
      <c r="H205" s="11">
        <v>0</v>
      </c>
    </row>
    <row r="206" spans="1:8">
      <c r="D206" s="12" t="s">
        <v>581</v>
      </c>
      <c r="E206" s="11">
        <v>0</v>
      </c>
      <c r="F206" s="11">
        <v>0</v>
      </c>
      <c r="G206" s="11">
        <v>0</v>
      </c>
      <c r="H206" s="11">
        <v>0</v>
      </c>
    </row>
    <row r="207" spans="1:8">
      <c r="D207" s="12" t="s">
        <v>501</v>
      </c>
      <c r="E207" s="11">
        <v>0</v>
      </c>
      <c r="F207" s="11">
        <v>0</v>
      </c>
      <c r="G207" s="11">
        <v>57713</v>
      </c>
      <c r="H207" s="11">
        <v>0</v>
      </c>
    </row>
    <row r="208" spans="1:8">
      <c r="D208" s="12" t="s">
        <v>592</v>
      </c>
      <c r="E208" s="11">
        <v>0</v>
      </c>
      <c r="F208" s="11">
        <v>0</v>
      </c>
      <c r="G208" s="11">
        <v>0</v>
      </c>
      <c r="H208" s="11">
        <v>0</v>
      </c>
    </row>
    <row r="209" spans="3:8">
      <c r="D209" s="12" t="s">
        <v>627</v>
      </c>
      <c r="E209" s="11">
        <v>0</v>
      </c>
      <c r="F209" s="11">
        <v>0</v>
      </c>
      <c r="G209" s="11">
        <v>0</v>
      </c>
      <c r="H209" s="11">
        <v>0</v>
      </c>
    </row>
    <row r="210" spans="3:8">
      <c r="D210" s="12" t="s">
        <v>681</v>
      </c>
      <c r="E210" s="11">
        <v>0</v>
      </c>
      <c r="F210" s="11">
        <v>0</v>
      </c>
      <c r="G210" s="11">
        <v>0</v>
      </c>
      <c r="H210" s="11">
        <v>0</v>
      </c>
    </row>
    <row r="211" spans="3:8">
      <c r="D211" s="12" t="s">
        <v>485</v>
      </c>
      <c r="E211" s="11">
        <v>0</v>
      </c>
      <c r="F211" s="11">
        <v>0</v>
      </c>
      <c r="G211" s="11">
        <v>0</v>
      </c>
      <c r="H211" s="11">
        <v>0</v>
      </c>
    </row>
    <row r="212" spans="3:8">
      <c r="D212" s="12" t="s">
        <v>200</v>
      </c>
      <c r="E212" s="11">
        <v>91778</v>
      </c>
      <c r="F212" s="11">
        <v>0</v>
      </c>
      <c r="G212" s="11">
        <v>411283</v>
      </c>
      <c r="H212" s="11">
        <v>0</v>
      </c>
    </row>
    <row r="213" spans="3:8">
      <c r="D213" s="12" t="s">
        <v>746</v>
      </c>
      <c r="E213" s="11">
        <v>0</v>
      </c>
      <c r="F213" s="11">
        <v>0</v>
      </c>
      <c r="G213" s="11">
        <v>0</v>
      </c>
      <c r="H213" s="11">
        <v>0</v>
      </c>
    </row>
    <row r="214" spans="3:8">
      <c r="D214" s="12" t="s">
        <v>221</v>
      </c>
      <c r="E214" s="11">
        <v>20000</v>
      </c>
      <c r="F214" s="11">
        <v>0</v>
      </c>
      <c r="G214" s="11">
        <v>0</v>
      </c>
      <c r="H214" s="11">
        <v>0</v>
      </c>
    </row>
    <row r="215" spans="3:8">
      <c r="D215" s="12" t="s">
        <v>394</v>
      </c>
      <c r="E215" s="11">
        <v>4265067.0199999996</v>
      </c>
      <c r="F215" s="11">
        <v>0</v>
      </c>
      <c r="G215" s="11">
        <v>1371677.02</v>
      </c>
      <c r="H215" s="11">
        <v>0</v>
      </c>
    </row>
    <row r="216" spans="3:8">
      <c r="C216" s="12" t="s">
        <v>1042</v>
      </c>
      <c r="D216" s="230"/>
      <c r="E216" s="11">
        <v>4376845.0199999996</v>
      </c>
      <c r="F216" s="11">
        <v>0</v>
      </c>
      <c r="G216" s="11">
        <v>1840673.02</v>
      </c>
      <c r="H216" s="11">
        <v>0</v>
      </c>
    </row>
    <row r="217" spans="3:8">
      <c r="C217" s="12" t="s">
        <v>599</v>
      </c>
      <c r="D217" s="12" t="s">
        <v>597</v>
      </c>
      <c r="E217" s="11">
        <v>0</v>
      </c>
      <c r="F217" s="11">
        <v>0</v>
      </c>
      <c r="G217" s="11">
        <v>1137100</v>
      </c>
      <c r="H217" s="11">
        <v>0</v>
      </c>
    </row>
    <row r="218" spans="3:8">
      <c r="C218" s="12" t="s">
        <v>1043</v>
      </c>
      <c r="D218" s="230"/>
      <c r="E218" s="11">
        <v>0</v>
      </c>
      <c r="F218" s="11">
        <v>0</v>
      </c>
      <c r="G218" s="11">
        <v>1137100</v>
      </c>
      <c r="H218" s="11">
        <v>0</v>
      </c>
    </row>
    <row r="219" spans="3:8">
      <c r="C219" s="12" t="s">
        <v>966</v>
      </c>
      <c r="D219" s="12" t="s">
        <v>292</v>
      </c>
      <c r="E219" s="11">
        <v>413262</v>
      </c>
      <c r="F219" s="11">
        <v>0</v>
      </c>
      <c r="G219" s="11"/>
      <c r="H219" s="11"/>
    </row>
    <row r="220" spans="3:8">
      <c r="C220" s="12" t="s">
        <v>1060</v>
      </c>
      <c r="D220" s="230"/>
      <c r="E220" s="11">
        <v>413262</v>
      </c>
      <c r="F220" s="11">
        <v>0</v>
      </c>
      <c r="G220" s="11"/>
      <c r="H220" s="11"/>
    </row>
    <row r="221" spans="3:8">
      <c r="C221" s="12" t="s">
        <v>685</v>
      </c>
      <c r="D221" s="12" t="s">
        <v>155</v>
      </c>
      <c r="E221" s="11">
        <v>6177</v>
      </c>
      <c r="F221" s="11">
        <v>0</v>
      </c>
      <c r="G221" s="11"/>
      <c r="H221" s="11"/>
    </row>
    <row r="222" spans="3:8">
      <c r="D222" s="12" t="s">
        <v>156</v>
      </c>
      <c r="E222" s="11">
        <v>360609</v>
      </c>
      <c r="F222" s="11">
        <v>0</v>
      </c>
      <c r="G222" s="11">
        <v>545158</v>
      </c>
      <c r="H222" s="11">
        <v>0</v>
      </c>
    </row>
    <row r="223" spans="3:8">
      <c r="C223" s="12" t="s">
        <v>1044</v>
      </c>
      <c r="D223" s="230"/>
      <c r="E223" s="11">
        <v>366786</v>
      </c>
      <c r="F223" s="11">
        <v>0</v>
      </c>
      <c r="G223" s="11">
        <v>545158</v>
      </c>
      <c r="H223" s="11">
        <v>0</v>
      </c>
    </row>
    <row r="224" spans="3:8">
      <c r="C224" s="12" t="s">
        <v>686</v>
      </c>
      <c r="D224" s="12" t="s">
        <v>157</v>
      </c>
      <c r="E224" s="11">
        <v>579346</v>
      </c>
      <c r="F224" s="11">
        <v>0</v>
      </c>
      <c r="G224" s="11">
        <v>469083</v>
      </c>
      <c r="H224" s="11">
        <v>0</v>
      </c>
    </row>
    <row r="225" spans="1:8">
      <c r="D225" s="12" t="s">
        <v>251</v>
      </c>
      <c r="E225" s="11">
        <v>519498</v>
      </c>
      <c r="F225" s="11">
        <v>0</v>
      </c>
      <c r="G225" s="11">
        <v>167481</v>
      </c>
      <c r="H225" s="11">
        <v>0</v>
      </c>
    </row>
    <row r="226" spans="1:8">
      <c r="C226" s="12" t="s">
        <v>1045</v>
      </c>
      <c r="D226" s="230"/>
      <c r="E226" s="11">
        <v>1098844</v>
      </c>
      <c r="F226" s="11">
        <v>0</v>
      </c>
      <c r="G226" s="11">
        <v>636564</v>
      </c>
      <c r="H226" s="11">
        <v>0</v>
      </c>
    </row>
    <row r="227" spans="1:8">
      <c r="B227" s="12" t="s">
        <v>983</v>
      </c>
      <c r="C227" s="230"/>
      <c r="D227" s="230"/>
      <c r="E227" s="11">
        <v>6255737.0199999996</v>
      </c>
      <c r="F227" s="11">
        <v>0</v>
      </c>
      <c r="G227" s="11">
        <v>4159495.02</v>
      </c>
      <c r="H227" s="11">
        <v>0</v>
      </c>
    </row>
    <row r="228" spans="1:8">
      <c r="A228" s="12" t="s">
        <v>997</v>
      </c>
      <c r="B228" s="230"/>
      <c r="C228" s="230"/>
      <c r="D228" s="230"/>
      <c r="E228" s="11">
        <v>6255737.0199999996</v>
      </c>
      <c r="F228" s="11">
        <v>0</v>
      </c>
      <c r="G228" s="11">
        <v>4159495.02</v>
      </c>
      <c r="H228" s="11">
        <v>0</v>
      </c>
    </row>
    <row r="229" spans="1:8">
      <c r="A229" s="12">
        <v>12</v>
      </c>
      <c r="B229" s="12" t="s">
        <v>524</v>
      </c>
      <c r="C229" s="12" t="s">
        <v>525</v>
      </c>
      <c r="D229" s="12" t="s">
        <v>47</v>
      </c>
      <c r="E229" s="11">
        <v>0</v>
      </c>
      <c r="F229" s="11">
        <v>20413989</v>
      </c>
      <c r="G229" s="11">
        <v>0</v>
      </c>
      <c r="H229" s="11">
        <v>20413989</v>
      </c>
    </row>
    <row r="230" spans="1:8">
      <c r="D230" s="12" t="s">
        <v>289</v>
      </c>
      <c r="E230" s="11">
        <v>0</v>
      </c>
      <c r="F230" s="11">
        <v>50905004</v>
      </c>
      <c r="G230" s="11">
        <v>0</v>
      </c>
      <c r="H230" s="11">
        <v>50905004</v>
      </c>
    </row>
    <row r="231" spans="1:8">
      <c r="C231" s="12" t="s">
        <v>1011</v>
      </c>
      <c r="D231" s="230"/>
      <c r="E231" s="11">
        <v>0</v>
      </c>
      <c r="F231" s="11">
        <v>71318993</v>
      </c>
      <c r="G231" s="11">
        <v>0</v>
      </c>
      <c r="H231" s="11">
        <v>71318993</v>
      </c>
    </row>
    <row r="232" spans="1:8">
      <c r="B232" s="12" t="s">
        <v>972</v>
      </c>
      <c r="C232" s="230"/>
      <c r="D232" s="230"/>
      <c r="E232" s="11">
        <v>0</v>
      </c>
      <c r="F232" s="11">
        <v>71318993</v>
      </c>
      <c r="G232" s="11">
        <v>0</v>
      </c>
      <c r="H232" s="11">
        <v>71318993</v>
      </c>
    </row>
    <row r="233" spans="1:8">
      <c r="B233" s="12" t="s">
        <v>630</v>
      </c>
      <c r="C233" s="12" t="s">
        <v>631</v>
      </c>
      <c r="D233" s="12" t="s">
        <v>110</v>
      </c>
      <c r="E233" s="11">
        <v>0</v>
      </c>
      <c r="F233" s="11">
        <v>26922650</v>
      </c>
      <c r="G233" s="11">
        <v>0</v>
      </c>
      <c r="H233" s="11">
        <v>26922650</v>
      </c>
    </row>
    <row r="234" spans="1:8">
      <c r="C234" s="12" t="s">
        <v>1010</v>
      </c>
      <c r="D234" s="230"/>
      <c r="E234" s="11">
        <v>0</v>
      </c>
      <c r="F234" s="11">
        <v>26922650</v>
      </c>
      <c r="G234" s="11">
        <v>0</v>
      </c>
      <c r="H234" s="11">
        <v>26922650</v>
      </c>
    </row>
    <row r="235" spans="1:8">
      <c r="B235" s="12" t="s">
        <v>971</v>
      </c>
      <c r="C235" s="230"/>
      <c r="D235" s="230"/>
      <c r="E235" s="11">
        <v>0</v>
      </c>
      <c r="F235" s="11">
        <v>26922650</v>
      </c>
      <c r="G235" s="11">
        <v>0</v>
      </c>
      <c r="H235" s="11">
        <v>26922650</v>
      </c>
    </row>
    <row r="236" spans="1:8">
      <c r="A236" s="12" t="s">
        <v>998</v>
      </c>
      <c r="B236" s="230"/>
      <c r="C236" s="230"/>
      <c r="D236" s="230"/>
      <c r="E236" s="11">
        <v>0</v>
      </c>
      <c r="F236" s="11">
        <v>98241643</v>
      </c>
      <c r="G236" s="11">
        <v>0</v>
      </c>
      <c r="H236" s="11">
        <v>98241643</v>
      </c>
    </row>
    <row r="237" spans="1:8">
      <c r="A237" s="12">
        <v>13</v>
      </c>
      <c r="B237" s="12" t="s">
        <v>474</v>
      </c>
      <c r="C237" s="12" t="s">
        <v>835</v>
      </c>
      <c r="D237" s="12" t="s">
        <v>316</v>
      </c>
      <c r="E237" s="11">
        <v>0</v>
      </c>
      <c r="F237" s="11">
        <v>21743710</v>
      </c>
      <c r="G237" s="11"/>
      <c r="H237" s="11"/>
    </row>
    <row r="238" spans="1:8">
      <c r="D238" s="12" t="s">
        <v>313</v>
      </c>
      <c r="E238" s="11">
        <v>0</v>
      </c>
      <c r="F238" s="11">
        <v>7186632</v>
      </c>
      <c r="G238" s="11"/>
      <c r="H238" s="11"/>
    </row>
    <row r="239" spans="1:8">
      <c r="D239" s="12" t="s">
        <v>314</v>
      </c>
      <c r="E239" s="11">
        <v>0</v>
      </c>
      <c r="F239" s="11">
        <v>10481463</v>
      </c>
      <c r="G239" s="11">
        <v>0</v>
      </c>
      <c r="H239" s="11">
        <v>14600000</v>
      </c>
    </row>
    <row r="240" spans="1:8">
      <c r="D240" s="12" t="s">
        <v>834</v>
      </c>
      <c r="E240" s="11">
        <v>0</v>
      </c>
      <c r="F240" s="11">
        <v>0</v>
      </c>
      <c r="G240" s="11">
        <v>0</v>
      </c>
      <c r="H240" s="11">
        <v>3874175</v>
      </c>
    </row>
    <row r="241" spans="3:8">
      <c r="D241" s="12" t="s">
        <v>836</v>
      </c>
      <c r="E241" s="11">
        <v>0</v>
      </c>
      <c r="F241" s="11">
        <v>0</v>
      </c>
      <c r="G241" s="11">
        <v>0</v>
      </c>
      <c r="H241" s="11">
        <v>0</v>
      </c>
    </row>
    <row r="242" spans="3:8">
      <c r="D242" s="12" t="s">
        <v>837</v>
      </c>
      <c r="E242" s="11">
        <v>0</v>
      </c>
      <c r="F242" s="11">
        <v>0</v>
      </c>
      <c r="G242" s="11">
        <v>0</v>
      </c>
      <c r="H242" s="11">
        <v>3118016</v>
      </c>
    </row>
    <row r="243" spans="3:8">
      <c r="D243" s="12" t="s">
        <v>838</v>
      </c>
      <c r="E243" s="11">
        <v>0</v>
      </c>
      <c r="F243" s="11">
        <v>0</v>
      </c>
      <c r="G243" s="11">
        <v>0</v>
      </c>
      <c r="H243" s="11">
        <v>0</v>
      </c>
    </row>
    <row r="244" spans="3:8">
      <c r="C244" s="12" t="s">
        <v>1015</v>
      </c>
      <c r="D244" s="230"/>
      <c r="E244" s="11">
        <v>0</v>
      </c>
      <c r="F244" s="11">
        <v>39411805</v>
      </c>
      <c r="G244" s="11">
        <v>0</v>
      </c>
      <c r="H244" s="11">
        <v>21592191</v>
      </c>
    </row>
    <row r="245" spans="3:8">
      <c r="C245" s="12" t="s">
        <v>882</v>
      </c>
      <c r="D245" s="12" t="s">
        <v>881</v>
      </c>
      <c r="E245" s="11">
        <v>0</v>
      </c>
      <c r="F245" s="11">
        <v>0</v>
      </c>
      <c r="G245" s="11">
        <v>0</v>
      </c>
      <c r="H245" s="11">
        <v>0</v>
      </c>
    </row>
    <row r="246" spans="3:8">
      <c r="D246" s="12" t="s">
        <v>883</v>
      </c>
      <c r="E246" s="11">
        <v>0</v>
      </c>
      <c r="F246" s="11">
        <v>0</v>
      </c>
      <c r="G246" s="11">
        <v>0</v>
      </c>
      <c r="H246" s="11">
        <v>0</v>
      </c>
    </row>
    <row r="247" spans="3:8">
      <c r="D247" s="12" t="s">
        <v>884</v>
      </c>
      <c r="E247" s="11">
        <v>0</v>
      </c>
      <c r="F247" s="11">
        <v>0</v>
      </c>
      <c r="G247" s="11">
        <v>0</v>
      </c>
      <c r="H247" s="11">
        <v>0</v>
      </c>
    </row>
    <row r="248" spans="3:8">
      <c r="C248" s="12" t="s">
        <v>1016</v>
      </c>
      <c r="D248" s="230"/>
      <c r="E248" s="11">
        <v>0</v>
      </c>
      <c r="F248" s="11">
        <v>0</v>
      </c>
      <c r="G248" s="11">
        <v>0</v>
      </c>
      <c r="H248" s="11">
        <v>0</v>
      </c>
    </row>
    <row r="249" spans="3:8">
      <c r="C249" s="12" t="s">
        <v>475</v>
      </c>
      <c r="D249" s="12" t="s">
        <v>473</v>
      </c>
      <c r="E249" s="11">
        <v>0</v>
      </c>
      <c r="F249" s="11">
        <v>2535850</v>
      </c>
      <c r="G249" s="11">
        <v>0</v>
      </c>
      <c r="H249" s="11">
        <v>2353055</v>
      </c>
    </row>
    <row r="250" spans="3:8">
      <c r="D250" s="12" t="s">
        <v>28</v>
      </c>
      <c r="E250" s="11">
        <v>0</v>
      </c>
      <c r="F250" s="11">
        <v>1010842</v>
      </c>
      <c r="G250" s="11">
        <v>0</v>
      </c>
      <c r="H250" s="11">
        <v>941222</v>
      </c>
    </row>
    <row r="251" spans="3:8">
      <c r="D251" s="12" t="s">
        <v>38</v>
      </c>
      <c r="E251" s="11">
        <v>0</v>
      </c>
      <c r="F251" s="11">
        <v>1263552</v>
      </c>
      <c r="G251" s="11">
        <v>0</v>
      </c>
      <c r="H251" s="11">
        <v>1176528</v>
      </c>
    </row>
    <row r="252" spans="3:8">
      <c r="D252" s="12" t="s">
        <v>131</v>
      </c>
      <c r="E252" s="11">
        <v>0</v>
      </c>
      <c r="F252" s="11">
        <v>2165420</v>
      </c>
      <c r="G252" s="11"/>
      <c r="H252" s="11"/>
    </row>
    <row r="253" spans="3:8">
      <c r="D253" s="12" t="s">
        <v>136</v>
      </c>
      <c r="E253" s="11">
        <v>0</v>
      </c>
      <c r="F253" s="11">
        <v>1320768</v>
      </c>
      <c r="G253" s="11">
        <v>0</v>
      </c>
      <c r="H253" s="11">
        <v>1176528</v>
      </c>
    </row>
    <row r="254" spans="3:8">
      <c r="D254" s="12" t="s">
        <v>176</v>
      </c>
      <c r="E254" s="11">
        <v>0</v>
      </c>
      <c r="F254" s="11">
        <v>5747563</v>
      </c>
      <c r="G254" s="11">
        <v>0</v>
      </c>
      <c r="H254" s="11">
        <v>6384474</v>
      </c>
    </row>
    <row r="255" spans="3:8">
      <c r="D255" s="12" t="s">
        <v>181</v>
      </c>
      <c r="E255" s="11">
        <v>0</v>
      </c>
      <c r="F255" s="11">
        <v>3790656</v>
      </c>
      <c r="G255" s="11">
        <v>0</v>
      </c>
      <c r="H255" s="11">
        <v>3529583</v>
      </c>
    </row>
    <row r="256" spans="3:8">
      <c r="D256" s="12" t="s">
        <v>309</v>
      </c>
      <c r="E256" s="11">
        <v>0</v>
      </c>
      <c r="F256" s="11">
        <v>1218462</v>
      </c>
      <c r="G256" s="11">
        <v>0</v>
      </c>
      <c r="H256" s="11">
        <v>941222</v>
      </c>
    </row>
    <row r="257" spans="1:8">
      <c r="D257" s="12" t="s">
        <v>853</v>
      </c>
      <c r="E257" s="11">
        <v>0</v>
      </c>
      <c r="F257" s="11">
        <v>1895328</v>
      </c>
      <c r="G257" s="11">
        <v>0</v>
      </c>
      <c r="H257" s="11">
        <v>1764791</v>
      </c>
    </row>
    <row r="258" spans="1:8">
      <c r="D258" s="12" t="s">
        <v>340</v>
      </c>
      <c r="E258" s="11">
        <v>0</v>
      </c>
      <c r="F258" s="11">
        <v>3072538</v>
      </c>
      <c r="G258" s="11">
        <v>0</v>
      </c>
      <c r="H258" s="11">
        <v>1882446</v>
      </c>
    </row>
    <row r="259" spans="1:8">
      <c r="C259" s="12" t="s">
        <v>1017</v>
      </c>
      <c r="D259" s="230"/>
      <c r="E259" s="11">
        <v>0</v>
      </c>
      <c r="F259" s="11">
        <v>24020979</v>
      </c>
      <c r="G259" s="11">
        <v>0</v>
      </c>
      <c r="H259" s="11">
        <v>20149849</v>
      </c>
    </row>
    <row r="260" spans="1:8">
      <c r="B260" s="12" t="s">
        <v>973</v>
      </c>
      <c r="C260" s="230"/>
      <c r="D260" s="230"/>
      <c r="E260" s="11">
        <v>0</v>
      </c>
      <c r="F260" s="11">
        <v>63432784</v>
      </c>
      <c r="G260" s="11">
        <v>0</v>
      </c>
      <c r="H260" s="11">
        <v>41742040</v>
      </c>
    </row>
    <row r="261" spans="1:8">
      <c r="A261" s="12" t="s">
        <v>999</v>
      </c>
      <c r="B261" s="230"/>
      <c r="C261" s="230"/>
      <c r="D261" s="230"/>
      <c r="E261" s="11">
        <v>0</v>
      </c>
      <c r="F261" s="11">
        <v>63432784</v>
      </c>
      <c r="G261" s="11">
        <v>0</v>
      </c>
      <c r="H261" s="11">
        <v>41742040</v>
      </c>
    </row>
    <row r="262" spans="1:8">
      <c r="A262" s="12">
        <v>15</v>
      </c>
      <c r="B262" s="12" t="s">
        <v>595</v>
      </c>
      <c r="C262" s="12" t="s">
        <v>596</v>
      </c>
      <c r="D262" s="12" t="s">
        <v>81</v>
      </c>
      <c r="E262" s="11">
        <v>0</v>
      </c>
      <c r="F262" s="11">
        <v>19475121</v>
      </c>
      <c r="G262" s="11">
        <v>0</v>
      </c>
      <c r="H262" s="11">
        <v>20264926</v>
      </c>
    </row>
    <row r="263" spans="1:8">
      <c r="C263" s="12" t="s">
        <v>1018</v>
      </c>
      <c r="D263" s="230"/>
      <c r="E263" s="11">
        <v>0</v>
      </c>
      <c r="F263" s="11">
        <v>19475121</v>
      </c>
      <c r="G263" s="11">
        <v>0</v>
      </c>
      <c r="H263" s="11">
        <v>20264926</v>
      </c>
    </row>
    <row r="264" spans="1:8">
      <c r="B264" s="12" t="s">
        <v>974</v>
      </c>
      <c r="C264" s="230"/>
      <c r="D264" s="230"/>
      <c r="E264" s="11">
        <v>0</v>
      </c>
      <c r="F264" s="11">
        <v>19475121</v>
      </c>
      <c r="G264" s="11">
        <v>0</v>
      </c>
      <c r="H264" s="11">
        <v>20264926</v>
      </c>
    </row>
    <row r="265" spans="1:8">
      <c r="A265" s="12" t="s">
        <v>1000</v>
      </c>
      <c r="B265" s="230"/>
      <c r="C265" s="230"/>
      <c r="D265" s="230"/>
      <c r="E265" s="11">
        <v>0</v>
      </c>
      <c r="F265" s="11">
        <v>19475121</v>
      </c>
      <c r="G265" s="11">
        <v>0</v>
      </c>
      <c r="H265" s="11">
        <v>20264926</v>
      </c>
    </row>
    <row r="266" spans="1:8">
      <c r="A266" s="12">
        <v>16</v>
      </c>
      <c r="B266" s="12" t="s">
        <v>877</v>
      </c>
      <c r="C266" s="12" t="s">
        <v>878</v>
      </c>
      <c r="D266" s="12" t="s">
        <v>876</v>
      </c>
      <c r="E266" s="11">
        <v>0</v>
      </c>
      <c r="F266" s="11">
        <v>56842407.57</v>
      </c>
      <c r="G266" s="11">
        <v>0</v>
      </c>
      <c r="H266" s="11">
        <v>43576042.979999997</v>
      </c>
    </row>
    <row r="267" spans="1:8">
      <c r="C267" s="12" t="s">
        <v>1019</v>
      </c>
      <c r="D267" s="230"/>
      <c r="E267" s="11">
        <v>0</v>
      </c>
      <c r="F267" s="11">
        <v>56842407.57</v>
      </c>
      <c r="G267" s="11">
        <v>0</v>
      </c>
      <c r="H267" s="11">
        <v>43576042.979999997</v>
      </c>
    </row>
    <row r="268" spans="1:8">
      <c r="B268" s="12" t="s">
        <v>975</v>
      </c>
      <c r="C268" s="230"/>
      <c r="D268" s="230"/>
      <c r="E268" s="11">
        <v>0</v>
      </c>
      <c r="F268" s="11">
        <v>56842407.57</v>
      </c>
      <c r="G268" s="11">
        <v>0</v>
      </c>
      <c r="H268" s="11">
        <v>43576042.979999997</v>
      </c>
    </row>
    <row r="269" spans="1:8">
      <c r="A269" s="12" t="s">
        <v>1001</v>
      </c>
      <c r="B269" s="230"/>
      <c r="C269" s="230"/>
      <c r="D269" s="230"/>
      <c r="E269" s="11">
        <v>0</v>
      </c>
      <c r="F269" s="11">
        <v>56842407.57</v>
      </c>
      <c r="G269" s="11">
        <v>0</v>
      </c>
      <c r="H269" s="11">
        <v>43576042.979999997</v>
      </c>
    </row>
    <row r="270" spans="1:8">
      <c r="A270" s="12">
        <v>17</v>
      </c>
      <c r="B270" s="12" t="s">
        <v>415</v>
      </c>
      <c r="C270" s="12" t="s">
        <v>415</v>
      </c>
      <c r="D270" s="12" t="s">
        <v>448</v>
      </c>
      <c r="E270" s="11">
        <v>0</v>
      </c>
      <c r="F270" s="11">
        <v>0</v>
      </c>
      <c r="G270" s="11">
        <v>0</v>
      </c>
      <c r="H270" s="11">
        <v>0</v>
      </c>
    </row>
    <row r="271" spans="1:8">
      <c r="D271" s="12" t="s">
        <v>458</v>
      </c>
      <c r="E271" s="11">
        <v>0</v>
      </c>
      <c r="F271" s="11">
        <v>141516</v>
      </c>
      <c r="G271" s="11">
        <v>0</v>
      </c>
      <c r="H271" s="11">
        <v>68388</v>
      </c>
    </row>
    <row r="272" spans="1:8">
      <c r="D272" s="12" t="s">
        <v>459</v>
      </c>
      <c r="E272" s="11">
        <v>0</v>
      </c>
      <c r="F272" s="11">
        <v>0</v>
      </c>
      <c r="G272" s="11">
        <v>6461</v>
      </c>
      <c r="H272" s="11">
        <v>0</v>
      </c>
    </row>
    <row r="273" spans="4:8">
      <c r="D273" s="12" t="s">
        <v>25</v>
      </c>
      <c r="E273" s="11">
        <v>0</v>
      </c>
      <c r="F273" s="11">
        <v>782311</v>
      </c>
      <c r="G273" s="11"/>
      <c r="H273" s="11"/>
    </row>
    <row r="274" spans="4:8">
      <c r="D274" s="12" t="s">
        <v>477</v>
      </c>
      <c r="E274" s="11">
        <v>0</v>
      </c>
      <c r="F274" s="11">
        <v>0</v>
      </c>
      <c r="G274" s="11">
        <v>0</v>
      </c>
      <c r="H274" s="11">
        <v>0</v>
      </c>
    </row>
    <row r="275" spans="4:8">
      <c r="D275" s="12" t="s">
        <v>488</v>
      </c>
      <c r="E275" s="11">
        <v>0</v>
      </c>
      <c r="F275" s="11">
        <v>0</v>
      </c>
      <c r="G275" s="11">
        <v>0</v>
      </c>
      <c r="H275" s="11">
        <v>0</v>
      </c>
    </row>
    <row r="276" spans="4:8">
      <c r="D276" s="12" t="s">
        <v>492</v>
      </c>
      <c r="E276" s="11">
        <v>0</v>
      </c>
      <c r="F276" s="11">
        <v>0</v>
      </c>
      <c r="G276" s="11">
        <v>0</v>
      </c>
      <c r="H276" s="11">
        <v>0</v>
      </c>
    </row>
    <row r="277" spans="4:8">
      <c r="D277" s="12" t="s">
        <v>36</v>
      </c>
      <c r="E277" s="11">
        <v>0</v>
      </c>
      <c r="F277" s="11">
        <v>96676.08</v>
      </c>
      <c r="G277" s="11">
        <v>0</v>
      </c>
      <c r="H277" s="11">
        <v>61249</v>
      </c>
    </row>
    <row r="278" spans="4:8">
      <c r="D278" s="12" t="s">
        <v>512</v>
      </c>
      <c r="E278" s="11">
        <v>0</v>
      </c>
      <c r="F278" s="11">
        <v>0</v>
      </c>
      <c r="G278" s="11">
        <v>0</v>
      </c>
      <c r="H278" s="11">
        <v>262245</v>
      </c>
    </row>
    <row r="279" spans="4:8">
      <c r="D279" s="12" t="s">
        <v>42</v>
      </c>
      <c r="E279" s="11">
        <v>0</v>
      </c>
      <c r="F279" s="11">
        <v>57396</v>
      </c>
      <c r="G279" s="11">
        <v>0</v>
      </c>
      <c r="H279" s="11">
        <v>209878</v>
      </c>
    </row>
    <row r="280" spans="4:8">
      <c r="D280" s="12" t="s">
        <v>513</v>
      </c>
      <c r="E280" s="11">
        <v>0</v>
      </c>
      <c r="F280" s="11">
        <v>0</v>
      </c>
      <c r="G280" s="11">
        <v>0</v>
      </c>
      <c r="H280" s="11">
        <v>0</v>
      </c>
    </row>
    <row r="281" spans="4:8">
      <c r="D281" s="12" t="s">
        <v>921</v>
      </c>
      <c r="E281" s="11">
        <v>0</v>
      </c>
      <c r="F281" s="11">
        <v>0</v>
      </c>
      <c r="G281" s="11">
        <v>0</v>
      </c>
      <c r="H281" s="11">
        <v>0</v>
      </c>
    </row>
    <row r="282" spans="4:8">
      <c r="D282" s="12" t="s">
        <v>456</v>
      </c>
      <c r="E282" s="11">
        <v>0</v>
      </c>
      <c r="F282" s="11">
        <v>0</v>
      </c>
      <c r="G282" s="11">
        <v>0</v>
      </c>
      <c r="H282" s="11">
        <v>0</v>
      </c>
    </row>
    <row r="283" spans="4:8">
      <c r="D283" s="12" t="s">
        <v>457</v>
      </c>
      <c r="E283" s="11">
        <v>0</v>
      </c>
      <c r="F283" s="11">
        <v>0</v>
      </c>
      <c r="G283" s="11">
        <v>0</v>
      </c>
      <c r="H283" s="11">
        <v>0</v>
      </c>
    </row>
    <row r="284" spans="4:8">
      <c r="D284" s="12" t="s">
        <v>570</v>
      </c>
      <c r="E284" s="11">
        <v>0</v>
      </c>
      <c r="F284" s="11">
        <v>0</v>
      </c>
      <c r="G284" s="11">
        <v>0</v>
      </c>
      <c r="H284" s="11">
        <v>0</v>
      </c>
    </row>
    <row r="285" spans="4:8">
      <c r="D285" s="12" t="s">
        <v>571</v>
      </c>
      <c r="E285" s="11">
        <v>0</v>
      </c>
      <c r="F285" s="11">
        <v>0</v>
      </c>
      <c r="G285" s="11">
        <v>0</v>
      </c>
      <c r="H285" s="11">
        <v>638291</v>
      </c>
    </row>
    <row r="286" spans="4:8">
      <c r="D286" s="12" t="s">
        <v>63</v>
      </c>
      <c r="E286" s="11">
        <v>0</v>
      </c>
      <c r="F286" s="11">
        <v>244960</v>
      </c>
      <c r="G286" s="11"/>
      <c r="H286" s="11"/>
    </row>
    <row r="287" spans="4:8">
      <c r="D287" s="12" t="s">
        <v>576</v>
      </c>
      <c r="E287" s="11">
        <v>0</v>
      </c>
      <c r="F287" s="11">
        <v>0</v>
      </c>
      <c r="G287" s="11">
        <v>0</v>
      </c>
      <c r="H287" s="11">
        <v>0</v>
      </c>
    </row>
    <row r="288" spans="4:8">
      <c r="D288" s="12" t="s">
        <v>593</v>
      </c>
      <c r="E288" s="11">
        <v>0</v>
      </c>
      <c r="F288" s="11">
        <v>0</v>
      </c>
      <c r="G288" s="11">
        <v>0</v>
      </c>
      <c r="H288" s="11">
        <v>2151570</v>
      </c>
    </row>
    <row r="289" spans="4:8">
      <c r="D289" s="12" t="s">
        <v>618</v>
      </c>
      <c r="E289" s="11">
        <v>0</v>
      </c>
      <c r="F289" s="11">
        <v>0</v>
      </c>
      <c r="G289" s="11">
        <v>0</v>
      </c>
      <c r="H289" s="11">
        <v>24300</v>
      </c>
    </row>
    <row r="290" spans="4:8">
      <c r="D290" s="12" t="s">
        <v>427</v>
      </c>
      <c r="E290" s="11">
        <v>0</v>
      </c>
      <c r="F290" s="11">
        <v>0</v>
      </c>
      <c r="G290" s="11">
        <v>0</v>
      </c>
      <c r="H290" s="11">
        <v>334448</v>
      </c>
    </row>
    <row r="291" spans="4:8">
      <c r="D291" s="12" t="s">
        <v>105</v>
      </c>
      <c r="E291" s="11">
        <v>0</v>
      </c>
      <c r="F291" s="11">
        <v>66506</v>
      </c>
      <c r="G291" s="11">
        <v>0</v>
      </c>
      <c r="H291" s="11">
        <v>0</v>
      </c>
    </row>
    <row r="292" spans="4:8">
      <c r="D292" s="12" t="s">
        <v>106</v>
      </c>
      <c r="E292" s="11">
        <v>0</v>
      </c>
      <c r="F292" s="11">
        <v>4625753</v>
      </c>
      <c r="G292" s="11">
        <v>0</v>
      </c>
      <c r="H292" s="11">
        <v>4423234</v>
      </c>
    </row>
    <row r="293" spans="4:8">
      <c r="D293" s="12" t="s">
        <v>628</v>
      </c>
      <c r="E293" s="11">
        <v>0</v>
      </c>
      <c r="F293" s="11">
        <v>0</v>
      </c>
      <c r="G293" s="11">
        <v>0</v>
      </c>
      <c r="H293" s="11">
        <v>0</v>
      </c>
    </row>
    <row r="294" spans="4:8">
      <c r="D294" s="12" t="s">
        <v>639</v>
      </c>
      <c r="E294" s="11">
        <v>0</v>
      </c>
      <c r="F294" s="11">
        <v>0</v>
      </c>
      <c r="G294" s="11">
        <v>0</v>
      </c>
      <c r="H294" s="11">
        <v>0</v>
      </c>
    </row>
    <row r="295" spans="4:8">
      <c r="D295" s="12" t="s">
        <v>640</v>
      </c>
      <c r="E295" s="11">
        <v>0</v>
      </c>
      <c r="F295" s="11">
        <v>0</v>
      </c>
      <c r="G295" s="11">
        <v>0</v>
      </c>
      <c r="H295" s="11">
        <v>0</v>
      </c>
    </row>
    <row r="296" spans="4:8">
      <c r="D296" s="12" t="s">
        <v>646</v>
      </c>
      <c r="E296" s="11">
        <v>0</v>
      </c>
      <c r="F296" s="11">
        <v>0</v>
      </c>
      <c r="G296" s="11">
        <v>0</v>
      </c>
      <c r="H296" s="11">
        <v>57671</v>
      </c>
    </row>
    <row r="297" spans="4:8">
      <c r="D297" s="12" t="s">
        <v>647</v>
      </c>
      <c r="E297" s="11">
        <v>0</v>
      </c>
      <c r="F297" s="11">
        <v>0</v>
      </c>
      <c r="G297" s="11">
        <v>0</v>
      </c>
      <c r="H297" s="11">
        <v>0</v>
      </c>
    </row>
    <row r="298" spans="4:8">
      <c r="D298" s="12" t="s">
        <v>649</v>
      </c>
      <c r="E298" s="11">
        <v>0</v>
      </c>
      <c r="F298" s="11">
        <v>0</v>
      </c>
      <c r="G298" s="11">
        <v>0</v>
      </c>
      <c r="H298" s="11">
        <v>0</v>
      </c>
    </row>
    <row r="299" spans="4:8">
      <c r="D299" s="12" t="s">
        <v>660</v>
      </c>
      <c r="E299" s="11">
        <v>0</v>
      </c>
      <c r="F299" s="11">
        <v>0</v>
      </c>
      <c r="G299" s="11">
        <v>0</v>
      </c>
      <c r="H299" s="11">
        <v>0</v>
      </c>
    </row>
    <row r="300" spans="4:8">
      <c r="D300" s="12" t="s">
        <v>139</v>
      </c>
      <c r="E300" s="11">
        <v>0</v>
      </c>
      <c r="F300" s="11">
        <v>114473</v>
      </c>
      <c r="G300" s="11">
        <v>0</v>
      </c>
      <c r="H300" s="11">
        <v>67381.600000000006</v>
      </c>
    </row>
    <row r="301" spans="4:8">
      <c r="D301" s="12" t="s">
        <v>678</v>
      </c>
      <c r="E301" s="11">
        <v>0</v>
      </c>
      <c r="F301" s="11">
        <v>0</v>
      </c>
      <c r="G301" s="11">
        <v>0</v>
      </c>
      <c r="H301" s="11">
        <v>0</v>
      </c>
    </row>
    <row r="302" spans="4:8">
      <c r="D302" s="12" t="s">
        <v>419</v>
      </c>
      <c r="E302" s="11">
        <v>0</v>
      </c>
      <c r="F302" s="11">
        <v>0</v>
      </c>
      <c r="G302" s="11">
        <v>0</v>
      </c>
      <c r="H302" s="11">
        <v>4370857</v>
      </c>
    </row>
    <row r="303" spans="4:8">
      <c r="D303" s="12" t="s">
        <v>150</v>
      </c>
      <c r="E303" s="11">
        <v>0</v>
      </c>
      <c r="F303" s="11">
        <v>708000</v>
      </c>
      <c r="G303" s="11">
        <v>0</v>
      </c>
      <c r="H303" s="11">
        <v>0</v>
      </c>
    </row>
    <row r="304" spans="4:8">
      <c r="D304" s="12" t="s">
        <v>152</v>
      </c>
      <c r="E304" s="11">
        <v>0</v>
      </c>
      <c r="F304" s="11">
        <v>266778</v>
      </c>
      <c r="G304" s="11"/>
      <c r="H304" s="11"/>
    </row>
    <row r="305" spans="4:8">
      <c r="D305" s="12" t="s">
        <v>679</v>
      </c>
      <c r="E305" s="11">
        <v>0</v>
      </c>
      <c r="F305" s="11">
        <v>0</v>
      </c>
      <c r="G305" s="11">
        <v>0</v>
      </c>
      <c r="H305" s="11">
        <v>11630</v>
      </c>
    </row>
    <row r="306" spans="4:8">
      <c r="D306" s="12" t="s">
        <v>171</v>
      </c>
      <c r="E306" s="11">
        <v>11945</v>
      </c>
      <c r="F306" s="11">
        <v>0</v>
      </c>
      <c r="G306" s="11">
        <v>10681</v>
      </c>
      <c r="H306" s="11">
        <v>0</v>
      </c>
    </row>
    <row r="307" spans="4:8">
      <c r="D307" s="12" t="s">
        <v>707</v>
      </c>
      <c r="E307" s="11">
        <v>0</v>
      </c>
      <c r="F307" s="11">
        <v>0</v>
      </c>
      <c r="G307" s="11">
        <v>0</v>
      </c>
      <c r="H307" s="11">
        <v>0</v>
      </c>
    </row>
    <row r="308" spans="4:8">
      <c r="D308" s="12" t="s">
        <v>708</v>
      </c>
      <c r="E308" s="11">
        <v>0</v>
      </c>
      <c r="F308" s="11">
        <v>828637</v>
      </c>
      <c r="G308" s="11">
        <v>0</v>
      </c>
      <c r="H308" s="11">
        <v>537677</v>
      </c>
    </row>
    <row r="309" spans="4:8">
      <c r="D309" s="12" t="s">
        <v>927</v>
      </c>
      <c r="E309" s="11">
        <v>0</v>
      </c>
      <c r="F309" s="11">
        <v>0</v>
      </c>
      <c r="G309" s="11">
        <v>0</v>
      </c>
      <c r="H309" s="11">
        <v>71036</v>
      </c>
    </row>
    <row r="310" spans="4:8">
      <c r="D310" s="12" t="s">
        <v>712</v>
      </c>
      <c r="E310" s="11">
        <v>0</v>
      </c>
      <c r="F310" s="11">
        <v>0</v>
      </c>
      <c r="G310" s="11">
        <v>0</v>
      </c>
      <c r="H310" s="11">
        <v>0</v>
      </c>
    </row>
    <row r="311" spans="4:8">
      <c r="D311" s="12" t="s">
        <v>716</v>
      </c>
      <c r="E311" s="11">
        <v>0</v>
      </c>
      <c r="F311" s="11">
        <v>0</v>
      </c>
      <c r="G311" s="11">
        <v>0</v>
      </c>
      <c r="H311" s="11">
        <v>0</v>
      </c>
    </row>
    <row r="312" spans="4:8">
      <c r="D312" s="12" t="s">
        <v>182</v>
      </c>
      <c r="E312" s="11">
        <v>0</v>
      </c>
      <c r="F312" s="11">
        <v>17205005.399999999</v>
      </c>
      <c r="G312" s="11">
        <v>0</v>
      </c>
      <c r="H312" s="11">
        <v>12238807.5</v>
      </c>
    </row>
    <row r="313" spans="4:8">
      <c r="D313" s="12" t="s">
        <v>183</v>
      </c>
      <c r="E313" s="11">
        <v>0</v>
      </c>
      <c r="F313" s="11">
        <v>5788</v>
      </c>
      <c r="G313" s="11">
        <v>0</v>
      </c>
      <c r="H313" s="11">
        <v>0</v>
      </c>
    </row>
    <row r="314" spans="4:8">
      <c r="D314" s="12" t="s">
        <v>460</v>
      </c>
      <c r="E314" s="11">
        <v>0</v>
      </c>
      <c r="F314" s="11">
        <v>0</v>
      </c>
      <c r="G314" s="11">
        <v>0</v>
      </c>
      <c r="H314" s="11">
        <v>0</v>
      </c>
    </row>
    <row r="315" spans="4:8">
      <c r="D315" s="12" t="s">
        <v>722</v>
      </c>
      <c r="E315" s="11">
        <v>0</v>
      </c>
      <c r="F315" s="11">
        <v>0</v>
      </c>
      <c r="G315" s="11">
        <v>0</v>
      </c>
      <c r="H315" s="11">
        <v>0</v>
      </c>
    </row>
    <row r="316" spans="4:8">
      <c r="D316" s="12" t="s">
        <v>189</v>
      </c>
      <c r="E316" s="11">
        <v>0</v>
      </c>
      <c r="F316" s="11">
        <v>9742192</v>
      </c>
      <c r="G316" s="11"/>
      <c r="H316" s="11"/>
    </row>
    <row r="317" spans="4:8">
      <c r="D317" s="12" t="s">
        <v>723</v>
      </c>
      <c r="E317" s="11">
        <v>0</v>
      </c>
      <c r="F317" s="11">
        <v>0</v>
      </c>
      <c r="G317" s="11">
        <v>0</v>
      </c>
      <c r="H317" s="11">
        <v>5721513</v>
      </c>
    </row>
    <row r="318" spans="4:8">
      <c r="D318" s="12" t="s">
        <v>725</v>
      </c>
      <c r="E318" s="11">
        <v>0</v>
      </c>
      <c r="F318" s="11">
        <v>0</v>
      </c>
      <c r="G318" s="11">
        <v>0</v>
      </c>
      <c r="H318" s="11">
        <v>0</v>
      </c>
    </row>
    <row r="319" spans="4:8">
      <c r="D319" s="12" t="s">
        <v>195</v>
      </c>
      <c r="E319" s="11">
        <v>0</v>
      </c>
      <c r="F319" s="11">
        <v>10694991.5</v>
      </c>
      <c r="G319" s="11">
        <v>0</v>
      </c>
      <c r="H319" s="11">
        <v>11871807.5</v>
      </c>
    </row>
    <row r="320" spans="4:8">
      <c r="D320" s="12" t="s">
        <v>729</v>
      </c>
      <c r="E320" s="11">
        <v>0</v>
      </c>
      <c r="F320" s="11">
        <v>0</v>
      </c>
      <c r="G320" s="11">
        <v>0</v>
      </c>
      <c r="H320" s="11">
        <v>0</v>
      </c>
    </row>
    <row r="321" spans="4:8">
      <c r="D321" s="12" t="s">
        <v>202</v>
      </c>
      <c r="E321" s="11">
        <v>0</v>
      </c>
      <c r="F321" s="11">
        <v>4974989</v>
      </c>
      <c r="G321" s="11">
        <v>0</v>
      </c>
      <c r="H321" s="11">
        <v>2568965</v>
      </c>
    </row>
    <row r="322" spans="4:8">
      <c r="D322" s="12" t="s">
        <v>740</v>
      </c>
      <c r="E322" s="11">
        <v>0</v>
      </c>
      <c r="F322" s="11">
        <v>0</v>
      </c>
      <c r="G322" s="11">
        <v>0</v>
      </c>
      <c r="H322" s="11">
        <v>0</v>
      </c>
    </row>
    <row r="323" spans="4:8">
      <c r="D323" s="12" t="s">
        <v>424</v>
      </c>
      <c r="E323" s="11">
        <v>0</v>
      </c>
      <c r="F323" s="11">
        <v>0</v>
      </c>
      <c r="G323" s="11">
        <v>0</v>
      </c>
      <c r="H323" s="11">
        <v>0</v>
      </c>
    </row>
    <row r="324" spans="4:8">
      <c r="D324" s="12" t="s">
        <v>750</v>
      </c>
      <c r="E324" s="11">
        <v>0</v>
      </c>
      <c r="F324" s="11">
        <v>0</v>
      </c>
      <c r="G324" s="11">
        <v>0</v>
      </c>
      <c r="H324" s="11">
        <v>0</v>
      </c>
    </row>
    <row r="325" spans="4:8">
      <c r="D325" s="12" t="s">
        <v>426</v>
      </c>
      <c r="E325" s="11">
        <v>0</v>
      </c>
      <c r="F325" s="11">
        <v>0</v>
      </c>
      <c r="G325" s="11">
        <v>0</v>
      </c>
      <c r="H325" s="11">
        <v>379282</v>
      </c>
    </row>
    <row r="326" spans="4:8">
      <c r="D326" s="12" t="s">
        <v>214</v>
      </c>
      <c r="E326" s="11">
        <v>0</v>
      </c>
      <c r="F326" s="11">
        <v>0</v>
      </c>
      <c r="G326" s="11"/>
      <c r="H326" s="11"/>
    </row>
    <row r="327" spans="4:8">
      <c r="D327" s="12" t="s">
        <v>223</v>
      </c>
      <c r="E327" s="11">
        <v>0</v>
      </c>
      <c r="F327" s="11">
        <v>82682</v>
      </c>
      <c r="G327" s="11"/>
      <c r="H327" s="11"/>
    </row>
    <row r="328" spans="4:8">
      <c r="D328" s="12" t="s">
        <v>232</v>
      </c>
      <c r="E328" s="11">
        <v>0</v>
      </c>
      <c r="F328" s="11">
        <v>270000</v>
      </c>
      <c r="G328" s="11"/>
      <c r="H328" s="11"/>
    </row>
    <row r="329" spans="4:8">
      <c r="D329" s="12" t="s">
        <v>772</v>
      </c>
      <c r="E329" s="11">
        <v>0</v>
      </c>
      <c r="F329" s="11">
        <v>0</v>
      </c>
      <c r="G329" s="11">
        <v>0</v>
      </c>
      <c r="H329" s="11">
        <v>700</v>
      </c>
    </row>
    <row r="330" spans="4:8">
      <c r="D330" s="12" t="s">
        <v>779</v>
      </c>
      <c r="E330" s="11">
        <v>0</v>
      </c>
      <c r="F330" s="11">
        <v>0</v>
      </c>
      <c r="G330" s="11">
        <v>0</v>
      </c>
      <c r="H330" s="11">
        <v>0</v>
      </c>
    </row>
    <row r="331" spans="4:8">
      <c r="D331" s="12" t="s">
        <v>246</v>
      </c>
      <c r="E331" s="11">
        <v>0</v>
      </c>
      <c r="F331" s="11">
        <v>2844884</v>
      </c>
      <c r="G331" s="11">
        <v>0</v>
      </c>
      <c r="H331" s="11">
        <v>1343333</v>
      </c>
    </row>
    <row r="332" spans="4:8">
      <c r="D332" s="12" t="s">
        <v>782</v>
      </c>
      <c r="E332" s="11">
        <v>0</v>
      </c>
      <c r="F332" s="11">
        <v>0</v>
      </c>
      <c r="G332" s="11">
        <v>0</v>
      </c>
      <c r="H332" s="11">
        <v>0</v>
      </c>
    </row>
    <row r="333" spans="4:8">
      <c r="D333" s="12" t="s">
        <v>804</v>
      </c>
      <c r="E333" s="11">
        <v>0</v>
      </c>
      <c r="F333" s="11">
        <v>0</v>
      </c>
      <c r="G333" s="11">
        <v>0</v>
      </c>
      <c r="H333" s="11">
        <v>12385</v>
      </c>
    </row>
    <row r="334" spans="4:8">
      <c r="D334" s="12" t="s">
        <v>805</v>
      </c>
      <c r="E334" s="11">
        <v>0</v>
      </c>
      <c r="F334" s="11">
        <v>1743178</v>
      </c>
      <c r="G334" s="11">
        <v>0</v>
      </c>
      <c r="H334" s="11">
        <v>9346</v>
      </c>
    </row>
    <row r="335" spans="4:8">
      <c r="D335" s="12" t="s">
        <v>278</v>
      </c>
      <c r="E335" s="11">
        <v>0</v>
      </c>
      <c r="F335" s="11">
        <v>1439364</v>
      </c>
      <c r="G335" s="11">
        <v>0</v>
      </c>
      <c r="H335" s="11">
        <v>13051000</v>
      </c>
    </row>
    <row r="336" spans="4:8">
      <c r="D336" s="12" t="s">
        <v>816</v>
      </c>
      <c r="E336" s="11">
        <v>0</v>
      </c>
      <c r="F336" s="11">
        <v>0</v>
      </c>
      <c r="G336" s="11">
        <v>0</v>
      </c>
      <c r="H336" s="11">
        <v>2563</v>
      </c>
    </row>
    <row r="337" spans="4:8">
      <c r="D337" s="12" t="s">
        <v>817</v>
      </c>
      <c r="E337" s="11">
        <v>0</v>
      </c>
      <c r="F337" s="11">
        <v>0</v>
      </c>
      <c r="G337" s="11">
        <v>0</v>
      </c>
      <c r="H337" s="11">
        <v>0</v>
      </c>
    </row>
    <row r="338" spans="4:8">
      <c r="D338" s="12" t="s">
        <v>819</v>
      </c>
      <c r="E338" s="11">
        <v>0</v>
      </c>
      <c r="F338" s="11">
        <v>0</v>
      </c>
      <c r="G338" s="11">
        <v>0</v>
      </c>
      <c r="H338" s="11">
        <v>0</v>
      </c>
    </row>
    <row r="339" spans="4:8">
      <c r="D339" s="12" t="s">
        <v>293</v>
      </c>
      <c r="E339" s="11">
        <v>0</v>
      </c>
      <c r="F339" s="11">
        <v>2717096</v>
      </c>
      <c r="G339" s="11">
        <v>0</v>
      </c>
      <c r="H339" s="11">
        <v>1692622</v>
      </c>
    </row>
    <row r="340" spans="4:8">
      <c r="D340" s="12" t="s">
        <v>298</v>
      </c>
      <c r="E340" s="11">
        <v>0</v>
      </c>
      <c r="F340" s="11">
        <v>30090</v>
      </c>
      <c r="G340" s="11">
        <v>0</v>
      </c>
      <c r="H340" s="11">
        <v>19934</v>
      </c>
    </row>
    <row r="341" spans="4:8">
      <c r="D341" s="12" t="s">
        <v>839</v>
      </c>
      <c r="E341" s="11">
        <v>0</v>
      </c>
      <c r="F341" s="11">
        <v>0</v>
      </c>
      <c r="G341" s="11">
        <v>0</v>
      </c>
      <c r="H341" s="11">
        <v>0</v>
      </c>
    </row>
    <row r="342" spans="4:8">
      <c r="D342" s="12" t="s">
        <v>841</v>
      </c>
      <c r="E342" s="11">
        <v>0</v>
      </c>
      <c r="F342" s="11">
        <v>0</v>
      </c>
      <c r="G342" s="11">
        <v>0</v>
      </c>
      <c r="H342" s="11">
        <v>0</v>
      </c>
    </row>
    <row r="343" spans="4:8">
      <c r="D343" s="12" t="s">
        <v>300</v>
      </c>
      <c r="E343" s="11">
        <v>0</v>
      </c>
      <c r="F343" s="11">
        <v>122753</v>
      </c>
      <c r="G343" s="11">
        <v>0</v>
      </c>
      <c r="H343" s="11">
        <v>331346</v>
      </c>
    </row>
    <row r="344" spans="4:8">
      <c r="D344" s="12" t="s">
        <v>852</v>
      </c>
      <c r="E344" s="11">
        <v>0</v>
      </c>
      <c r="F344" s="11">
        <v>0</v>
      </c>
      <c r="G344" s="11">
        <v>0</v>
      </c>
      <c r="H344" s="11">
        <v>0</v>
      </c>
    </row>
    <row r="345" spans="4:8">
      <c r="D345" s="12" t="s">
        <v>854</v>
      </c>
      <c r="E345" s="11">
        <v>0</v>
      </c>
      <c r="F345" s="11">
        <v>0</v>
      </c>
      <c r="G345" s="11">
        <v>0</v>
      </c>
      <c r="H345" s="11">
        <v>0</v>
      </c>
    </row>
    <row r="346" spans="4:8">
      <c r="D346" s="12" t="s">
        <v>425</v>
      </c>
      <c r="E346" s="11">
        <v>0</v>
      </c>
      <c r="F346" s="11">
        <v>0</v>
      </c>
      <c r="G346" s="11">
        <v>0</v>
      </c>
      <c r="H346" s="11">
        <v>401154</v>
      </c>
    </row>
    <row r="347" spans="4:8">
      <c r="D347" s="12" t="s">
        <v>319</v>
      </c>
      <c r="E347" s="11">
        <v>0</v>
      </c>
      <c r="F347" s="11">
        <v>429511</v>
      </c>
      <c r="G347" s="11"/>
      <c r="H347" s="11"/>
    </row>
    <row r="348" spans="4:8">
      <c r="D348" s="12" t="s">
        <v>320</v>
      </c>
      <c r="E348" s="11">
        <v>0</v>
      </c>
      <c r="F348" s="11">
        <v>85432</v>
      </c>
      <c r="G348" s="11">
        <v>0</v>
      </c>
      <c r="H348" s="11">
        <v>204940</v>
      </c>
    </row>
    <row r="349" spans="4:8">
      <c r="D349" s="12" t="s">
        <v>860</v>
      </c>
      <c r="E349" s="11">
        <v>0</v>
      </c>
      <c r="F349" s="11">
        <v>0</v>
      </c>
      <c r="G349" s="11">
        <v>0</v>
      </c>
      <c r="H349" s="11">
        <v>0</v>
      </c>
    </row>
    <row r="350" spans="4:8">
      <c r="D350" s="12" t="s">
        <v>862</v>
      </c>
      <c r="E350" s="11">
        <v>0</v>
      </c>
      <c r="F350" s="11">
        <v>0</v>
      </c>
      <c r="G350" s="11">
        <v>0</v>
      </c>
      <c r="H350" s="11">
        <v>0</v>
      </c>
    </row>
    <row r="351" spans="4:8">
      <c r="D351" s="12" t="s">
        <v>866</v>
      </c>
      <c r="E351" s="11">
        <v>0</v>
      </c>
      <c r="F351" s="11">
        <v>0</v>
      </c>
      <c r="G351" s="11">
        <v>0</v>
      </c>
      <c r="H351" s="11">
        <v>0</v>
      </c>
    </row>
    <row r="352" spans="4:8">
      <c r="D352" s="12" t="s">
        <v>867</v>
      </c>
      <c r="E352" s="11">
        <v>0</v>
      </c>
      <c r="F352" s="11">
        <v>0</v>
      </c>
      <c r="G352" s="11">
        <v>0</v>
      </c>
      <c r="H352" s="11">
        <v>0</v>
      </c>
    </row>
    <row r="353" spans="4:8">
      <c r="D353" s="12" t="s">
        <v>709</v>
      </c>
      <c r="E353" s="11">
        <v>0</v>
      </c>
      <c r="F353" s="11">
        <v>0</v>
      </c>
      <c r="G353" s="11">
        <v>0</v>
      </c>
      <c r="H353" s="11">
        <v>0</v>
      </c>
    </row>
    <row r="354" spans="4:8">
      <c r="D354" s="12" t="s">
        <v>330</v>
      </c>
      <c r="E354" s="11">
        <v>0</v>
      </c>
      <c r="F354" s="11">
        <v>2686453</v>
      </c>
      <c r="G354" s="11">
        <v>0</v>
      </c>
      <c r="H354" s="11">
        <v>2456715</v>
      </c>
    </row>
    <row r="355" spans="4:8">
      <c r="D355" s="12" t="s">
        <v>870</v>
      </c>
      <c r="E355" s="11">
        <v>0</v>
      </c>
      <c r="F355" s="11">
        <v>0</v>
      </c>
      <c r="G355" s="11">
        <v>0</v>
      </c>
      <c r="H355" s="11">
        <v>19308</v>
      </c>
    </row>
    <row r="356" spans="4:8">
      <c r="D356" s="12" t="s">
        <v>333</v>
      </c>
      <c r="E356" s="11">
        <v>0</v>
      </c>
      <c r="F356" s="11">
        <v>5633372.7000000002</v>
      </c>
      <c r="G356" s="11">
        <v>0</v>
      </c>
      <c r="H356" s="11">
        <v>586169</v>
      </c>
    </row>
    <row r="357" spans="4:8">
      <c r="D357" s="12" t="s">
        <v>334</v>
      </c>
      <c r="E357" s="11">
        <v>0</v>
      </c>
      <c r="F357" s="11">
        <v>36998</v>
      </c>
      <c r="G357" s="11"/>
      <c r="H357" s="11"/>
    </row>
    <row r="358" spans="4:8">
      <c r="D358" s="12" t="s">
        <v>336</v>
      </c>
      <c r="E358" s="11">
        <v>0</v>
      </c>
      <c r="F358" s="11">
        <v>198137</v>
      </c>
      <c r="G358" s="11">
        <v>0</v>
      </c>
      <c r="H358" s="11">
        <v>134747</v>
      </c>
    </row>
    <row r="359" spans="4:8">
      <c r="D359" s="12" t="s">
        <v>874</v>
      </c>
      <c r="E359" s="11">
        <v>0</v>
      </c>
      <c r="F359" s="11">
        <v>0</v>
      </c>
      <c r="G359" s="11">
        <v>0</v>
      </c>
      <c r="H359" s="11">
        <v>31436</v>
      </c>
    </row>
    <row r="360" spans="4:8">
      <c r="D360" s="12" t="s">
        <v>957</v>
      </c>
      <c r="E360" s="11">
        <v>0</v>
      </c>
      <c r="F360" s="11">
        <v>0</v>
      </c>
      <c r="G360" s="11">
        <v>0</v>
      </c>
      <c r="H360" s="11">
        <v>0</v>
      </c>
    </row>
    <row r="361" spans="4:8">
      <c r="D361" s="12" t="s">
        <v>352</v>
      </c>
      <c r="E361" s="11">
        <v>0</v>
      </c>
      <c r="F361" s="11">
        <v>261379</v>
      </c>
      <c r="G361" s="11">
        <v>0</v>
      </c>
      <c r="H361" s="11">
        <v>92070</v>
      </c>
    </row>
    <row r="362" spans="4:8">
      <c r="D362" s="12" t="s">
        <v>357</v>
      </c>
      <c r="E362" s="11">
        <v>0</v>
      </c>
      <c r="F362" s="11">
        <v>361080</v>
      </c>
      <c r="G362" s="11">
        <v>0</v>
      </c>
      <c r="H362" s="11">
        <v>455952</v>
      </c>
    </row>
    <row r="363" spans="4:8">
      <c r="D363" s="12" t="s">
        <v>905</v>
      </c>
      <c r="E363" s="11">
        <v>0</v>
      </c>
      <c r="F363" s="11">
        <v>0</v>
      </c>
      <c r="G363" s="11">
        <v>0</v>
      </c>
      <c r="H363" s="11">
        <v>41312</v>
      </c>
    </row>
    <row r="364" spans="4:8">
      <c r="D364" s="12" t="s">
        <v>907</v>
      </c>
      <c r="E364" s="11">
        <v>0</v>
      </c>
      <c r="F364" s="11">
        <v>411065</v>
      </c>
      <c r="G364" s="11">
        <v>0</v>
      </c>
      <c r="H364" s="11">
        <v>109340</v>
      </c>
    </row>
    <row r="365" spans="4:8">
      <c r="D365" s="12" t="s">
        <v>383</v>
      </c>
      <c r="E365" s="11">
        <v>0</v>
      </c>
      <c r="F365" s="11">
        <v>377600</v>
      </c>
      <c r="G365" s="11">
        <v>0</v>
      </c>
      <c r="H365" s="11">
        <v>377600</v>
      </c>
    </row>
    <row r="366" spans="4:8">
      <c r="D366" s="12" t="s">
        <v>912</v>
      </c>
      <c r="E366" s="11">
        <v>0</v>
      </c>
      <c r="F366" s="11">
        <v>0</v>
      </c>
      <c r="G366" s="11">
        <v>0</v>
      </c>
      <c r="H366" s="11">
        <v>1871806</v>
      </c>
    </row>
    <row r="367" spans="4:8">
      <c r="D367" s="12" t="s">
        <v>913</v>
      </c>
      <c r="E367" s="11">
        <v>0</v>
      </c>
      <c r="F367" s="11">
        <v>0</v>
      </c>
      <c r="G367" s="11">
        <v>0</v>
      </c>
      <c r="H367" s="11">
        <v>0</v>
      </c>
    </row>
    <row r="368" spans="4:8">
      <c r="D368" s="12" t="s">
        <v>945</v>
      </c>
      <c r="E368" s="11">
        <v>0</v>
      </c>
      <c r="F368" s="11">
        <v>0</v>
      </c>
      <c r="G368" s="11">
        <v>0</v>
      </c>
      <c r="H368" s="11">
        <v>0</v>
      </c>
    </row>
    <row r="369" spans="3:8">
      <c r="D369" s="12" t="s">
        <v>946</v>
      </c>
      <c r="E369" s="11">
        <v>0</v>
      </c>
      <c r="F369" s="11">
        <v>0</v>
      </c>
      <c r="G369" s="11">
        <v>0</v>
      </c>
      <c r="H369" s="11">
        <v>29906</v>
      </c>
    </row>
    <row r="370" spans="3:8">
      <c r="D370" s="12" t="s">
        <v>387</v>
      </c>
      <c r="E370" s="11">
        <v>0</v>
      </c>
      <c r="F370" s="11">
        <v>6011326</v>
      </c>
      <c r="G370" s="11">
        <v>0</v>
      </c>
      <c r="H370" s="11">
        <v>1429369</v>
      </c>
    </row>
    <row r="371" spans="3:8">
      <c r="D371" s="12" t="s">
        <v>388</v>
      </c>
      <c r="E371" s="11">
        <v>0</v>
      </c>
      <c r="F371" s="11">
        <v>1659637</v>
      </c>
      <c r="G371" s="11"/>
      <c r="H371" s="11"/>
    </row>
    <row r="372" spans="3:8">
      <c r="D372" s="12" t="s">
        <v>947</v>
      </c>
      <c r="E372" s="11">
        <v>0</v>
      </c>
      <c r="F372" s="11">
        <v>0</v>
      </c>
      <c r="G372" s="11">
        <v>0</v>
      </c>
      <c r="H372" s="11">
        <v>12900</v>
      </c>
    </row>
    <row r="373" spans="3:8">
      <c r="D373" s="12" t="s">
        <v>948</v>
      </c>
      <c r="E373" s="11">
        <v>0</v>
      </c>
      <c r="F373" s="11">
        <v>0</v>
      </c>
      <c r="G373" s="11">
        <v>0</v>
      </c>
      <c r="H373" s="11">
        <v>0</v>
      </c>
    </row>
    <row r="374" spans="3:8">
      <c r="D374" s="12" t="s">
        <v>418</v>
      </c>
      <c r="E374" s="11">
        <v>0</v>
      </c>
      <c r="F374" s="11">
        <v>0</v>
      </c>
      <c r="G374" s="11">
        <v>0</v>
      </c>
      <c r="H374" s="11">
        <v>0</v>
      </c>
    </row>
    <row r="375" spans="3:8">
      <c r="D375" s="12" t="s">
        <v>949</v>
      </c>
      <c r="E375" s="11">
        <v>0</v>
      </c>
      <c r="F375" s="11">
        <v>0</v>
      </c>
      <c r="G375" s="11">
        <v>0</v>
      </c>
      <c r="H375" s="11">
        <v>0</v>
      </c>
    </row>
    <row r="376" spans="3:8">
      <c r="D376" s="12" t="s">
        <v>951</v>
      </c>
      <c r="E376" s="11">
        <v>0</v>
      </c>
      <c r="F376" s="11">
        <v>226800</v>
      </c>
      <c r="G376" s="11">
        <v>0</v>
      </c>
      <c r="H376" s="11">
        <v>232050</v>
      </c>
    </row>
    <row r="377" spans="3:8">
      <c r="D377" s="12" t="s">
        <v>956</v>
      </c>
      <c r="E377" s="11">
        <v>0</v>
      </c>
      <c r="F377" s="11">
        <v>0</v>
      </c>
      <c r="G377" s="11">
        <v>0</v>
      </c>
      <c r="H377" s="11">
        <v>0</v>
      </c>
    </row>
    <row r="378" spans="3:8">
      <c r="C378" s="12" t="s">
        <v>976</v>
      </c>
      <c r="D378" s="230"/>
      <c r="E378" s="11">
        <v>11945</v>
      </c>
      <c r="F378" s="11">
        <v>78184809.679999992</v>
      </c>
      <c r="G378" s="11">
        <v>17142</v>
      </c>
      <c r="H378" s="11">
        <v>71020233.599999994</v>
      </c>
    </row>
    <row r="379" spans="3:8">
      <c r="C379" s="12" t="s">
        <v>416</v>
      </c>
      <c r="D379" s="12" t="s">
        <v>21</v>
      </c>
      <c r="E379" s="11">
        <v>0</v>
      </c>
      <c r="F379" s="11">
        <v>63720</v>
      </c>
      <c r="G379" s="11">
        <v>0</v>
      </c>
      <c r="H379" s="11">
        <v>156125</v>
      </c>
    </row>
    <row r="380" spans="3:8">
      <c r="D380" s="12" t="s">
        <v>431</v>
      </c>
      <c r="E380" s="11">
        <v>0</v>
      </c>
      <c r="F380" s="11">
        <v>0</v>
      </c>
      <c r="G380" s="11">
        <v>0</v>
      </c>
      <c r="H380" s="11">
        <v>0</v>
      </c>
    </row>
    <row r="381" spans="3:8">
      <c r="D381" s="12" t="s">
        <v>429</v>
      </c>
      <c r="E381" s="11">
        <v>0</v>
      </c>
      <c r="F381" s="11">
        <v>0</v>
      </c>
      <c r="G381" s="11">
        <v>0</v>
      </c>
      <c r="H381" s="11">
        <v>0</v>
      </c>
    </row>
    <row r="382" spans="3:8">
      <c r="D382" s="12" t="s">
        <v>469</v>
      </c>
      <c r="E382" s="11">
        <v>0</v>
      </c>
      <c r="F382" s="11">
        <v>0</v>
      </c>
      <c r="G382" s="11">
        <v>0</v>
      </c>
      <c r="H382" s="11">
        <v>0</v>
      </c>
    </row>
    <row r="383" spans="3:8">
      <c r="D383" s="12" t="s">
        <v>19</v>
      </c>
      <c r="E383" s="11">
        <v>0</v>
      </c>
      <c r="F383" s="11">
        <v>68453</v>
      </c>
      <c r="G383" s="11"/>
      <c r="H383" s="11"/>
    </row>
    <row r="384" spans="3:8">
      <c r="D384" s="12" t="s">
        <v>919</v>
      </c>
      <c r="E384" s="11">
        <v>0</v>
      </c>
      <c r="F384" s="11">
        <v>0</v>
      </c>
      <c r="G384" s="11">
        <v>0</v>
      </c>
      <c r="H384" s="11">
        <v>0</v>
      </c>
    </row>
    <row r="385" spans="4:8">
      <c r="D385" s="12" t="s">
        <v>442</v>
      </c>
      <c r="E385" s="11">
        <v>0</v>
      </c>
      <c r="F385" s="11">
        <v>0</v>
      </c>
      <c r="G385" s="11">
        <v>0</v>
      </c>
      <c r="H385" s="11">
        <v>0</v>
      </c>
    </row>
    <row r="386" spans="4:8">
      <c r="D386" s="12" t="s">
        <v>476</v>
      </c>
      <c r="E386" s="11">
        <v>0</v>
      </c>
      <c r="F386" s="11">
        <v>0</v>
      </c>
      <c r="G386" s="11">
        <v>0</v>
      </c>
      <c r="H386" s="11">
        <v>0</v>
      </c>
    </row>
    <row r="387" spans="4:8">
      <c r="D387" s="12" t="s">
        <v>430</v>
      </c>
      <c r="E387" s="11">
        <v>0</v>
      </c>
      <c r="F387" s="11">
        <v>0</v>
      </c>
      <c r="G387" s="11">
        <v>0</v>
      </c>
      <c r="H387" s="11">
        <v>50553</v>
      </c>
    </row>
    <row r="388" spans="4:8">
      <c r="D388" s="12" t="s">
        <v>31</v>
      </c>
      <c r="E388" s="11">
        <v>56700</v>
      </c>
      <c r="F388" s="11">
        <v>0</v>
      </c>
      <c r="G388" s="11"/>
      <c r="H388" s="11"/>
    </row>
    <row r="389" spans="4:8">
      <c r="D389" s="12" t="s">
        <v>489</v>
      </c>
      <c r="E389" s="11">
        <v>0</v>
      </c>
      <c r="F389" s="11">
        <v>0</v>
      </c>
      <c r="G389" s="11">
        <v>0</v>
      </c>
      <c r="H389" s="11">
        <v>0</v>
      </c>
    </row>
    <row r="390" spans="4:8">
      <c r="D390" s="12" t="s">
        <v>34</v>
      </c>
      <c r="E390" s="11">
        <v>0</v>
      </c>
      <c r="F390" s="11">
        <v>247500</v>
      </c>
      <c r="G390" s="11">
        <v>0</v>
      </c>
      <c r="H390" s="11">
        <v>0</v>
      </c>
    </row>
    <row r="391" spans="4:8">
      <c r="D391" s="12" t="s">
        <v>432</v>
      </c>
      <c r="E391" s="11">
        <v>0</v>
      </c>
      <c r="F391" s="11">
        <v>0</v>
      </c>
      <c r="G391" s="11">
        <v>0</v>
      </c>
      <c r="H391" s="11">
        <v>82125</v>
      </c>
    </row>
    <row r="392" spans="4:8">
      <c r="D392" s="12" t="s">
        <v>497</v>
      </c>
      <c r="E392" s="11">
        <v>0</v>
      </c>
      <c r="F392" s="11">
        <v>0</v>
      </c>
      <c r="G392" s="11">
        <v>0</v>
      </c>
      <c r="H392" s="11">
        <v>0</v>
      </c>
    </row>
    <row r="393" spans="4:8">
      <c r="D393" s="12" t="s">
        <v>37</v>
      </c>
      <c r="E393" s="11">
        <v>0</v>
      </c>
      <c r="F393" s="11">
        <v>28252</v>
      </c>
      <c r="G393" s="11"/>
      <c r="H393" s="11"/>
    </row>
    <row r="394" spans="4:8">
      <c r="D394" s="12" t="s">
        <v>922</v>
      </c>
      <c r="E394" s="11">
        <v>0</v>
      </c>
      <c r="F394" s="11">
        <v>0</v>
      </c>
      <c r="G394" s="11">
        <v>0</v>
      </c>
      <c r="H394" s="11">
        <v>0</v>
      </c>
    </row>
    <row r="395" spans="4:8">
      <c r="D395" s="12" t="s">
        <v>436</v>
      </c>
      <c r="E395" s="11">
        <v>0</v>
      </c>
      <c r="F395" s="11">
        <v>0</v>
      </c>
      <c r="G395" s="11">
        <v>0</v>
      </c>
      <c r="H395" s="11">
        <v>32332</v>
      </c>
    </row>
    <row r="396" spans="4:8">
      <c r="D396" s="12" t="s">
        <v>437</v>
      </c>
      <c r="E396" s="11">
        <v>0</v>
      </c>
      <c r="F396" s="11">
        <v>0</v>
      </c>
      <c r="G396" s="11">
        <v>0</v>
      </c>
      <c r="H396" s="11">
        <v>4520</v>
      </c>
    </row>
    <row r="397" spans="4:8">
      <c r="D397" s="12" t="s">
        <v>567</v>
      </c>
      <c r="E397" s="11">
        <v>0</v>
      </c>
      <c r="F397" s="11">
        <v>0</v>
      </c>
      <c r="G397" s="11">
        <v>0</v>
      </c>
      <c r="H397" s="11">
        <v>0</v>
      </c>
    </row>
    <row r="398" spans="4:8">
      <c r="D398" s="12" t="s">
        <v>568</v>
      </c>
      <c r="E398" s="11">
        <v>0</v>
      </c>
      <c r="F398" s="11">
        <v>0</v>
      </c>
      <c r="G398" s="11">
        <v>0</v>
      </c>
      <c r="H398" s="11">
        <v>0</v>
      </c>
    </row>
    <row r="399" spans="4:8">
      <c r="D399" s="12" t="s">
        <v>68</v>
      </c>
      <c r="E399" s="11">
        <v>0</v>
      </c>
      <c r="F399" s="11">
        <v>29986</v>
      </c>
      <c r="G399" s="11"/>
      <c r="H399" s="11"/>
    </row>
    <row r="400" spans="4:8">
      <c r="D400" s="12" t="s">
        <v>924</v>
      </c>
      <c r="E400" s="11">
        <v>0</v>
      </c>
      <c r="F400" s="11">
        <v>0</v>
      </c>
      <c r="G400" s="11">
        <v>0</v>
      </c>
      <c r="H400" s="11">
        <v>0</v>
      </c>
    </row>
    <row r="401" spans="4:8">
      <c r="D401" s="12" t="s">
        <v>417</v>
      </c>
      <c r="E401" s="11">
        <v>0</v>
      </c>
      <c r="F401" s="11">
        <v>0</v>
      </c>
      <c r="G401" s="11">
        <v>0</v>
      </c>
      <c r="H401" s="11">
        <v>247500</v>
      </c>
    </row>
    <row r="402" spans="4:8">
      <c r="D402" s="12" t="s">
        <v>80</v>
      </c>
      <c r="E402" s="11">
        <v>0</v>
      </c>
      <c r="F402" s="11">
        <v>28004</v>
      </c>
      <c r="G402" s="11">
        <v>0</v>
      </c>
      <c r="H402" s="11">
        <v>0</v>
      </c>
    </row>
    <row r="403" spans="4:8">
      <c r="D403" s="12" t="s">
        <v>101</v>
      </c>
      <c r="E403" s="11">
        <v>0</v>
      </c>
      <c r="F403" s="11">
        <v>101425.16</v>
      </c>
      <c r="G403" s="11">
        <v>811474.84</v>
      </c>
      <c r="H403" s="11">
        <v>0</v>
      </c>
    </row>
    <row r="404" spans="4:8">
      <c r="D404" s="12" t="s">
        <v>103</v>
      </c>
      <c r="E404" s="11">
        <v>0</v>
      </c>
      <c r="F404" s="11">
        <v>78588</v>
      </c>
      <c r="G404" s="11"/>
      <c r="H404" s="11"/>
    </row>
    <row r="405" spans="4:8">
      <c r="D405" s="12" t="s">
        <v>104</v>
      </c>
      <c r="E405" s="11">
        <v>0</v>
      </c>
      <c r="F405" s="11">
        <v>41913</v>
      </c>
      <c r="G405" s="11">
        <v>0</v>
      </c>
      <c r="H405" s="11">
        <v>0</v>
      </c>
    </row>
    <row r="406" spans="4:8">
      <c r="D406" s="12" t="s">
        <v>109</v>
      </c>
      <c r="E406" s="11">
        <v>0</v>
      </c>
      <c r="F406" s="11">
        <v>227278</v>
      </c>
      <c r="G406" s="11"/>
      <c r="H406" s="11"/>
    </row>
    <row r="407" spans="4:8">
      <c r="D407" s="12" t="s">
        <v>638</v>
      </c>
      <c r="E407" s="11">
        <v>0</v>
      </c>
      <c r="F407" s="11">
        <v>387409</v>
      </c>
      <c r="G407" s="11">
        <v>0</v>
      </c>
      <c r="H407" s="11">
        <v>279076</v>
      </c>
    </row>
    <row r="408" spans="4:8">
      <c r="D408" s="12" t="s">
        <v>644</v>
      </c>
      <c r="E408" s="11">
        <v>0</v>
      </c>
      <c r="F408" s="11">
        <v>0</v>
      </c>
      <c r="G408" s="11">
        <v>0</v>
      </c>
      <c r="H408" s="11">
        <v>0</v>
      </c>
    </row>
    <row r="409" spans="4:8">
      <c r="D409" s="12" t="s">
        <v>925</v>
      </c>
      <c r="E409" s="11">
        <v>0</v>
      </c>
      <c r="F409" s="11">
        <v>13500</v>
      </c>
      <c r="G409" s="11">
        <v>0</v>
      </c>
      <c r="H409" s="11">
        <v>0</v>
      </c>
    </row>
    <row r="410" spans="4:8">
      <c r="D410" s="12" t="s">
        <v>651</v>
      </c>
      <c r="E410" s="11">
        <v>0</v>
      </c>
      <c r="F410" s="11">
        <v>0</v>
      </c>
      <c r="G410" s="11">
        <v>0</v>
      </c>
      <c r="H410" s="11">
        <v>0</v>
      </c>
    </row>
    <row r="411" spans="4:8">
      <c r="D411" s="12" t="s">
        <v>659</v>
      </c>
      <c r="E411" s="11">
        <v>0</v>
      </c>
      <c r="F411" s="11">
        <v>0</v>
      </c>
      <c r="G411" s="11">
        <v>0</v>
      </c>
      <c r="H411" s="11">
        <v>0</v>
      </c>
    </row>
    <row r="412" spans="4:8">
      <c r="D412" s="12" t="s">
        <v>661</v>
      </c>
      <c r="E412" s="11">
        <v>0</v>
      </c>
      <c r="F412" s="11">
        <v>0</v>
      </c>
      <c r="G412" s="11">
        <v>0</v>
      </c>
      <c r="H412" s="11">
        <v>8459</v>
      </c>
    </row>
    <row r="413" spans="4:8">
      <c r="D413" s="12" t="s">
        <v>652</v>
      </c>
      <c r="E413" s="11">
        <v>0</v>
      </c>
      <c r="F413" s="11">
        <v>0</v>
      </c>
      <c r="G413" s="11">
        <v>0</v>
      </c>
      <c r="H413" s="11">
        <v>116424</v>
      </c>
    </row>
    <row r="414" spans="4:8">
      <c r="D414" s="12" t="s">
        <v>498</v>
      </c>
      <c r="E414" s="11">
        <v>0</v>
      </c>
      <c r="F414" s="11">
        <v>0</v>
      </c>
      <c r="G414" s="11">
        <v>0</v>
      </c>
      <c r="H414" s="11">
        <v>0</v>
      </c>
    </row>
    <row r="415" spans="4:8">
      <c r="D415" s="12" t="s">
        <v>496</v>
      </c>
      <c r="E415" s="11">
        <v>0</v>
      </c>
      <c r="F415" s="11">
        <v>0</v>
      </c>
      <c r="G415" s="11">
        <v>36037</v>
      </c>
      <c r="H415" s="11">
        <v>0</v>
      </c>
    </row>
    <row r="416" spans="4:8">
      <c r="D416" s="12" t="s">
        <v>499</v>
      </c>
      <c r="E416" s="11">
        <v>0</v>
      </c>
      <c r="F416" s="11">
        <v>0</v>
      </c>
      <c r="G416" s="11">
        <v>0</v>
      </c>
      <c r="H416" s="11">
        <v>0</v>
      </c>
    </row>
    <row r="417" spans="4:8">
      <c r="D417" s="12" t="s">
        <v>713</v>
      </c>
      <c r="E417" s="11">
        <v>0</v>
      </c>
      <c r="F417" s="11">
        <v>0</v>
      </c>
      <c r="G417" s="11">
        <v>0</v>
      </c>
      <c r="H417" s="11">
        <v>0</v>
      </c>
    </row>
    <row r="418" spans="4:8">
      <c r="D418" s="12" t="s">
        <v>714</v>
      </c>
      <c r="E418" s="11">
        <v>0</v>
      </c>
      <c r="F418" s="11">
        <v>0</v>
      </c>
      <c r="G418" s="11">
        <v>0</v>
      </c>
      <c r="H418" s="11">
        <v>0</v>
      </c>
    </row>
    <row r="419" spans="4:8">
      <c r="D419" s="12" t="s">
        <v>720</v>
      </c>
      <c r="E419" s="11">
        <v>0</v>
      </c>
      <c r="F419" s="11">
        <v>0</v>
      </c>
      <c r="G419" s="11">
        <v>0</v>
      </c>
      <c r="H419" s="11">
        <v>0</v>
      </c>
    </row>
    <row r="420" spans="4:8">
      <c r="D420" s="12" t="s">
        <v>721</v>
      </c>
      <c r="E420" s="11">
        <v>0</v>
      </c>
      <c r="F420" s="11">
        <v>0</v>
      </c>
      <c r="G420" s="11">
        <v>0</v>
      </c>
      <c r="H420" s="11">
        <v>0</v>
      </c>
    </row>
    <row r="421" spans="4:8">
      <c r="D421" s="12" t="s">
        <v>185</v>
      </c>
      <c r="E421" s="11">
        <v>0</v>
      </c>
      <c r="F421" s="11">
        <v>4130</v>
      </c>
      <c r="G421" s="11">
        <v>0</v>
      </c>
      <c r="H421" s="11">
        <v>0</v>
      </c>
    </row>
    <row r="422" spans="4:8">
      <c r="D422" s="12" t="s">
        <v>433</v>
      </c>
      <c r="E422" s="11">
        <v>0</v>
      </c>
      <c r="F422" s="11">
        <v>0</v>
      </c>
      <c r="G422" s="11">
        <v>0</v>
      </c>
      <c r="H422" s="11">
        <v>3244</v>
      </c>
    </row>
    <row r="423" spans="4:8">
      <c r="D423" s="12" t="s">
        <v>503</v>
      </c>
      <c r="E423" s="11">
        <v>0</v>
      </c>
      <c r="F423" s="11">
        <v>0</v>
      </c>
      <c r="G423" s="11">
        <v>0</v>
      </c>
      <c r="H423" s="11">
        <v>0</v>
      </c>
    </row>
    <row r="424" spans="4:8">
      <c r="D424" s="12" t="s">
        <v>194</v>
      </c>
      <c r="E424" s="11">
        <v>0</v>
      </c>
      <c r="F424" s="11">
        <v>44466</v>
      </c>
      <c r="G424" s="11">
        <v>0</v>
      </c>
      <c r="H424" s="11">
        <v>47229</v>
      </c>
    </row>
    <row r="425" spans="4:8">
      <c r="D425" s="12" t="s">
        <v>928</v>
      </c>
      <c r="E425" s="11">
        <v>0</v>
      </c>
      <c r="F425" s="11">
        <v>0</v>
      </c>
      <c r="G425" s="11">
        <v>0</v>
      </c>
      <c r="H425" s="11">
        <v>0</v>
      </c>
    </row>
    <row r="426" spans="4:8">
      <c r="D426" s="12" t="s">
        <v>502</v>
      </c>
      <c r="E426" s="11">
        <v>0</v>
      </c>
      <c r="F426" s="11">
        <v>0</v>
      </c>
      <c r="G426" s="11">
        <v>0</v>
      </c>
      <c r="H426" s="11">
        <v>0</v>
      </c>
    </row>
    <row r="427" spans="4:8">
      <c r="D427" s="12" t="s">
        <v>929</v>
      </c>
      <c r="E427" s="11">
        <v>0</v>
      </c>
      <c r="F427" s="11">
        <v>0</v>
      </c>
      <c r="G427" s="11">
        <v>0</v>
      </c>
      <c r="H427" s="11">
        <v>0</v>
      </c>
    </row>
    <row r="428" spans="4:8">
      <c r="D428" s="12" t="s">
        <v>468</v>
      </c>
      <c r="E428" s="11">
        <v>0</v>
      </c>
      <c r="F428" s="11">
        <v>0</v>
      </c>
      <c r="G428" s="11">
        <v>0</v>
      </c>
      <c r="H428" s="11">
        <v>58240</v>
      </c>
    </row>
    <row r="429" spans="4:8">
      <c r="D429" s="12" t="s">
        <v>730</v>
      </c>
      <c r="E429" s="11">
        <v>0</v>
      </c>
      <c r="F429" s="11">
        <v>0</v>
      </c>
      <c r="G429" s="11">
        <v>0</v>
      </c>
      <c r="H429" s="11">
        <v>0</v>
      </c>
    </row>
    <row r="430" spans="4:8">
      <c r="D430" s="12" t="s">
        <v>731</v>
      </c>
      <c r="E430" s="11">
        <v>0</v>
      </c>
      <c r="F430" s="11">
        <v>0</v>
      </c>
      <c r="G430" s="11">
        <v>0</v>
      </c>
      <c r="H430" s="11">
        <v>0</v>
      </c>
    </row>
    <row r="431" spans="4:8">
      <c r="D431" s="12" t="s">
        <v>435</v>
      </c>
      <c r="E431" s="11">
        <v>0</v>
      </c>
      <c r="F431" s="11">
        <v>0</v>
      </c>
      <c r="G431" s="11">
        <v>0</v>
      </c>
      <c r="H431" s="11">
        <v>0</v>
      </c>
    </row>
    <row r="432" spans="4:8">
      <c r="D432" s="12" t="s">
        <v>500</v>
      </c>
      <c r="E432" s="11">
        <v>0</v>
      </c>
      <c r="F432" s="11">
        <v>0</v>
      </c>
      <c r="G432" s="11">
        <v>0</v>
      </c>
      <c r="H432" s="11">
        <v>0</v>
      </c>
    </row>
    <row r="433" spans="4:8">
      <c r="D433" s="12" t="s">
        <v>743</v>
      </c>
      <c r="E433" s="11">
        <v>0</v>
      </c>
      <c r="F433" s="11">
        <v>0</v>
      </c>
      <c r="G433" s="11">
        <v>0</v>
      </c>
      <c r="H433" s="11">
        <v>0</v>
      </c>
    </row>
    <row r="434" spans="4:8">
      <c r="D434" s="12" t="s">
        <v>747</v>
      </c>
      <c r="E434" s="11">
        <v>0</v>
      </c>
      <c r="F434" s="11">
        <v>0</v>
      </c>
      <c r="G434" s="11">
        <v>0</v>
      </c>
      <c r="H434" s="11">
        <v>0</v>
      </c>
    </row>
    <row r="435" spans="4:8">
      <c r="D435" s="12" t="s">
        <v>207</v>
      </c>
      <c r="E435" s="11">
        <v>0</v>
      </c>
      <c r="F435" s="11">
        <v>29358</v>
      </c>
      <c r="G435" s="11">
        <v>0</v>
      </c>
      <c r="H435" s="11">
        <v>0</v>
      </c>
    </row>
    <row r="436" spans="4:8">
      <c r="D436" s="12" t="s">
        <v>748</v>
      </c>
      <c r="E436" s="11">
        <v>0</v>
      </c>
      <c r="F436" s="11">
        <v>0</v>
      </c>
      <c r="G436" s="11">
        <v>0</v>
      </c>
      <c r="H436" s="11">
        <v>0</v>
      </c>
    </row>
    <row r="437" spans="4:8">
      <c r="D437" s="12" t="s">
        <v>208</v>
      </c>
      <c r="E437" s="11">
        <v>0</v>
      </c>
      <c r="F437" s="11">
        <v>5161</v>
      </c>
      <c r="G437" s="11">
        <v>0</v>
      </c>
      <c r="H437" s="11">
        <v>20037</v>
      </c>
    </row>
    <row r="438" spans="4:8">
      <c r="D438" s="12" t="s">
        <v>752</v>
      </c>
      <c r="E438" s="11">
        <v>0</v>
      </c>
      <c r="F438" s="11">
        <v>0</v>
      </c>
      <c r="G438" s="11">
        <v>0</v>
      </c>
      <c r="H438" s="11">
        <v>0</v>
      </c>
    </row>
    <row r="439" spans="4:8">
      <c r="D439" s="12" t="s">
        <v>753</v>
      </c>
      <c r="E439" s="11">
        <v>0</v>
      </c>
      <c r="F439" s="11">
        <v>0</v>
      </c>
      <c r="G439" s="11">
        <v>0</v>
      </c>
      <c r="H439" s="11">
        <v>0</v>
      </c>
    </row>
    <row r="440" spans="4:8">
      <c r="D440" s="12" t="s">
        <v>758</v>
      </c>
      <c r="E440" s="11">
        <v>0</v>
      </c>
      <c r="F440" s="11">
        <v>0</v>
      </c>
      <c r="G440" s="11">
        <v>0</v>
      </c>
      <c r="H440" s="11">
        <v>5880</v>
      </c>
    </row>
    <row r="441" spans="4:8">
      <c r="D441" s="12" t="s">
        <v>507</v>
      </c>
      <c r="E441" s="11">
        <v>0</v>
      </c>
      <c r="F441" s="11">
        <v>0</v>
      </c>
      <c r="G441" s="11">
        <v>0</v>
      </c>
      <c r="H441" s="11">
        <v>0</v>
      </c>
    </row>
    <row r="442" spans="4:8">
      <c r="D442" s="12" t="s">
        <v>233</v>
      </c>
      <c r="E442" s="11">
        <v>0</v>
      </c>
      <c r="F442" s="11">
        <v>329959</v>
      </c>
      <c r="G442" s="11">
        <v>0</v>
      </c>
      <c r="H442" s="11">
        <v>269890</v>
      </c>
    </row>
    <row r="443" spans="4:8">
      <c r="D443" s="12" t="s">
        <v>773</v>
      </c>
      <c r="E443" s="11">
        <v>0</v>
      </c>
      <c r="F443" s="11">
        <v>472451</v>
      </c>
      <c r="G443" s="11">
        <v>0</v>
      </c>
      <c r="H443" s="11">
        <v>386769</v>
      </c>
    </row>
    <row r="444" spans="4:8">
      <c r="D444" s="12" t="s">
        <v>235</v>
      </c>
      <c r="E444" s="11">
        <v>0</v>
      </c>
      <c r="F444" s="11">
        <v>535544</v>
      </c>
      <c r="G444" s="11">
        <v>0</v>
      </c>
      <c r="H444" s="11">
        <v>538166</v>
      </c>
    </row>
    <row r="445" spans="4:8">
      <c r="D445" s="12" t="s">
        <v>241</v>
      </c>
      <c r="E445" s="11">
        <v>0</v>
      </c>
      <c r="F445" s="11">
        <v>52156</v>
      </c>
      <c r="G445" s="11"/>
      <c r="H445" s="11"/>
    </row>
    <row r="446" spans="4:8">
      <c r="D446" s="12" t="s">
        <v>775</v>
      </c>
      <c r="E446" s="11">
        <v>0</v>
      </c>
      <c r="F446" s="11">
        <v>0</v>
      </c>
      <c r="G446" s="11">
        <v>0</v>
      </c>
      <c r="H446" s="11">
        <v>0</v>
      </c>
    </row>
    <row r="447" spans="4:8">
      <c r="D447" s="12" t="s">
        <v>243</v>
      </c>
      <c r="E447" s="11">
        <v>0</v>
      </c>
      <c r="F447" s="11">
        <v>6195758</v>
      </c>
      <c r="G447" s="11">
        <v>0</v>
      </c>
      <c r="H447" s="11">
        <v>6994370</v>
      </c>
    </row>
    <row r="448" spans="4:8">
      <c r="D448" s="12" t="s">
        <v>506</v>
      </c>
      <c r="E448" s="11">
        <v>0</v>
      </c>
      <c r="F448" s="11">
        <v>0</v>
      </c>
      <c r="G448" s="11">
        <v>0</v>
      </c>
      <c r="H448" s="11">
        <v>0</v>
      </c>
    </row>
    <row r="449" spans="4:8">
      <c r="D449" s="12" t="s">
        <v>811</v>
      </c>
      <c r="E449" s="11">
        <v>0</v>
      </c>
      <c r="F449" s="11">
        <v>0</v>
      </c>
      <c r="G449" s="11">
        <v>0</v>
      </c>
      <c r="H449" s="11">
        <v>0</v>
      </c>
    </row>
    <row r="450" spans="4:8">
      <c r="D450" s="12" t="s">
        <v>471</v>
      </c>
      <c r="E450" s="11">
        <v>0</v>
      </c>
      <c r="F450" s="11">
        <v>0</v>
      </c>
      <c r="G450" s="11">
        <v>0</v>
      </c>
      <c r="H450" s="11">
        <v>0</v>
      </c>
    </row>
    <row r="451" spans="4:8">
      <c r="D451" s="12" t="s">
        <v>428</v>
      </c>
      <c r="E451" s="11">
        <v>0</v>
      </c>
      <c r="F451" s="11">
        <v>0</v>
      </c>
      <c r="G451" s="11">
        <v>10000</v>
      </c>
      <c r="H451" s="11">
        <v>0</v>
      </c>
    </row>
    <row r="452" spans="4:8">
      <c r="D452" s="12" t="s">
        <v>827</v>
      </c>
      <c r="E452" s="11">
        <v>0</v>
      </c>
      <c r="F452" s="11">
        <v>0</v>
      </c>
      <c r="G452" s="11">
        <v>0</v>
      </c>
      <c r="H452" s="11">
        <v>0</v>
      </c>
    </row>
    <row r="453" spans="4:8">
      <c r="D453" s="12" t="s">
        <v>422</v>
      </c>
      <c r="E453" s="11">
        <v>0</v>
      </c>
      <c r="F453" s="11">
        <v>0</v>
      </c>
      <c r="G453" s="11">
        <v>0</v>
      </c>
      <c r="H453" s="11">
        <v>2195</v>
      </c>
    </row>
    <row r="454" spans="4:8">
      <c r="D454" s="12" t="s">
        <v>472</v>
      </c>
      <c r="E454" s="11">
        <v>0</v>
      </c>
      <c r="F454" s="11">
        <v>0</v>
      </c>
      <c r="G454" s="11">
        <v>0</v>
      </c>
      <c r="H454" s="11">
        <v>0</v>
      </c>
    </row>
    <row r="455" spans="4:8">
      <c r="D455" s="12" t="s">
        <v>850</v>
      </c>
      <c r="E455" s="11">
        <v>0</v>
      </c>
      <c r="F455" s="11">
        <v>0</v>
      </c>
      <c r="G455" s="11">
        <v>0</v>
      </c>
      <c r="H455" s="11">
        <v>0</v>
      </c>
    </row>
    <row r="456" spans="4:8">
      <c r="D456" s="12" t="s">
        <v>434</v>
      </c>
      <c r="E456" s="11">
        <v>0</v>
      </c>
      <c r="F456" s="11">
        <v>0</v>
      </c>
      <c r="G456" s="11">
        <v>0</v>
      </c>
      <c r="H456" s="11">
        <v>117270</v>
      </c>
    </row>
    <row r="457" spans="4:8">
      <c r="D457" s="12" t="s">
        <v>421</v>
      </c>
      <c r="E457" s="11">
        <v>0</v>
      </c>
      <c r="F457" s="11">
        <v>0</v>
      </c>
      <c r="G457" s="11">
        <v>0</v>
      </c>
      <c r="H457" s="11">
        <v>25470</v>
      </c>
    </row>
    <row r="458" spans="4:8">
      <c r="D458" s="12" t="s">
        <v>864</v>
      </c>
      <c r="E458" s="11">
        <v>0</v>
      </c>
      <c r="F458" s="11">
        <v>0</v>
      </c>
      <c r="G458" s="11">
        <v>0</v>
      </c>
      <c r="H458" s="11">
        <v>0</v>
      </c>
    </row>
    <row r="459" spans="4:8">
      <c r="D459" s="12" t="s">
        <v>865</v>
      </c>
      <c r="E459" s="11">
        <v>0</v>
      </c>
      <c r="F459" s="11">
        <v>0</v>
      </c>
      <c r="G459" s="11">
        <v>0</v>
      </c>
      <c r="H459" s="11">
        <v>0</v>
      </c>
    </row>
    <row r="460" spans="4:8">
      <c r="D460" s="12" t="s">
        <v>420</v>
      </c>
      <c r="E460" s="11">
        <v>0</v>
      </c>
      <c r="F460" s="11">
        <v>0</v>
      </c>
      <c r="G460" s="11">
        <v>20183</v>
      </c>
      <c r="H460" s="11">
        <v>0</v>
      </c>
    </row>
    <row r="461" spans="4:8">
      <c r="D461" s="12" t="s">
        <v>715</v>
      </c>
      <c r="E461" s="11">
        <v>0</v>
      </c>
      <c r="F461" s="11">
        <v>0</v>
      </c>
      <c r="G461" s="11">
        <v>0</v>
      </c>
      <c r="H461" s="11">
        <v>0</v>
      </c>
    </row>
    <row r="462" spans="4:8">
      <c r="D462" s="12" t="s">
        <v>467</v>
      </c>
      <c r="E462" s="11">
        <v>0</v>
      </c>
      <c r="F462" s="11">
        <v>0</v>
      </c>
      <c r="G462" s="11">
        <v>0</v>
      </c>
      <c r="H462" s="11">
        <v>0</v>
      </c>
    </row>
    <row r="463" spans="4:8">
      <c r="D463" s="12" t="s">
        <v>446</v>
      </c>
      <c r="E463" s="11">
        <v>0</v>
      </c>
      <c r="F463" s="11">
        <v>0</v>
      </c>
      <c r="G463" s="11">
        <v>0</v>
      </c>
      <c r="H463" s="11">
        <v>33750</v>
      </c>
    </row>
    <row r="464" spans="4:8">
      <c r="D464" s="12" t="s">
        <v>374</v>
      </c>
      <c r="E464" s="11">
        <v>0</v>
      </c>
      <c r="F464" s="11">
        <v>3708</v>
      </c>
      <c r="G464" s="11">
        <v>0</v>
      </c>
      <c r="H464" s="11">
        <v>3662</v>
      </c>
    </row>
    <row r="465" spans="1:8">
      <c r="D465" s="12" t="s">
        <v>382</v>
      </c>
      <c r="E465" s="11">
        <v>0</v>
      </c>
      <c r="F465" s="11">
        <v>207360</v>
      </c>
      <c r="G465" s="11">
        <v>0</v>
      </c>
      <c r="H465" s="11">
        <v>0</v>
      </c>
    </row>
    <row r="466" spans="1:8">
      <c r="D466" s="12" t="s">
        <v>389</v>
      </c>
      <c r="E466" s="11">
        <v>633</v>
      </c>
      <c r="F466" s="11">
        <v>0</v>
      </c>
      <c r="G466" s="11"/>
      <c r="H466" s="11"/>
    </row>
    <row r="467" spans="1:8">
      <c r="D467" s="12" t="s">
        <v>954</v>
      </c>
      <c r="E467" s="11">
        <v>0</v>
      </c>
      <c r="F467" s="11">
        <v>0</v>
      </c>
      <c r="G467" s="11">
        <v>0</v>
      </c>
      <c r="H467" s="11">
        <v>0</v>
      </c>
    </row>
    <row r="468" spans="1:8">
      <c r="D468" s="12" t="s">
        <v>959</v>
      </c>
      <c r="E468" s="11">
        <v>0</v>
      </c>
      <c r="F468" s="11">
        <v>0</v>
      </c>
      <c r="G468" s="11">
        <v>0</v>
      </c>
      <c r="H468" s="11">
        <v>19017</v>
      </c>
    </row>
    <row r="469" spans="1:8">
      <c r="D469" s="12" t="s">
        <v>1827</v>
      </c>
      <c r="E469" s="11">
        <v>0</v>
      </c>
      <c r="F469" s="11">
        <v>14868</v>
      </c>
      <c r="G469" s="11"/>
      <c r="H469" s="11"/>
    </row>
    <row r="470" spans="1:8">
      <c r="D470" s="12" t="s">
        <v>1828</v>
      </c>
      <c r="E470" s="11">
        <v>0</v>
      </c>
      <c r="F470" s="11">
        <v>30000</v>
      </c>
      <c r="G470" s="11">
        <v>0</v>
      </c>
      <c r="H470" s="11"/>
    </row>
    <row r="471" spans="1:8">
      <c r="C471" s="12" t="s">
        <v>1020</v>
      </c>
      <c r="D471" s="230"/>
      <c r="E471" s="11">
        <v>57333</v>
      </c>
      <c r="F471" s="11">
        <v>9240947.1600000001</v>
      </c>
      <c r="G471" s="11">
        <v>877694.84</v>
      </c>
      <c r="H471" s="11">
        <v>9502303</v>
      </c>
    </row>
    <row r="472" spans="1:8">
      <c r="B472" s="12" t="s">
        <v>976</v>
      </c>
      <c r="C472" s="230"/>
      <c r="D472" s="230"/>
      <c r="E472" s="11">
        <v>69278</v>
      </c>
      <c r="F472" s="11">
        <v>87425756.839999989</v>
      </c>
      <c r="G472" s="11">
        <v>894836.84</v>
      </c>
      <c r="H472" s="11">
        <v>80522536.599999994</v>
      </c>
    </row>
    <row r="473" spans="1:8">
      <c r="A473" s="12" t="s">
        <v>1002</v>
      </c>
      <c r="B473" s="230"/>
      <c r="C473" s="230"/>
      <c r="D473" s="230"/>
      <c r="E473" s="11">
        <v>69278</v>
      </c>
      <c r="F473" s="11">
        <v>87425756.839999989</v>
      </c>
      <c r="G473" s="11">
        <v>894836.84</v>
      </c>
      <c r="H473" s="11">
        <v>80522536.599999994</v>
      </c>
    </row>
    <row r="474" spans="1:8">
      <c r="A474" s="12">
        <v>18</v>
      </c>
      <c r="B474" s="12" t="s">
        <v>1551</v>
      </c>
      <c r="C474" s="12" t="s">
        <v>842</v>
      </c>
      <c r="D474" s="12" t="s">
        <v>301</v>
      </c>
      <c r="E474" s="11">
        <v>0</v>
      </c>
      <c r="F474" s="11">
        <v>1152229</v>
      </c>
      <c r="G474" s="11">
        <v>0</v>
      </c>
      <c r="H474" s="11">
        <v>1029792</v>
      </c>
    </row>
    <row r="475" spans="1:8">
      <c r="C475" s="12" t="s">
        <v>1023</v>
      </c>
      <c r="D475" s="230"/>
      <c r="E475" s="11">
        <v>0</v>
      </c>
      <c r="F475" s="11">
        <v>1152229</v>
      </c>
      <c r="G475" s="11">
        <v>0</v>
      </c>
      <c r="H475" s="11">
        <v>1029792</v>
      </c>
    </row>
    <row r="476" spans="1:8">
      <c r="C476" s="12" t="s">
        <v>1624</v>
      </c>
      <c r="D476" s="12" t="s">
        <v>702</v>
      </c>
      <c r="E476" s="11">
        <v>0</v>
      </c>
      <c r="F476" s="11">
        <v>0</v>
      </c>
      <c r="G476" s="11">
        <v>0</v>
      </c>
      <c r="H476" s="11">
        <v>139269</v>
      </c>
    </row>
    <row r="477" spans="1:8">
      <c r="C477" s="12" t="s">
        <v>1625</v>
      </c>
      <c r="D477" s="230"/>
      <c r="E477" s="11">
        <v>0</v>
      </c>
      <c r="F477" s="11">
        <v>0</v>
      </c>
      <c r="G477" s="11">
        <v>0</v>
      </c>
      <c r="H477" s="11">
        <v>139269</v>
      </c>
    </row>
    <row r="478" spans="1:8">
      <c r="B478" s="12" t="s">
        <v>1577</v>
      </c>
      <c r="C478" s="230"/>
      <c r="D478" s="230"/>
      <c r="E478" s="11">
        <v>0</v>
      </c>
      <c r="F478" s="11">
        <v>1152229</v>
      </c>
      <c r="G478" s="11">
        <v>0</v>
      </c>
      <c r="H478" s="11">
        <v>1169061</v>
      </c>
    </row>
    <row r="479" spans="1:8">
      <c r="A479" s="12" t="s">
        <v>1003</v>
      </c>
      <c r="B479" s="230"/>
      <c r="C479" s="230"/>
      <c r="D479" s="230"/>
      <c r="E479" s="11">
        <v>0</v>
      </c>
      <c r="F479" s="11">
        <v>1152229</v>
      </c>
      <c r="G479" s="11">
        <v>0</v>
      </c>
      <c r="H479" s="11">
        <v>1169061</v>
      </c>
    </row>
    <row r="480" spans="1:8">
      <c r="A480" s="12">
        <v>19</v>
      </c>
      <c r="B480" s="12" t="s">
        <v>482</v>
      </c>
      <c r="C480" s="12" t="s">
        <v>531</v>
      </c>
      <c r="D480" s="12" t="s">
        <v>535</v>
      </c>
      <c r="E480" s="11">
        <v>0</v>
      </c>
      <c r="F480" s="11">
        <v>0</v>
      </c>
      <c r="G480" s="11">
        <v>0</v>
      </c>
      <c r="H480" s="11">
        <v>0</v>
      </c>
    </row>
    <row r="481" spans="4:8">
      <c r="D481" s="12" t="s">
        <v>534</v>
      </c>
      <c r="E481" s="11">
        <v>0</v>
      </c>
      <c r="F481" s="11">
        <v>0</v>
      </c>
      <c r="G481" s="11">
        <v>0</v>
      </c>
      <c r="H481" s="11">
        <v>0</v>
      </c>
    </row>
    <row r="482" spans="4:8">
      <c r="D482" s="12" t="s">
        <v>560</v>
      </c>
      <c r="E482" s="11">
        <v>0</v>
      </c>
      <c r="F482" s="11">
        <v>0</v>
      </c>
      <c r="G482" s="11">
        <v>0</v>
      </c>
      <c r="H482" s="11">
        <v>0</v>
      </c>
    </row>
    <row r="483" spans="4:8">
      <c r="D483" s="12" t="s">
        <v>536</v>
      </c>
      <c r="E483" s="11">
        <v>0</v>
      </c>
      <c r="F483" s="11">
        <v>0</v>
      </c>
      <c r="G483" s="11">
        <v>0</v>
      </c>
      <c r="H483" s="11">
        <v>0</v>
      </c>
    </row>
    <row r="484" spans="4:8">
      <c r="D484" s="12" t="s">
        <v>533</v>
      </c>
      <c r="E484" s="11">
        <v>0</v>
      </c>
      <c r="F484" s="11">
        <v>0</v>
      </c>
      <c r="G484" s="11">
        <v>0</v>
      </c>
      <c r="H484" s="11">
        <v>0</v>
      </c>
    </row>
    <row r="485" spans="4:8">
      <c r="D485" s="12" t="s">
        <v>537</v>
      </c>
      <c r="E485" s="11">
        <v>0</v>
      </c>
      <c r="F485" s="11">
        <v>0</v>
      </c>
      <c r="G485" s="11">
        <v>0</v>
      </c>
      <c r="H485" s="11">
        <v>0</v>
      </c>
    </row>
    <row r="486" spans="4:8">
      <c r="D486" s="12" t="s">
        <v>538</v>
      </c>
      <c r="E486" s="11">
        <v>0</v>
      </c>
      <c r="F486" s="11">
        <v>0</v>
      </c>
      <c r="G486" s="11">
        <v>0</v>
      </c>
      <c r="H486" s="11">
        <v>0</v>
      </c>
    </row>
    <row r="487" spans="4:8">
      <c r="D487" s="12" t="s">
        <v>539</v>
      </c>
      <c r="E487" s="11">
        <v>0</v>
      </c>
      <c r="F487" s="11">
        <v>0</v>
      </c>
      <c r="G487" s="11">
        <v>0</v>
      </c>
      <c r="H487" s="11">
        <v>0</v>
      </c>
    </row>
    <row r="488" spans="4:8">
      <c r="D488" s="12" t="s">
        <v>540</v>
      </c>
      <c r="E488" s="11">
        <v>0</v>
      </c>
      <c r="F488" s="11">
        <v>0</v>
      </c>
      <c r="G488" s="11">
        <v>0</v>
      </c>
      <c r="H488" s="11">
        <v>0</v>
      </c>
    </row>
    <row r="489" spans="4:8">
      <c r="D489" s="12" t="s">
        <v>542</v>
      </c>
      <c r="E489" s="11">
        <v>0</v>
      </c>
      <c r="F489" s="11">
        <v>0</v>
      </c>
      <c r="G489" s="11">
        <v>0</v>
      </c>
      <c r="H489" s="11">
        <v>0</v>
      </c>
    </row>
    <row r="490" spans="4:8">
      <c r="D490" s="12" t="s">
        <v>541</v>
      </c>
      <c r="E490" s="11">
        <v>0</v>
      </c>
      <c r="F490" s="11">
        <v>0</v>
      </c>
      <c r="G490" s="11">
        <v>0</v>
      </c>
      <c r="H490" s="11">
        <v>0</v>
      </c>
    </row>
    <row r="491" spans="4:8">
      <c r="D491" s="12" t="s">
        <v>55</v>
      </c>
      <c r="E491" s="11">
        <v>0</v>
      </c>
      <c r="F491" s="11">
        <v>0</v>
      </c>
      <c r="G491" s="11">
        <v>0</v>
      </c>
      <c r="H491" s="11">
        <v>0</v>
      </c>
    </row>
    <row r="492" spans="4:8">
      <c r="D492" s="12" t="s">
        <v>56</v>
      </c>
      <c r="E492" s="11">
        <v>0</v>
      </c>
      <c r="F492" s="11">
        <v>0</v>
      </c>
      <c r="G492" s="11"/>
      <c r="H492" s="11"/>
    </row>
    <row r="493" spans="4:8">
      <c r="D493" s="12" t="s">
        <v>824</v>
      </c>
      <c r="E493" s="11">
        <v>0</v>
      </c>
      <c r="F493" s="11">
        <v>0</v>
      </c>
      <c r="G493" s="11">
        <v>0</v>
      </c>
      <c r="H493" s="11">
        <v>0</v>
      </c>
    </row>
    <row r="494" spans="4:8">
      <c r="D494" s="12" t="s">
        <v>530</v>
      </c>
      <c r="E494" s="11">
        <v>0</v>
      </c>
      <c r="F494" s="11">
        <v>0</v>
      </c>
      <c r="G494" s="11">
        <v>0</v>
      </c>
      <c r="H494" s="11">
        <v>0</v>
      </c>
    </row>
    <row r="495" spans="4:8">
      <c r="D495" s="12" t="s">
        <v>57</v>
      </c>
      <c r="E495" s="11">
        <v>0</v>
      </c>
      <c r="F495" s="11">
        <v>0</v>
      </c>
      <c r="G495" s="11">
        <v>0</v>
      </c>
      <c r="H495" s="11">
        <v>0</v>
      </c>
    </row>
    <row r="496" spans="4:8">
      <c r="D496" s="12" t="s">
        <v>544</v>
      </c>
      <c r="E496" s="11">
        <v>0</v>
      </c>
      <c r="F496" s="11">
        <v>0</v>
      </c>
      <c r="G496" s="11">
        <v>0</v>
      </c>
      <c r="H496" s="11">
        <v>0</v>
      </c>
    </row>
    <row r="497" spans="4:8">
      <c r="D497" s="12" t="s">
        <v>545</v>
      </c>
      <c r="E497" s="11">
        <v>0</v>
      </c>
      <c r="F497" s="11">
        <v>0</v>
      </c>
      <c r="G497" s="11">
        <v>0</v>
      </c>
      <c r="H497" s="11">
        <v>0</v>
      </c>
    </row>
    <row r="498" spans="4:8">
      <c r="D498" s="12" t="s">
        <v>54</v>
      </c>
      <c r="E498" s="11">
        <v>0</v>
      </c>
      <c r="F498" s="11">
        <v>0</v>
      </c>
      <c r="G498" s="11">
        <v>0</v>
      </c>
      <c r="H498" s="11">
        <v>0</v>
      </c>
    </row>
    <row r="499" spans="4:8">
      <c r="D499" s="12" t="s">
        <v>543</v>
      </c>
      <c r="E499" s="11">
        <v>0</v>
      </c>
      <c r="F499" s="11">
        <v>0</v>
      </c>
      <c r="G499" s="11">
        <v>0</v>
      </c>
      <c r="H499" s="11">
        <v>0</v>
      </c>
    </row>
    <row r="500" spans="4:8">
      <c r="D500" s="12" t="s">
        <v>546</v>
      </c>
      <c r="E500" s="11">
        <v>0</v>
      </c>
      <c r="F500" s="11">
        <v>0</v>
      </c>
      <c r="G500" s="11">
        <v>0</v>
      </c>
      <c r="H500" s="11">
        <v>0</v>
      </c>
    </row>
    <row r="501" spans="4:8">
      <c r="D501" s="12" t="s">
        <v>562</v>
      </c>
      <c r="E501" s="11">
        <v>0</v>
      </c>
      <c r="F501" s="11">
        <v>0</v>
      </c>
      <c r="G501" s="11">
        <v>0</v>
      </c>
      <c r="H501" s="11">
        <v>0</v>
      </c>
    </row>
    <row r="502" spans="4:8">
      <c r="D502" s="12" t="s">
        <v>563</v>
      </c>
      <c r="E502" s="11">
        <v>0</v>
      </c>
      <c r="F502" s="11">
        <v>0</v>
      </c>
      <c r="G502" s="11">
        <v>0</v>
      </c>
      <c r="H502" s="11">
        <v>0</v>
      </c>
    </row>
    <row r="503" spans="4:8">
      <c r="D503" s="12" t="s">
        <v>566</v>
      </c>
      <c r="E503" s="11">
        <v>0</v>
      </c>
      <c r="F503" s="11">
        <v>0</v>
      </c>
      <c r="G503" s="11">
        <v>0</v>
      </c>
      <c r="H503" s="11">
        <v>0</v>
      </c>
    </row>
    <row r="504" spans="4:8">
      <c r="D504" s="12" t="s">
        <v>564</v>
      </c>
      <c r="E504" s="11">
        <v>0</v>
      </c>
      <c r="F504" s="11">
        <v>0</v>
      </c>
      <c r="G504" s="11">
        <v>0</v>
      </c>
      <c r="H504" s="11">
        <v>0</v>
      </c>
    </row>
    <row r="505" spans="4:8">
      <c r="D505" s="12" t="s">
        <v>923</v>
      </c>
      <c r="E505" s="11">
        <v>0</v>
      </c>
      <c r="F505" s="11">
        <v>0</v>
      </c>
      <c r="G505" s="11">
        <v>0</v>
      </c>
      <c r="H505" s="11">
        <v>2852087</v>
      </c>
    </row>
    <row r="506" spans="4:8">
      <c r="D506" s="12" t="s">
        <v>58</v>
      </c>
      <c r="E506" s="11">
        <v>0</v>
      </c>
      <c r="F506" s="11">
        <v>2903011.18</v>
      </c>
      <c r="G506" s="11"/>
      <c r="H506" s="11"/>
    </row>
    <row r="507" spans="4:8">
      <c r="D507" s="12" t="s">
        <v>59</v>
      </c>
      <c r="E507" s="11">
        <v>0</v>
      </c>
      <c r="F507" s="11">
        <v>0</v>
      </c>
      <c r="G507" s="11"/>
      <c r="H507" s="11"/>
    </row>
    <row r="508" spans="4:8">
      <c r="D508" s="12" t="s">
        <v>565</v>
      </c>
      <c r="E508" s="11">
        <v>0</v>
      </c>
      <c r="F508" s="11">
        <v>0</v>
      </c>
      <c r="G508" s="11">
        <v>61274.11</v>
      </c>
      <c r="H508" s="11">
        <v>0</v>
      </c>
    </row>
    <row r="509" spans="4:8">
      <c r="D509" s="12" t="s">
        <v>587</v>
      </c>
      <c r="E509" s="11">
        <v>0</v>
      </c>
      <c r="F509" s="11">
        <v>0</v>
      </c>
      <c r="G509" s="11">
        <v>0</v>
      </c>
      <c r="H509" s="11">
        <v>0</v>
      </c>
    </row>
    <row r="510" spans="4:8">
      <c r="D510" s="12" t="s">
        <v>141</v>
      </c>
      <c r="E510" s="11">
        <v>0</v>
      </c>
      <c r="F510" s="11">
        <v>308166.59000000003</v>
      </c>
      <c r="G510" s="11"/>
      <c r="H510" s="11"/>
    </row>
    <row r="511" spans="4:8">
      <c r="D511" s="12" t="s">
        <v>142</v>
      </c>
      <c r="E511" s="11">
        <v>315731.11</v>
      </c>
      <c r="F511" s="11">
        <v>0</v>
      </c>
      <c r="G511" s="11"/>
      <c r="H511" s="11"/>
    </row>
    <row r="512" spans="4:8">
      <c r="D512" s="12" t="s">
        <v>669</v>
      </c>
      <c r="E512" s="11">
        <v>0</v>
      </c>
      <c r="F512" s="11">
        <v>0</v>
      </c>
      <c r="G512" s="11">
        <v>0</v>
      </c>
      <c r="H512" s="11">
        <v>0</v>
      </c>
    </row>
    <row r="513" spans="4:8">
      <c r="D513" s="12" t="s">
        <v>672</v>
      </c>
      <c r="E513" s="11">
        <v>0</v>
      </c>
      <c r="F513" s="11">
        <v>0</v>
      </c>
      <c r="G513" s="11">
        <v>0</v>
      </c>
      <c r="H513" s="11">
        <v>0</v>
      </c>
    </row>
    <row r="514" spans="4:8">
      <c r="D514" s="12" t="s">
        <v>671</v>
      </c>
      <c r="E514" s="11">
        <v>0</v>
      </c>
      <c r="F514" s="11">
        <v>0</v>
      </c>
      <c r="G514" s="11">
        <v>0</v>
      </c>
      <c r="H514" s="11">
        <v>0</v>
      </c>
    </row>
    <row r="515" spans="4:8">
      <c r="D515" s="12" t="s">
        <v>670</v>
      </c>
      <c r="E515" s="11">
        <v>0</v>
      </c>
      <c r="F515" s="11">
        <v>0</v>
      </c>
      <c r="G515" s="11">
        <v>0</v>
      </c>
      <c r="H515" s="11">
        <v>0</v>
      </c>
    </row>
    <row r="516" spans="4:8">
      <c r="D516" s="12" t="s">
        <v>674</v>
      </c>
      <c r="E516" s="11">
        <v>0</v>
      </c>
      <c r="F516" s="11">
        <v>0</v>
      </c>
      <c r="G516" s="11">
        <v>0</v>
      </c>
      <c r="H516" s="11">
        <v>0</v>
      </c>
    </row>
    <row r="517" spans="4:8">
      <c r="D517" s="12" t="s">
        <v>667</v>
      </c>
      <c r="E517" s="11">
        <v>0</v>
      </c>
      <c r="F517" s="11">
        <v>0</v>
      </c>
      <c r="G517" s="11">
        <v>0</v>
      </c>
      <c r="H517" s="11">
        <v>0</v>
      </c>
    </row>
    <row r="518" spans="4:8">
      <c r="D518" s="12" t="s">
        <v>668</v>
      </c>
      <c r="E518" s="11">
        <v>0</v>
      </c>
      <c r="F518" s="11">
        <v>0</v>
      </c>
      <c r="G518" s="11">
        <v>0</v>
      </c>
      <c r="H518" s="11">
        <v>0</v>
      </c>
    </row>
    <row r="519" spans="4:8">
      <c r="D519" s="12" t="s">
        <v>673</v>
      </c>
      <c r="E519" s="11">
        <v>0</v>
      </c>
      <c r="F519" s="11">
        <v>0</v>
      </c>
      <c r="G519" s="11">
        <v>0</v>
      </c>
      <c r="H519" s="11">
        <v>0</v>
      </c>
    </row>
    <row r="520" spans="4:8">
      <c r="D520" s="12" t="s">
        <v>666</v>
      </c>
      <c r="E520" s="11">
        <v>0</v>
      </c>
      <c r="F520" s="11">
        <v>0</v>
      </c>
      <c r="G520" s="11">
        <v>0</v>
      </c>
      <c r="H520" s="11">
        <v>0</v>
      </c>
    </row>
    <row r="521" spans="4:8">
      <c r="D521" s="12" t="s">
        <v>675</v>
      </c>
      <c r="E521" s="11">
        <v>0</v>
      </c>
      <c r="F521" s="11">
        <v>0</v>
      </c>
      <c r="G521" s="11">
        <v>0</v>
      </c>
      <c r="H521" s="11">
        <v>0</v>
      </c>
    </row>
    <row r="522" spans="4:8">
      <c r="D522" s="12" t="s">
        <v>677</v>
      </c>
      <c r="E522" s="11">
        <v>0</v>
      </c>
      <c r="F522" s="11">
        <v>0</v>
      </c>
      <c r="G522" s="11">
        <v>0</v>
      </c>
      <c r="H522" s="11">
        <v>0</v>
      </c>
    </row>
    <row r="523" spans="4:8">
      <c r="D523" s="12" t="s">
        <v>926</v>
      </c>
      <c r="E523" s="11">
        <v>0</v>
      </c>
      <c r="F523" s="11">
        <v>0</v>
      </c>
      <c r="G523" s="11">
        <v>0</v>
      </c>
      <c r="H523" s="11">
        <v>446301</v>
      </c>
    </row>
    <row r="524" spans="4:8">
      <c r="D524" s="12" t="s">
        <v>676</v>
      </c>
      <c r="E524" s="11">
        <v>0</v>
      </c>
      <c r="F524" s="11">
        <v>0</v>
      </c>
      <c r="G524" s="11">
        <v>74562</v>
      </c>
      <c r="H524" s="11">
        <v>0</v>
      </c>
    </row>
    <row r="525" spans="4:8">
      <c r="D525" s="12" t="s">
        <v>822</v>
      </c>
      <c r="E525" s="11">
        <v>0</v>
      </c>
      <c r="F525" s="11">
        <v>0</v>
      </c>
      <c r="G525" s="11">
        <v>0</v>
      </c>
      <c r="H525" s="11">
        <v>0</v>
      </c>
    </row>
    <row r="526" spans="4:8">
      <c r="D526" s="12" t="s">
        <v>823</v>
      </c>
      <c r="E526" s="11">
        <v>0</v>
      </c>
      <c r="F526" s="11">
        <v>0</v>
      </c>
      <c r="G526" s="11">
        <v>0</v>
      </c>
      <c r="H526" s="11">
        <v>0</v>
      </c>
    </row>
    <row r="527" spans="4:8">
      <c r="D527" s="12" t="s">
        <v>825</v>
      </c>
      <c r="E527" s="11">
        <v>0</v>
      </c>
      <c r="F527" s="11">
        <v>0</v>
      </c>
      <c r="G527" s="11">
        <v>0</v>
      </c>
      <c r="H527" s="11">
        <v>0</v>
      </c>
    </row>
    <row r="528" spans="4:8">
      <c r="D528" s="12" t="s">
        <v>213</v>
      </c>
      <c r="E528" s="11">
        <v>0</v>
      </c>
      <c r="F528" s="11">
        <v>0</v>
      </c>
      <c r="G528" s="11">
        <v>0</v>
      </c>
      <c r="H528" s="11">
        <v>0</v>
      </c>
    </row>
    <row r="529" spans="4:8">
      <c r="D529" s="12" t="s">
        <v>282</v>
      </c>
      <c r="E529" s="11">
        <v>0</v>
      </c>
      <c r="F529" s="11">
        <v>21303</v>
      </c>
      <c r="G529" s="11">
        <v>0</v>
      </c>
      <c r="H529" s="11">
        <v>20899</v>
      </c>
    </row>
    <row r="530" spans="4:8">
      <c r="D530" s="12" t="s">
        <v>283</v>
      </c>
      <c r="E530" s="11">
        <v>0</v>
      </c>
      <c r="F530" s="11">
        <v>124753</v>
      </c>
      <c r="G530" s="11">
        <v>0</v>
      </c>
      <c r="H530" s="11">
        <v>75747</v>
      </c>
    </row>
    <row r="531" spans="4:8">
      <c r="D531" s="12" t="s">
        <v>821</v>
      </c>
      <c r="E531" s="11">
        <v>0</v>
      </c>
      <c r="F531" s="11">
        <v>0</v>
      </c>
      <c r="G531" s="11">
        <v>0</v>
      </c>
      <c r="H531" s="11">
        <v>0</v>
      </c>
    </row>
    <row r="532" spans="4:8">
      <c r="D532" s="12" t="s">
        <v>284</v>
      </c>
      <c r="E532" s="11">
        <v>0</v>
      </c>
      <c r="F532" s="11">
        <v>21303</v>
      </c>
      <c r="G532" s="11">
        <v>0</v>
      </c>
      <c r="H532" s="11">
        <v>20899</v>
      </c>
    </row>
    <row r="533" spans="4:8">
      <c r="D533" s="12" t="s">
        <v>549</v>
      </c>
      <c r="E533" s="11">
        <v>0</v>
      </c>
      <c r="F533" s="11">
        <v>0</v>
      </c>
      <c r="G533" s="11">
        <v>0</v>
      </c>
      <c r="H533" s="11">
        <v>0</v>
      </c>
    </row>
    <row r="534" spans="4:8">
      <c r="D534" s="12" t="s">
        <v>554</v>
      </c>
      <c r="E534" s="11">
        <v>0</v>
      </c>
      <c r="F534" s="11">
        <v>0</v>
      </c>
      <c r="G534" s="11">
        <v>0</v>
      </c>
      <c r="H534" s="11">
        <v>0</v>
      </c>
    </row>
    <row r="535" spans="4:8">
      <c r="D535" s="12" t="s">
        <v>532</v>
      </c>
      <c r="E535" s="11">
        <v>0</v>
      </c>
      <c r="F535" s="11">
        <v>0</v>
      </c>
      <c r="G535" s="11">
        <v>0</v>
      </c>
      <c r="H535" s="11">
        <v>0</v>
      </c>
    </row>
    <row r="536" spans="4:8">
      <c r="D536" s="12" t="s">
        <v>550</v>
      </c>
      <c r="E536" s="11">
        <v>0</v>
      </c>
      <c r="F536" s="11">
        <v>0</v>
      </c>
      <c r="G536" s="11">
        <v>0</v>
      </c>
      <c r="H536" s="11">
        <v>0</v>
      </c>
    </row>
    <row r="537" spans="4:8">
      <c r="D537" s="12" t="s">
        <v>547</v>
      </c>
      <c r="E537" s="11">
        <v>0</v>
      </c>
      <c r="F537" s="11">
        <v>0</v>
      </c>
      <c r="G537" s="11">
        <v>0</v>
      </c>
      <c r="H537" s="11">
        <v>0</v>
      </c>
    </row>
    <row r="538" spans="4:8">
      <c r="D538" s="12" t="s">
        <v>551</v>
      </c>
      <c r="E538" s="11">
        <v>0</v>
      </c>
      <c r="F538" s="11">
        <v>0</v>
      </c>
      <c r="G538" s="11">
        <v>0</v>
      </c>
      <c r="H538" s="11">
        <v>0</v>
      </c>
    </row>
    <row r="539" spans="4:8">
      <c r="D539" s="12" t="s">
        <v>552</v>
      </c>
      <c r="E539" s="11">
        <v>0</v>
      </c>
      <c r="F539" s="11">
        <v>0</v>
      </c>
      <c r="G539" s="11">
        <v>0</v>
      </c>
      <c r="H539" s="11">
        <v>0</v>
      </c>
    </row>
    <row r="540" spans="4:8">
      <c r="D540" s="12" t="s">
        <v>553</v>
      </c>
      <c r="E540" s="11">
        <v>0</v>
      </c>
      <c r="F540" s="11">
        <v>0</v>
      </c>
      <c r="G540" s="11">
        <v>0</v>
      </c>
      <c r="H540" s="11">
        <v>0</v>
      </c>
    </row>
    <row r="541" spans="4:8">
      <c r="D541" s="12" t="s">
        <v>323</v>
      </c>
      <c r="E541" s="11">
        <v>0</v>
      </c>
      <c r="F541" s="11">
        <v>0</v>
      </c>
      <c r="G541" s="11">
        <v>0</v>
      </c>
      <c r="H541" s="11">
        <v>0</v>
      </c>
    </row>
    <row r="542" spans="4:8">
      <c r="D542" s="12" t="s">
        <v>324</v>
      </c>
      <c r="E542" s="11">
        <v>0</v>
      </c>
      <c r="F542" s="11">
        <v>0</v>
      </c>
      <c r="G542" s="11"/>
      <c r="H542" s="11"/>
    </row>
    <row r="543" spans="4:8">
      <c r="D543" s="12" t="s">
        <v>555</v>
      </c>
      <c r="E543" s="11">
        <v>0</v>
      </c>
      <c r="F543" s="11">
        <v>0</v>
      </c>
      <c r="G543" s="11">
        <v>0</v>
      </c>
      <c r="H543" s="11">
        <v>0</v>
      </c>
    </row>
    <row r="544" spans="4:8">
      <c r="D544" s="12" t="s">
        <v>556</v>
      </c>
      <c r="E544" s="11">
        <v>0</v>
      </c>
      <c r="F544" s="11">
        <v>0</v>
      </c>
      <c r="G544" s="11">
        <v>0</v>
      </c>
      <c r="H544" s="11">
        <v>0</v>
      </c>
    </row>
    <row r="545" spans="4:8">
      <c r="D545" s="12" t="s">
        <v>826</v>
      </c>
      <c r="E545" s="11">
        <v>0</v>
      </c>
      <c r="F545" s="11">
        <v>0</v>
      </c>
      <c r="G545" s="11">
        <v>0</v>
      </c>
      <c r="H545" s="11">
        <v>0</v>
      </c>
    </row>
    <row r="546" spans="4:8">
      <c r="D546" s="12" t="s">
        <v>856</v>
      </c>
      <c r="E546" s="11">
        <v>0</v>
      </c>
      <c r="F546" s="11">
        <v>0</v>
      </c>
      <c r="G546" s="11">
        <v>0</v>
      </c>
      <c r="H546" s="11">
        <v>0</v>
      </c>
    </row>
    <row r="547" spans="4:8">
      <c r="D547" s="12" t="s">
        <v>325</v>
      </c>
      <c r="E547" s="11">
        <v>0</v>
      </c>
      <c r="F547" s="11">
        <v>0</v>
      </c>
      <c r="G547" s="11">
        <v>0</v>
      </c>
      <c r="H547" s="11">
        <v>0</v>
      </c>
    </row>
    <row r="548" spans="4:8">
      <c r="D548" s="12" t="s">
        <v>558</v>
      </c>
      <c r="E548" s="11">
        <v>0</v>
      </c>
      <c r="F548" s="11">
        <v>0</v>
      </c>
      <c r="G548" s="11">
        <v>0</v>
      </c>
      <c r="H548" s="11">
        <v>0</v>
      </c>
    </row>
    <row r="549" spans="4:8">
      <c r="D549" s="12" t="s">
        <v>559</v>
      </c>
      <c r="E549" s="11">
        <v>0</v>
      </c>
      <c r="F549" s="11">
        <v>0</v>
      </c>
      <c r="G549" s="11">
        <v>0</v>
      </c>
      <c r="H549" s="11">
        <v>0</v>
      </c>
    </row>
    <row r="550" spans="4:8">
      <c r="D550" s="12" t="s">
        <v>548</v>
      </c>
      <c r="E550" s="11">
        <v>0</v>
      </c>
      <c r="F550" s="11">
        <v>0</v>
      </c>
      <c r="G550" s="11">
        <v>0</v>
      </c>
      <c r="H550" s="11">
        <v>0</v>
      </c>
    </row>
    <row r="551" spans="4:8">
      <c r="D551" s="12" t="s">
        <v>322</v>
      </c>
      <c r="E551" s="11">
        <v>0</v>
      </c>
      <c r="F551" s="11">
        <v>0</v>
      </c>
      <c r="G551" s="11">
        <v>0</v>
      </c>
      <c r="H551" s="11">
        <v>0</v>
      </c>
    </row>
    <row r="552" spans="4:8">
      <c r="D552" s="12" t="s">
        <v>557</v>
      </c>
      <c r="E552" s="11">
        <v>0</v>
      </c>
      <c r="F552" s="11">
        <v>0</v>
      </c>
      <c r="G552" s="11">
        <v>0</v>
      </c>
      <c r="H552" s="11">
        <v>0</v>
      </c>
    </row>
    <row r="553" spans="4:8">
      <c r="D553" s="12" t="s">
        <v>561</v>
      </c>
      <c r="E553" s="11">
        <v>0</v>
      </c>
      <c r="F553" s="11">
        <v>0</v>
      </c>
      <c r="G553" s="11">
        <v>0</v>
      </c>
      <c r="H553" s="11">
        <v>0</v>
      </c>
    </row>
    <row r="554" spans="4:8">
      <c r="D554" s="12" t="s">
        <v>857</v>
      </c>
      <c r="E554" s="11">
        <v>0</v>
      </c>
      <c r="F554" s="11">
        <v>0</v>
      </c>
      <c r="G554" s="11">
        <v>0</v>
      </c>
      <c r="H554" s="11">
        <v>0</v>
      </c>
    </row>
    <row r="555" spans="4:8">
      <c r="D555" s="12" t="s">
        <v>858</v>
      </c>
      <c r="E555" s="11">
        <v>0</v>
      </c>
      <c r="F555" s="11">
        <v>0</v>
      </c>
      <c r="G555" s="11">
        <v>0</v>
      </c>
      <c r="H555" s="11">
        <v>0</v>
      </c>
    </row>
    <row r="556" spans="4:8">
      <c r="D556" s="12" t="s">
        <v>935</v>
      </c>
      <c r="E556" s="11">
        <v>0</v>
      </c>
      <c r="F556" s="11">
        <v>0</v>
      </c>
      <c r="G556" s="11">
        <v>0</v>
      </c>
      <c r="H556" s="11">
        <v>0</v>
      </c>
    </row>
    <row r="557" spans="4:8">
      <c r="D557" s="12" t="s">
        <v>859</v>
      </c>
      <c r="E557" s="11">
        <v>0</v>
      </c>
      <c r="F557" s="11">
        <v>0</v>
      </c>
      <c r="G557" s="11">
        <v>0</v>
      </c>
      <c r="H557" s="11">
        <v>0</v>
      </c>
    </row>
    <row r="558" spans="4:8">
      <c r="D558" s="12" t="s">
        <v>937</v>
      </c>
      <c r="E558" s="11">
        <v>0</v>
      </c>
      <c r="F558" s="11">
        <v>0</v>
      </c>
      <c r="G558" s="11">
        <v>0</v>
      </c>
      <c r="H558" s="11">
        <v>2852634</v>
      </c>
    </row>
    <row r="559" spans="4:8">
      <c r="D559" s="12" t="s">
        <v>326</v>
      </c>
      <c r="E559" s="11">
        <v>0</v>
      </c>
      <c r="F559" s="11">
        <v>2903011.08</v>
      </c>
      <c r="G559" s="11"/>
      <c r="H559" s="11"/>
    </row>
    <row r="560" spans="4:8">
      <c r="D560" s="12" t="s">
        <v>327</v>
      </c>
      <c r="E560" s="11">
        <v>0</v>
      </c>
      <c r="F560" s="11">
        <v>0</v>
      </c>
      <c r="G560" s="11"/>
      <c r="H560" s="11"/>
    </row>
    <row r="561" spans="3:8">
      <c r="D561" s="12" t="s">
        <v>936</v>
      </c>
      <c r="E561" s="11">
        <v>0</v>
      </c>
      <c r="F561" s="11">
        <v>0</v>
      </c>
      <c r="G561" s="11">
        <v>53295.15</v>
      </c>
      <c r="H561" s="11">
        <v>0</v>
      </c>
    </row>
    <row r="562" spans="3:8">
      <c r="C562" s="12" t="s">
        <v>1034</v>
      </c>
      <c r="D562" s="230"/>
      <c r="E562" s="11">
        <v>315731.11</v>
      </c>
      <c r="F562" s="11">
        <v>6281547.8499999996</v>
      </c>
      <c r="G562" s="11">
        <v>189131.25999999998</v>
      </c>
      <c r="H562" s="11">
        <v>6268567</v>
      </c>
    </row>
    <row r="563" spans="3:8">
      <c r="C563" s="12" t="s">
        <v>582</v>
      </c>
      <c r="D563" s="12" t="s">
        <v>70</v>
      </c>
      <c r="E563" s="11">
        <v>0</v>
      </c>
      <c r="F563" s="11">
        <v>22944</v>
      </c>
      <c r="G563" s="11">
        <v>0</v>
      </c>
      <c r="H563" s="11">
        <v>23574</v>
      </c>
    </row>
    <row r="564" spans="3:8">
      <c r="D564" s="12" t="s">
        <v>583</v>
      </c>
      <c r="E564" s="11">
        <v>0</v>
      </c>
      <c r="F564" s="11">
        <v>198784</v>
      </c>
      <c r="G564" s="11">
        <v>0</v>
      </c>
      <c r="H564" s="11">
        <v>206714</v>
      </c>
    </row>
    <row r="565" spans="3:8">
      <c r="D565" s="12" t="s">
        <v>342</v>
      </c>
      <c r="E565" s="11">
        <v>0</v>
      </c>
      <c r="F565" s="11">
        <v>11175</v>
      </c>
      <c r="G565" s="11">
        <v>0</v>
      </c>
      <c r="H565" s="11">
        <v>12150</v>
      </c>
    </row>
    <row r="566" spans="3:8">
      <c r="D566" s="12" t="s">
        <v>360</v>
      </c>
      <c r="E566" s="11">
        <v>0</v>
      </c>
      <c r="F566" s="11">
        <v>12998.22</v>
      </c>
      <c r="G566" s="11">
        <v>0</v>
      </c>
      <c r="H566" s="11">
        <v>85088.53</v>
      </c>
    </row>
    <row r="567" spans="3:8">
      <c r="D567" s="12" t="s">
        <v>891</v>
      </c>
      <c r="E567" s="11">
        <v>0</v>
      </c>
      <c r="F567" s="11">
        <v>86477</v>
      </c>
      <c r="G567" s="11">
        <v>0</v>
      </c>
      <c r="H567" s="11">
        <v>80773</v>
      </c>
    </row>
    <row r="568" spans="3:8">
      <c r="D568" s="12" t="s">
        <v>898</v>
      </c>
      <c r="E568" s="11">
        <v>0</v>
      </c>
      <c r="F568" s="11">
        <v>5000</v>
      </c>
      <c r="G568" s="11">
        <v>0</v>
      </c>
      <c r="H568" s="11">
        <v>2925</v>
      </c>
    </row>
    <row r="569" spans="3:8">
      <c r="D569" s="12" t="s">
        <v>363</v>
      </c>
      <c r="E569" s="11">
        <v>0</v>
      </c>
      <c r="F569" s="11">
        <v>11758</v>
      </c>
      <c r="G569" s="11">
        <v>0</v>
      </c>
      <c r="H569" s="11">
        <v>3756</v>
      </c>
    </row>
    <row r="570" spans="3:8">
      <c r="D570" s="12" t="s">
        <v>899</v>
      </c>
      <c r="E570" s="11">
        <v>0</v>
      </c>
      <c r="F570" s="11">
        <v>0</v>
      </c>
      <c r="G570" s="11">
        <v>0</v>
      </c>
      <c r="H570" s="11">
        <v>12373</v>
      </c>
    </row>
    <row r="571" spans="3:8">
      <c r="D571" s="12" t="s">
        <v>900</v>
      </c>
      <c r="E571" s="11">
        <v>0</v>
      </c>
      <c r="F571" s="11">
        <v>44158.04</v>
      </c>
      <c r="G571" s="11">
        <v>0</v>
      </c>
      <c r="H571" s="11">
        <v>10862.04</v>
      </c>
    </row>
    <row r="572" spans="3:8">
      <c r="D572" s="12" t="s">
        <v>901</v>
      </c>
      <c r="E572" s="11">
        <v>0</v>
      </c>
      <c r="F572" s="11">
        <v>47015</v>
      </c>
      <c r="G572" s="11">
        <v>0</v>
      </c>
      <c r="H572" s="11">
        <v>29491</v>
      </c>
    </row>
    <row r="573" spans="3:8">
      <c r="D573" s="12" t="s">
        <v>368</v>
      </c>
      <c r="E573" s="11">
        <v>0</v>
      </c>
      <c r="F573" s="11">
        <v>91593</v>
      </c>
      <c r="G573" s="11"/>
      <c r="H573" s="11"/>
    </row>
    <row r="574" spans="3:8">
      <c r="D574" s="12" t="s">
        <v>902</v>
      </c>
      <c r="E574" s="11">
        <v>0</v>
      </c>
      <c r="F574" s="11">
        <v>7000</v>
      </c>
      <c r="G574" s="11">
        <v>0</v>
      </c>
      <c r="H574" s="11">
        <v>10850</v>
      </c>
    </row>
    <row r="575" spans="3:8">
      <c r="D575" s="12" t="s">
        <v>371</v>
      </c>
      <c r="E575" s="11">
        <v>0</v>
      </c>
      <c r="F575" s="11">
        <v>4651</v>
      </c>
      <c r="G575" s="11">
        <v>0</v>
      </c>
      <c r="H575" s="11">
        <v>5839</v>
      </c>
    </row>
    <row r="576" spans="3:8">
      <c r="D576" s="12" t="s">
        <v>369</v>
      </c>
      <c r="E576" s="11">
        <v>0</v>
      </c>
      <c r="F576" s="11">
        <v>59000</v>
      </c>
      <c r="G576" s="11">
        <v>0</v>
      </c>
      <c r="H576" s="11">
        <v>122000</v>
      </c>
    </row>
    <row r="577" spans="1:8">
      <c r="C577" s="12" t="s">
        <v>1024</v>
      </c>
      <c r="D577" s="230"/>
      <c r="E577" s="11">
        <v>0</v>
      </c>
      <c r="F577" s="11">
        <v>602553.26</v>
      </c>
      <c r="G577" s="11">
        <v>0</v>
      </c>
      <c r="H577" s="11">
        <v>606395.57000000007</v>
      </c>
    </row>
    <row r="578" spans="1:8">
      <c r="B578" s="12" t="s">
        <v>978</v>
      </c>
      <c r="C578" s="230"/>
      <c r="D578" s="230"/>
      <c r="E578" s="11">
        <v>315731.11</v>
      </c>
      <c r="F578" s="11">
        <v>6884101.1099999994</v>
      </c>
      <c r="G578" s="11">
        <v>189131.25999999998</v>
      </c>
      <c r="H578" s="11">
        <v>6874962.5700000003</v>
      </c>
    </row>
    <row r="579" spans="1:8">
      <c r="A579" s="12" t="s">
        <v>1004</v>
      </c>
      <c r="B579" s="230"/>
      <c r="C579" s="230"/>
      <c r="D579" s="230"/>
      <c r="E579" s="11">
        <v>315731.11</v>
      </c>
      <c r="F579" s="11">
        <v>6884101.1099999994</v>
      </c>
      <c r="G579" s="11">
        <v>189131.25999999998</v>
      </c>
      <c r="H579" s="11">
        <v>6874962.5700000003</v>
      </c>
    </row>
    <row r="580" spans="1:8">
      <c r="A580" s="12">
        <v>20</v>
      </c>
      <c r="B580" s="12" t="s">
        <v>1553</v>
      </c>
      <c r="C580" s="12" t="s">
        <v>803</v>
      </c>
      <c r="D580" s="12" t="s">
        <v>802</v>
      </c>
      <c r="E580" s="11">
        <v>0</v>
      </c>
      <c r="F580" s="11">
        <v>0</v>
      </c>
      <c r="G580" s="11">
        <v>0</v>
      </c>
      <c r="H580" s="11">
        <v>280877</v>
      </c>
    </row>
    <row r="581" spans="1:8">
      <c r="C581" s="12" t="s">
        <v>1026</v>
      </c>
      <c r="D581" s="230"/>
      <c r="E581" s="11">
        <v>0</v>
      </c>
      <c r="F581" s="11">
        <v>0</v>
      </c>
      <c r="G581" s="11">
        <v>0</v>
      </c>
      <c r="H581" s="11">
        <v>280877</v>
      </c>
    </row>
    <row r="582" spans="1:8">
      <c r="C582" s="12" t="s">
        <v>607</v>
      </c>
      <c r="D582" s="12" t="s">
        <v>145</v>
      </c>
      <c r="E582" s="11">
        <v>0</v>
      </c>
      <c r="F582" s="11">
        <v>1486209</v>
      </c>
      <c r="G582" s="11">
        <v>0</v>
      </c>
      <c r="H582" s="11">
        <v>1301094</v>
      </c>
    </row>
    <row r="583" spans="1:8">
      <c r="D583" s="12" t="s">
        <v>192</v>
      </c>
      <c r="E583" s="11">
        <v>0</v>
      </c>
      <c r="F583" s="11">
        <v>221807</v>
      </c>
      <c r="G583" s="11">
        <v>0</v>
      </c>
      <c r="H583" s="11">
        <v>198086</v>
      </c>
    </row>
    <row r="584" spans="1:8">
      <c r="C584" s="12" t="s">
        <v>1027</v>
      </c>
      <c r="D584" s="230"/>
      <c r="E584" s="11">
        <v>0</v>
      </c>
      <c r="F584" s="11">
        <v>1708016</v>
      </c>
      <c r="G584" s="11">
        <v>0</v>
      </c>
      <c r="H584" s="11">
        <v>1499180</v>
      </c>
    </row>
    <row r="585" spans="1:8">
      <c r="B585" s="12" t="s">
        <v>1578</v>
      </c>
      <c r="C585" s="230"/>
      <c r="D585" s="230"/>
      <c r="E585" s="11">
        <v>0</v>
      </c>
      <c r="F585" s="11">
        <v>1708016</v>
      </c>
      <c r="G585" s="11">
        <v>0</v>
      </c>
      <c r="H585" s="11">
        <v>1780057</v>
      </c>
    </row>
    <row r="586" spans="1:8">
      <c r="A586" s="12" t="s">
        <v>1005</v>
      </c>
      <c r="B586" s="230"/>
      <c r="C586" s="230"/>
      <c r="D586" s="230"/>
      <c r="E586" s="11">
        <v>0</v>
      </c>
      <c r="F586" s="11">
        <v>1708016</v>
      </c>
      <c r="G586" s="11">
        <v>0</v>
      </c>
      <c r="H586" s="11">
        <v>1780057</v>
      </c>
    </row>
    <row r="587" spans="1:8">
      <c r="A587" s="12">
        <v>22</v>
      </c>
      <c r="B587" s="12" t="s">
        <v>491</v>
      </c>
      <c r="C587" s="12" t="s">
        <v>643</v>
      </c>
      <c r="D587" s="12" t="s">
        <v>126</v>
      </c>
      <c r="E587" s="11">
        <v>0</v>
      </c>
      <c r="F587" s="11">
        <v>1231216</v>
      </c>
      <c r="G587" s="11">
        <v>0</v>
      </c>
      <c r="H587" s="11">
        <v>1088007</v>
      </c>
    </row>
    <row r="588" spans="1:8">
      <c r="C588" s="12" t="s">
        <v>1048</v>
      </c>
      <c r="D588" s="230"/>
      <c r="E588" s="11">
        <v>0</v>
      </c>
      <c r="F588" s="11">
        <v>1231216</v>
      </c>
      <c r="G588" s="11">
        <v>0</v>
      </c>
      <c r="H588" s="11">
        <v>1088007</v>
      </c>
    </row>
    <row r="589" spans="1:8">
      <c r="C589" s="12" t="s">
        <v>687</v>
      </c>
      <c r="D589" s="12" t="s">
        <v>158</v>
      </c>
      <c r="E589" s="11">
        <v>0</v>
      </c>
      <c r="F589" s="11">
        <v>160002.60999999999</v>
      </c>
      <c r="G589" s="11">
        <v>0</v>
      </c>
      <c r="H589" s="11">
        <v>75929</v>
      </c>
    </row>
    <row r="590" spans="1:8">
      <c r="C590" s="12" t="s">
        <v>1049</v>
      </c>
      <c r="D590" s="230"/>
      <c r="E590" s="11">
        <v>0</v>
      </c>
      <c r="F590" s="11">
        <v>160002.60999999999</v>
      </c>
      <c r="G590" s="11">
        <v>0</v>
      </c>
      <c r="H590" s="11">
        <v>75929</v>
      </c>
    </row>
    <row r="591" spans="1:8">
      <c r="C591" s="12" t="s">
        <v>788</v>
      </c>
      <c r="D591" s="12" t="s">
        <v>788</v>
      </c>
      <c r="E591" s="11">
        <v>0</v>
      </c>
      <c r="F591" s="11">
        <v>0</v>
      </c>
      <c r="G591" s="11">
        <v>0</v>
      </c>
      <c r="H591" s="11">
        <v>0</v>
      </c>
    </row>
    <row r="592" spans="1:8">
      <c r="C592" s="12" t="s">
        <v>1050</v>
      </c>
      <c r="D592" s="230"/>
      <c r="E592" s="11">
        <v>0</v>
      </c>
      <c r="F592" s="11">
        <v>0</v>
      </c>
      <c r="G592" s="11">
        <v>0</v>
      </c>
      <c r="H592" s="11">
        <v>0</v>
      </c>
    </row>
    <row r="593" spans="1:8">
      <c r="C593" s="12" t="s">
        <v>505</v>
      </c>
      <c r="D593" s="12" t="s">
        <v>504</v>
      </c>
      <c r="E593" s="11">
        <v>0</v>
      </c>
      <c r="F593" s="11">
        <v>0</v>
      </c>
      <c r="G593" s="11">
        <v>0</v>
      </c>
      <c r="H593" s="11">
        <v>25865</v>
      </c>
    </row>
    <row r="594" spans="1:8">
      <c r="C594" s="12" t="s">
        <v>1051</v>
      </c>
      <c r="D594" s="230"/>
      <c r="E594" s="11">
        <v>0</v>
      </c>
      <c r="F594" s="11">
        <v>0</v>
      </c>
      <c r="G594" s="11">
        <v>0</v>
      </c>
      <c r="H594" s="11">
        <v>25865</v>
      </c>
    </row>
    <row r="595" spans="1:8">
      <c r="B595" s="12" t="s">
        <v>985</v>
      </c>
      <c r="C595" s="230"/>
      <c r="D595" s="230"/>
      <c r="E595" s="11">
        <v>0</v>
      </c>
      <c r="F595" s="11">
        <v>1391218.6099999999</v>
      </c>
      <c r="G595" s="11">
        <v>0</v>
      </c>
      <c r="H595" s="11">
        <v>1189801</v>
      </c>
    </row>
    <row r="596" spans="1:8">
      <c r="A596" s="12" t="s">
        <v>1006</v>
      </c>
      <c r="B596" s="230"/>
      <c r="C596" s="230"/>
      <c r="D596" s="230"/>
      <c r="E596" s="11">
        <v>0</v>
      </c>
      <c r="F596" s="11">
        <v>1391218.6099999999</v>
      </c>
      <c r="G596" s="11">
        <v>0</v>
      </c>
      <c r="H596" s="11">
        <v>1189801</v>
      </c>
    </row>
    <row r="597" spans="1:8">
      <c r="A597" s="12">
        <v>25</v>
      </c>
      <c r="B597" s="12" t="s">
        <v>619</v>
      </c>
      <c r="C597" s="12" t="s">
        <v>632</v>
      </c>
      <c r="D597" s="12" t="s">
        <v>111</v>
      </c>
      <c r="E597" s="11">
        <v>234882</v>
      </c>
      <c r="F597" s="11">
        <v>0</v>
      </c>
      <c r="G597" s="11">
        <v>212650</v>
      </c>
      <c r="H597" s="11">
        <v>0</v>
      </c>
    </row>
    <row r="598" spans="1:8">
      <c r="D598" s="12" t="s">
        <v>650</v>
      </c>
      <c r="E598" s="11">
        <v>912232</v>
      </c>
      <c r="F598" s="11">
        <v>0</v>
      </c>
      <c r="G598" s="11">
        <v>-333919</v>
      </c>
      <c r="H598" s="11">
        <v>0</v>
      </c>
    </row>
    <row r="599" spans="1:8">
      <c r="D599" s="12" t="s">
        <v>789</v>
      </c>
      <c r="E599" s="11">
        <v>1283384</v>
      </c>
      <c r="F599" s="11">
        <v>0</v>
      </c>
      <c r="G599" s="11">
        <v>1147078</v>
      </c>
      <c r="H599" s="11">
        <v>0</v>
      </c>
    </row>
    <row r="600" spans="1:8">
      <c r="C600" s="12" t="s">
        <v>1053</v>
      </c>
      <c r="D600" s="230"/>
      <c r="E600" s="11">
        <v>2430498</v>
      </c>
      <c r="F600" s="11">
        <v>0</v>
      </c>
      <c r="G600" s="11">
        <v>1025809</v>
      </c>
      <c r="H600" s="11">
        <v>0</v>
      </c>
    </row>
    <row r="601" spans="1:8">
      <c r="C601" s="12" t="s">
        <v>620</v>
      </c>
      <c r="D601" s="12" t="s">
        <v>98</v>
      </c>
      <c r="E601" s="11">
        <v>46500</v>
      </c>
      <c r="F601" s="11">
        <v>0</v>
      </c>
      <c r="G601" s="11">
        <v>28500</v>
      </c>
      <c r="H601" s="11">
        <v>0</v>
      </c>
    </row>
    <row r="602" spans="1:8">
      <c r="D602" s="12" t="s">
        <v>634</v>
      </c>
      <c r="E602" s="11">
        <v>0</v>
      </c>
      <c r="F602" s="11">
        <v>0</v>
      </c>
      <c r="G602" s="11">
        <v>0</v>
      </c>
      <c r="H602" s="11">
        <v>0</v>
      </c>
    </row>
    <row r="603" spans="1:8">
      <c r="D603" s="12" t="s">
        <v>147</v>
      </c>
      <c r="E603" s="11">
        <v>1234315</v>
      </c>
      <c r="F603" s="11">
        <v>0</v>
      </c>
      <c r="G603" s="11">
        <v>1301094</v>
      </c>
      <c r="H603" s="11">
        <v>0</v>
      </c>
    </row>
    <row r="604" spans="1:8">
      <c r="D604" s="12" t="s">
        <v>191</v>
      </c>
      <c r="E604" s="11">
        <v>221807</v>
      </c>
      <c r="F604" s="11">
        <v>0</v>
      </c>
      <c r="G604" s="11">
        <v>198086</v>
      </c>
      <c r="H604" s="11">
        <v>0</v>
      </c>
    </row>
    <row r="605" spans="1:8">
      <c r="D605" s="12" t="s">
        <v>829</v>
      </c>
      <c r="E605" s="11">
        <v>4723871</v>
      </c>
      <c r="F605" s="11">
        <v>0</v>
      </c>
      <c r="G605" s="11">
        <v>4800000</v>
      </c>
      <c r="H605" s="11">
        <v>0</v>
      </c>
    </row>
    <row r="606" spans="1:8">
      <c r="D606" s="12" t="s">
        <v>302</v>
      </c>
      <c r="E606" s="11">
        <v>222000</v>
      </c>
      <c r="F606" s="11">
        <v>0</v>
      </c>
      <c r="G606" s="11">
        <v>216000</v>
      </c>
      <c r="H606" s="11">
        <v>0</v>
      </c>
    </row>
    <row r="607" spans="1:8">
      <c r="D607" s="12" t="s">
        <v>844</v>
      </c>
      <c r="E607" s="11">
        <v>2764949</v>
      </c>
      <c r="F607" s="11">
        <v>0</v>
      </c>
      <c r="G607" s="11">
        <v>1684618</v>
      </c>
      <c r="H607" s="11">
        <v>0</v>
      </c>
    </row>
    <row r="608" spans="1:8">
      <c r="D608" s="12" t="s">
        <v>843</v>
      </c>
      <c r="E608" s="11">
        <v>0</v>
      </c>
      <c r="F608" s="11">
        <v>0</v>
      </c>
      <c r="G608" s="11">
        <v>0</v>
      </c>
      <c r="H608" s="11">
        <v>0</v>
      </c>
    </row>
    <row r="609" spans="1:8">
      <c r="D609" s="12" t="s">
        <v>845</v>
      </c>
      <c r="E609" s="11">
        <v>2678400</v>
      </c>
      <c r="F609" s="11">
        <v>0</v>
      </c>
      <c r="G609" s="11">
        <v>2423600</v>
      </c>
      <c r="H609" s="11">
        <v>0</v>
      </c>
    </row>
    <row r="610" spans="1:8">
      <c r="D610" s="12" t="s">
        <v>846</v>
      </c>
      <c r="E610" s="11">
        <v>10002813</v>
      </c>
      <c r="F610" s="11">
        <v>0</v>
      </c>
      <c r="G610" s="11">
        <v>8467719</v>
      </c>
      <c r="H610" s="11">
        <v>0</v>
      </c>
    </row>
    <row r="611" spans="1:8">
      <c r="D611" s="12" t="s">
        <v>869</v>
      </c>
      <c r="E611" s="11">
        <v>0</v>
      </c>
      <c r="F611" s="11">
        <v>0</v>
      </c>
      <c r="G611" s="11">
        <v>59270</v>
      </c>
      <c r="H611" s="11">
        <v>0</v>
      </c>
    </row>
    <row r="612" spans="1:8">
      <c r="D612" s="12" t="s">
        <v>1666</v>
      </c>
      <c r="E612" s="11">
        <v>10320</v>
      </c>
      <c r="F612" s="11">
        <v>0</v>
      </c>
      <c r="G612" s="11"/>
      <c r="H612" s="11"/>
    </row>
    <row r="613" spans="1:8">
      <c r="C613" s="12" t="s">
        <v>1054</v>
      </c>
      <c r="D613" s="230"/>
      <c r="E613" s="11">
        <v>21904975</v>
      </c>
      <c r="F613" s="11">
        <v>0</v>
      </c>
      <c r="G613" s="11">
        <v>19178887</v>
      </c>
      <c r="H613" s="11">
        <v>0</v>
      </c>
    </row>
    <row r="614" spans="1:8">
      <c r="C614" s="12" t="s">
        <v>742</v>
      </c>
      <c r="D614" s="12" t="s">
        <v>741</v>
      </c>
      <c r="E614" s="11">
        <v>198462</v>
      </c>
      <c r="F614" s="11">
        <v>0</v>
      </c>
      <c r="G614" s="11">
        <v>306631</v>
      </c>
      <c r="H614" s="11">
        <v>0</v>
      </c>
    </row>
    <row r="615" spans="1:8">
      <c r="D615" s="12" t="s">
        <v>742</v>
      </c>
      <c r="E615" s="11">
        <v>0</v>
      </c>
      <c r="F615" s="11">
        <v>0</v>
      </c>
      <c r="G615" s="11">
        <v>0</v>
      </c>
      <c r="H615" s="11">
        <v>0</v>
      </c>
    </row>
    <row r="616" spans="1:8">
      <c r="C616" s="12" t="s">
        <v>1055</v>
      </c>
      <c r="D616" s="230"/>
      <c r="E616" s="11">
        <v>198462</v>
      </c>
      <c r="F616" s="11">
        <v>0</v>
      </c>
      <c r="G616" s="11">
        <v>306631</v>
      </c>
      <c r="H616" s="11">
        <v>0</v>
      </c>
    </row>
    <row r="617" spans="1:8">
      <c r="B617" s="12" t="s">
        <v>987</v>
      </c>
      <c r="C617" s="230"/>
      <c r="D617" s="230"/>
      <c r="E617" s="11">
        <v>24533935</v>
      </c>
      <c r="F617" s="11">
        <v>0</v>
      </c>
      <c r="G617" s="11">
        <v>20511327</v>
      </c>
      <c r="H617" s="11">
        <v>0</v>
      </c>
    </row>
    <row r="618" spans="1:8">
      <c r="A618" s="12" t="s">
        <v>1007</v>
      </c>
      <c r="B618" s="230"/>
      <c r="C618" s="230"/>
      <c r="D618" s="230"/>
      <c r="E618" s="11">
        <v>24533935</v>
      </c>
      <c r="F618" s="11">
        <v>0</v>
      </c>
      <c r="G618" s="11">
        <v>20511327</v>
      </c>
      <c r="H618" s="11">
        <v>0</v>
      </c>
    </row>
    <row r="619" spans="1:8">
      <c r="A619" s="12">
        <v>26</v>
      </c>
      <c r="B619" s="12" t="s">
        <v>509</v>
      </c>
      <c r="C619" s="12" t="s">
        <v>693</v>
      </c>
      <c r="D619" s="12" t="s">
        <v>692</v>
      </c>
      <c r="E619" s="11">
        <v>0</v>
      </c>
      <c r="F619" s="11">
        <v>0</v>
      </c>
      <c r="G619" s="11">
        <v>0</v>
      </c>
      <c r="H619" s="11">
        <v>0</v>
      </c>
    </row>
    <row r="620" spans="1:8">
      <c r="D620" s="12" t="s">
        <v>694</v>
      </c>
      <c r="E620" s="11">
        <v>0</v>
      </c>
      <c r="F620" s="11">
        <v>0</v>
      </c>
      <c r="G620" s="11">
        <v>1838</v>
      </c>
      <c r="H620" s="11">
        <v>0</v>
      </c>
    </row>
    <row r="621" spans="1:8">
      <c r="D621" s="12" t="s">
        <v>695</v>
      </c>
      <c r="E621" s="11">
        <v>0</v>
      </c>
      <c r="F621" s="11">
        <v>0</v>
      </c>
      <c r="G621" s="11">
        <v>2098</v>
      </c>
      <c r="H621" s="11">
        <v>0</v>
      </c>
    </row>
    <row r="622" spans="1:8">
      <c r="D622" s="12" t="s">
        <v>159</v>
      </c>
      <c r="E622" s="11">
        <v>115865.81</v>
      </c>
      <c r="F622" s="11">
        <v>0</v>
      </c>
      <c r="G622" s="11">
        <v>368858</v>
      </c>
      <c r="H622" s="11">
        <v>0</v>
      </c>
    </row>
    <row r="623" spans="1:8">
      <c r="D623" s="12" t="s">
        <v>160</v>
      </c>
      <c r="E623" s="11">
        <v>143075.34</v>
      </c>
      <c r="F623" s="11">
        <v>0</v>
      </c>
      <c r="G623" s="11">
        <v>460969</v>
      </c>
      <c r="H623" s="11">
        <v>0</v>
      </c>
    </row>
    <row r="624" spans="1:8">
      <c r="D624" s="12" t="s">
        <v>163</v>
      </c>
      <c r="E624" s="11">
        <v>948949</v>
      </c>
      <c r="F624" s="11">
        <v>0</v>
      </c>
      <c r="G624" s="11">
        <v>859878</v>
      </c>
      <c r="H624" s="11">
        <v>0</v>
      </c>
    </row>
    <row r="625" spans="1:8">
      <c r="D625" s="12" t="s">
        <v>703</v>
      </c>
      <c r="E625" s="11">
        <v>4146914</v>
      </c>
      <c r="F625" s="11">
        <v>0</v>
      </c>
      <c r="G625" s="11">
        <v>2678489.9500000002</v>
      </c>
      <c r="H625" s="11">
        <v>0</v>
      </c>
    </row>
    <row r="626" spans="1:8">
      <c r="D626" s="12" t="s">
        <v>173</v>
      </c>
      <c r="E626" s="11">
        <v>193596</v>
      </c>
      <c r="F626" s="11">
        <v>0</v>
      </c>
      <c r="G626" s="11"/>
      <c r="H626" s="11"/>
    </row>
    <row r="627" spans="1:8">
      <c r="D627" s="12" t="s">
        <v>704</v>
      </c>
      <c r="E627" s="11">
        <v>0</v>
      </c>
      <c r="F627" s="11">
        <v>0</v>
      </c>
      <c r="G627" s="11">
        <v>6</v>
      </c>
      <c r="H627" s="11">
        <v>0</v>
      </c>
    </row>
    <row r="628" spans="1:8">
      <c r="D628" s="12" t="s">
        <v>705</v>
      </c>
      <c r="E628" s="11">
        <v>0</v>
      </c>
      <c r="F628" s="11">
        <v>0</v>
      </c>
      <c r="G628" s="11">
        <v>1225</v>
      </c>
      <c r="H628" s="11">
        <v>0</v>
      </c>
    </row>
    <row r="629" spans="1:8">
      <c r="D629" s="12" t="s">
        <v>706</v>
      </c>
      <c r="E629" s="11">
        <v>1795701</v>
      </c>
      <c r="F629" s="11">
        <v>0</v>
      </c>
      <c r="G629" s="11">
        <v>1577670</v>
      </c>
      <c r="H629" s="11">
        <v>0</v>
      </c>
    </row>
    <row r="630" spans="1:8">
      <c r="D630" s="12" t="s">
        <v>726</v>
      </c>
      <c r="E630" s="11">
        <v>0</v>
      </c>
      <c r="F630" s="11">
        <v>0</v>
      </c>
      <c r="G630" s="11">
        <v>0</v>
      </c>
      <c r="H630" s="11">
        <v>0</v>
      </c>
    </row>
    <row r="631" spans="1:8">
      <c r="C631" s="12" t="s">
        <v>1056</v>
      </c>
      <c r="D631" s="230"/>
      <c r="E631" s="11">
        <v>7344101.1500000004</v>
      </c>
      <c r="F631" s="11">
        <v>0</v>
      </c>
      <c r="G631" s="11">
        <v>5951031.9500000002</v>
      </c>
      <c r="H631" s="11">
        <v>0</v>
      </c>
    </row>
    <row r="632" spans="1:8">
      <c r="C632" s="12" t="s">
        <v>510</v>
      </c>
      <c r="D632" s="12" t="s">
        <v>41</v>
      </c>
      <c r="E632" s="11">
        <v>243852</v>
      </c>
      <c r="F632" s="11">
        <v>0</v>
      </c>
      <c r="G632" s="11">
        <v>97878</v>
      </c>
      <c r="H632" s="11">
        <v>0</v>
      </c>
    </row>
    <row r="633" spans="1:8">
      <c r="D633" s="12" t="s">
        <v>920</v>
      </c>
      <c r="E633" s="11">
        <v>0</v>
      </c>
      <c r="F633" s="11">
        <v>0</v>
      </c>
      <c r="G633" s="11">
        <v>48970</v>
      </c>
      <c r="H633" s="11">
        <v>0</v>
      </c>
    </row>
    <row r="634" spans="1:8">
      <c r="D634" s="12" t="s">
        <v>511</v>
      </c>
      <c r="E634" s="11">
        <v>0</v>
      </c>
      <c r="F634" s="11">
        <v>0</v>
      </c>
      <c r="G634" s="11">
        <v>274305</v>
      </c>
      <c r="H634" s="11">
        <v>0</v>
      </c>
    </row>
    <row r="635" spans="1:8">
      <c r="D635" s="12" t="s">
        <v>348</v>
      </c>
      <c r="E635" s="11">
        <v>15000</v>
      </c>
      <c r="F635" s="11">
        <v>0</v>
      </c>
      <c r="G635" s="11">
        <v>0</v>
      </c>
      <c r="H635" s="11">
        <v>0</v>
      </c>
    </row>
    <row r="636" spans="1:8">
      <c r="C636" s="12" t="s">
        <v>1057</v>
      </c>
      <c r="D636" s="230"/>
      <c r="E636" s="11">
        <v>258852</v>
      </c>
      <c r="F636" s="11">
        <v>0</v>
      </c>
      <c r="G636" s="11">
        <v>421153</v>
      </c>
      <c r="H636" s="11">
        <v>0</v>
      </c>
    </row>
    <row r="637" spans="1:8">
      <c r="B637" s="12" t="s">
        <v>988</v>
      </c>
      <c r="C637" s="230"/>
      <c r="D637" s="230"/>
      <c r="E637" s="11">
        <v>7602953.1500000004</v>
      </c>
      <c r="F637" s="11">
        <v>0</v>
      </c>
      <c r="G637" s="11">
        <v>6372184.9500000002</v>
      </c>
      <c r="H637" s="11">
        <v>0</v>
      </c>
    </row>
    <row r="638" spans="1:8">
      <c r="A638" s="12" t="s">
        <v>1008</v>
      </c>
      <c r="B638" s="230"/>
      <c r="C638" s="230"/>
      <c r="D638" s="230"/>
      <c r="E638" s="11">
        <v>7602953.1500000004</v>
      </c>
      <c r="F638" s="11">
        <v>0</v>
      </c>
      <c r="G638" s="11">
        <v>6372184.9500000002</v>
      </c>
      <c r="H638" s="11">
        <v>0</v>
      </c>
    </row>
    <row r="639" spans="1:8">
      <c r="A639" s="12" t="s">
        <v>968</v>
      </c>
      <c r="B639" s="12" t="s">
        <v>609</v>
      </c>
      <c r="C639" s="12" t="s">
        <v>610</v>
      </c>
      <c r="D639" s="12" t="s">
        <v>90</v>
      </c>
      <c r="E639" s="11">
        <v>1850243</v>
      </c>
      <c r="F639" s="11">
        <v>0</v>
      </c>
      <c r="G639" s="11">
        <v>1861537</v>
      </c>
      <c r="H639" s="11">
        <v>0</v>
      </c>
    </row>
    <row r="640" spans="1:8">
      <c r="D640" s="12" t="s">
        <v>611</v>
      </c>
      <c r="E640" s="11">
        <v>1908584</v>
      </c>
      <c r="F640" s="11">
        <v>0</v>
      </c>
      <c r="G640" s="11">
        <v>1834185</v>
      </c>
      <c r="H640" s="11">
        <v>0</v>
      </c>
    </row>
    <row r="641" spans="2:8">
      <c r="D641" s="12" t="s">
        <v>612</v>
      </c>
      <c r="E641" s="11">
        <v>41543</v>
      </c>
      <c r="F641" s="11">
        <v>0</v>
      </c>
      <c r="G641" s="11">
        <v>46790</v>
      </c>
      <c r="H641" s="11">
        <v>0</v>
      </c>
    </row>
    <row r="642" spans="2:8">
      <c r="D642" s="12" t="s">
        <v>93</v>
      </c>
      <c r="E642" s="11">
        <v>48716</v>
      </c>
      <c r="F642" s="11">
        <v>0</v>
      </c>
      <c r="G642" s="11">
        <v>46907</v>
      </c>
      <c r="H642" s="11">
        <v>0</v>
      </c>
    </row>
    <row r="643" spans="2:8">
      <c r="D643" s="12" t="s">
        <v>94</v>
      </c>
      <c r="E643" s="11">
        <v>113997</v>
      </c>
      <c r="F643" s="11">
        <v>0</v>
      </c>
      <c r="G643" s="11">
        <v>103253</v>
      </c>
      <c r="H643" s="11">
        <v>0</v>
      </c>
    </row>
    <row r="644" spans="2:8">
      <c r="D644" s="12" t="s">
        <v>613</v>
      </c>
      <c r="E644" s="11">
        <v>13628774</v>
      </c>
      <c r="F644" s="11">
        <v>0</v>
      </c>
      <c r="G644" s="11">
        <v>13466161</v>
      </c>
      <c r="H644" s="11">
        <v>0</v>
      </c>
    </row>
    <row r="645" spans="2:8">
      <c r="D645" s="12" t="s">
        <v>96</v>
      </c>
      <c r="E645" s="11">
        <v>369149</v>
      </c>
      <c r="F645" s="11">
        <v>0</v>
      </c>
      <c r="G645" s="11">
        <v>369149</v>
      </c>
      <c r="H645" s="11">
        <v>0</v>
      </c>
    </row>
    <row r="646" spans="2:8">
      <c r="C646" s="12" t="s">
        <v>1028</v>
      </c>
      <c r="D646" s="230"/>
      <c r="E646" s="11">
        <v>17961006</v>
      </c>
      <c r="F646" s="11">
        <v>0</v>
      </c>
      <c r="G646" s="11">
        <v>17727982</v>
      </c>
      <c r="H646" s="11">
        <v>0</v>
      </c>
    </row>
    <row r="647" spans="2:8">
      <c r="B647" s="12" t="s">
        <v>980</v>
      </c>
      <c r="C647" s="230"/>
      <c r="D647" s="230"/>
      <c r="E647" s="11">
        <v>17961006</v>
      </c>
      <c r="F647" s="11">
        <v>0</v>
      </c>
      <c r="G647" s="11">
        <v>17727982</v>
      </c>
      <c r="H647" s="11">
        <v>0</v>
      </c>
    </row>
    <row r="648" spans="2:8">
      <c r="B648" s="12" t="s">
        <v>439</v>
      </c>
      <c r="C648" s="12" t="s">
        <v>734</v>
      </c>
      <c r="D648" s="12" t="s">
        <v>733</v>
      </c>
      <c r="E648" s="11">
        <v>0</v>
      </c>
      <c r="F648" s="11">
        <v>0</v>
      </c>
      <c r="G648" s="11">
        <v>0</v>
      </c>
      <c r="H648" s="11">
        <v>0</v>
      </c>
    </row>
    <row r="649" spans="2:8">
      <c r="D649" s="12" t="s">
        <v>735</v>
      </c>
      <c r="E649" s="11">
        <v>0</v>
      </c>
      <c r="F649" s="11">
        <v>0</v>
      </c>
      <c r="G649" s="11">
        <v>0</v>
      </c>
      <c r="H649" s="11">
        <v>0</v>
      </c>
    </row>
    <row r="650" spans="2:8">
      <c r="D650" s="12" t="s">
        <v>736</v>
      </c>
      <c r="E650" s="11">
        <v>0</v>
      </c>
      <c r="F650" s="11">
        <v>0</v>
      </c>
      <c r="G650" s="11">
        <v>0</v>
      </c>
      <c r="H650" s="11">
        <v>0</v>
      </c>
    </row>
    <row r="651" spans="2:8">
      <c r="D651" s="12" t="s">
        <v>738</v>
      </c>
      <c r="E651" s="11">
        <v>0</v>
      </c>
      <c r="F651" s="11">
        <v>0</v>
      </c>
      <c r="G651" s="11">
        <v>0</v>
      </c>
      <c r="H651" s="11">
        <v>0</v>
      </c>
    </row>
    <row r="652" spans="2:8">
      <c r="D652" s="12" t="s">
        <v>737</v>
      </c>
      <c r="E652" s="11">
        <v>0</v>
      </c>
      <c r="F652" s="11">
        <v>0</v>
      </c>
      <c r="G652" s="11">
        <v>0</v>
      </c>
      <c r="H652" s="11">
        <v>0</v>
      </c>
    </row>
    <row r="653" spans="2:8">
      <c r="D653" s="12" t="s">
        <v>739</v>
      </c>
      <c r="E653" s="11">
        <v>0</v>
      </c>
      <c r="F653" s="11">
        <v>0</v>
      </c>
      <c r="G653" s="11">
        <v>0</v>
      </c>
      <c r="H653" s="11">
        <v>0</v>
      </c>
    </row>
    <row r="654" spans="2:8">
      <c r="C654" s="12" t="s">
        <v>1037</v>
      </c>
      <c r="D654" s="230"/>
      <c r="E654" s="11">
        <v>0</v>
      </c>
      <c r="F654" s="11">
        <v>0</v>
      </c>
      <c r="G654" s="11">
        <v>0</v>
      </c>
      <c r="H654" s="11">
        <v>0</v>
      </c>
    </row>
    <row r="655" spans="2:8">
      <c r="B655" s="12" t="s">
        <v>977</v>
      </c>
      <c r="C655" s="230"/>
      <c r="D655" s="230"/>
      <c r="E655" s="11">
        <v>0</v>
      </c>
      <c r="F655" s="11">
        <v>0</v>
      </c>
      <c r="G655" s="11">
        <v>0</v>
      </c>
      <c r="H655" s="11">
        <v>0</v>
      </c>
    </row>
    <row r="656" spans="2:8">
      <c r="B656" s="12" t="s">
        <v>762</v>
      </c>
      <c r="C656" s="12" t="s">
        <v>762</v>
      </c>
      <c r="D656" s="12" t="s">
        <v>13</v>
      </c>
      <c r="E656" s="11">
        <v>63133700</v>
      </c>
      <c r="F656" s="11">
        <v>0</v>
      </c>
      <c r="G656" s="11">
        <v>67823511</v>
      </c>
      <c r="H656" s="11">
        <v>0</v>
      </c>
    </row>
    <row r="657" spans="2:8">
      <c r="C657" s="12" t="s">
        <v>989</v>
      </c>
      <c r="D657" s="230"/>
      <c r="E657" s="11">
        <v>63133700</v>
      </c>
      <c r="F657" s="11">
        <v>0</v>
      </c>
      <c r="G657" s="11">
        <v>67823511</v>
      </c>
      <c r="H657" s="11">
        <v>0</v>
      </c>
    </row>
    <row r="658" spans="2:8">
      <c r="B658" s="12" t="s">
        <v>989</v>
      </c>
      <c r="C658" s="230"/>
      <c r="D658" s="230"/>
      <c r="E658" s="11">
        <v>63133700</v>
      </c>
      <c r="F658" s="11">
        <v>0</v>
      </c>
      <c r="G658" s="11">
        <v>67823511</v>
      </c>
      <c r="H658" s="11">
        <v>0</v>
      </c>
    </row>
    <row r="659" spans="2:8">
      <c r="B659" s="12" t="s">
        <v>482</v>
      </c>
      <c r="C659" s="12" t="s">
        <v>624</v>
      </c>
      <c r="D659" s="12" t="s">
        <v>624</v>
      </c>
      <c r="E659" s="11">
        <v>0</v>
      </c>
      <c r="F659" s="11">
        <v>0</v>
      </c>
      <c r="G659" s="11">
        <v>0</v>
      </c>
      <c r="H659" s="11">
        <v>0</v>
      </c>
    </row>
    <row r="660" spans="2:8">
      <c r="D660" s="12" t="s">
        <v>625</v>
      </c>
      <c r="E660" s="11">
        <v>0</v>
      </c>
      <c r="F660" s="11">
        <v>0</v>
      </c>
      <c r="G660" s="11">
        <v>0</v>
      </c>
      <c r="H660" s="11">
        <v>0</v>
      </c>
    </row>
    <row r="661" spans="2:8">
      <c r="C661" s="12" t="s">
        <v>1022</v>
      </c>
      <c r="D661" s="230"/>
      <c r="E661" s="11">
        <v>0</v>
      </c>
      <c r="F661" s="11">
        <v>0</v>
      </c>
      <c r="G661" s="11">
        <v>0</v>
      </c>
      <c r="H661" s="11">
        <v>0</v>
      </c>
    </row>
    <row r="662" spans="2:8">
      <c r="C662" s="12" t="s">
        <v>483</v>
      </c>
      <c r="D662" s="12" t="s">
        <v>481</v>
      </c>
      <c r="E662" s="11">
        <v>0</v>
      </c>
      <c r="F662" s="11">
        <v>0</v>
      </c>
      <c r="G662" s="11">
        <v>0</v>
      </c>
      <c r="H662" s="11">
        <v>0</v>
      </c>
    </row>
    <row r="663" spans="2:8">
      <c r="D663" s="12" t="s">
        <v>484</v>
      </c>
      <c r="E663" s="11">
        <v>0</v>
      </c>
      <c r="F663" s="11">
        <v>0</v>
      </c>
      <c r="G663" s="11">
        <v>0</v>
      </c>
      <c r="H663" s="11">
        <v>0</v>
      </c>
    </row>
    <row r="664" spans="2:8">
      <c r="D664" s="12" t="s">
        <v>931</v>
      </c>
      <c r="E664" s="11">
        <v>0</v>
      </c>
      <c r="F664" s="11">
        <v>0</v>
      </c>
      <c r="G664" s="11">
        <v>0</v>
      </c>
      <c r="H664" s="11">
        <v>0</v>
      </c>
    </row>
    <row r="665" spans="2:8">
      <c r="D665" s="12" t="s">
        <v>781</v>
      </c>
      <c r="E665" s="11">
        <v>0</v>
      </c>
      <c r="F665" s="11">
        <v>0</v>
      </c>
      <c r="G665" s="11">
        <v>0</v>
      </c>
      <c r="H665" s="11">
        <v>0</v>
      </c>
    </row>
    <row r="666" spans="2:8">
      <c r="D666" s="12" t="s">
        <v>812</v>
      </c>
      <c r="E666" s="11">
        <v>0</v>
      </c>
      <c r="F666" s="11">
        <v>0</v>
      </c>
      <c r="G666" s="11">
        <v>0</v>
      </c>
      <c r="H666" s="11">
        <v>0</v>
      </c>
    </row>
    <row r="667" spans="2:8">
      <c r="D667" s="12" t="s">
        <v>904</v>
      </c>
      <c r="E667" s="11">
        <v>0</v>
      </c>
      <c r="F667" s="11">
        <v>0</v>
      </c>
      <c r="G667" s="11">
        <v>0</v>
      </c>
      <c r="H667" s="11">
        <v>0</v>
      </c>
    </row>
    <row r="668" spans="2:8">
      <c r="C668" s="12" t="s">
        <v>1025</v>
      </c>
      <c r="D668" s="230"/>
      <c r="E668" s="11">
        <v>0</v>
      </c>
      <c r="F668" s="11">
        <v>0</v>
      </c>
      <c r="G668" s="11">
        <v>0</v>
      </c>
      <c r="H668" s="11">
        <v>0</v>
      </c>
    </row>
    <row r="669" spans="2:8">
      <c r="B669" s="12" t="s">
        <v>978</v>
      </c>
      <c r="C669" s="230"/>
      <c r="D669" s="230"/>
      <c r="E669" s="11">
        <v>0</v>
      </c>
      <c r="F669" s="11">
        <v>0</v>
      </c>
      <c r="G669" s="11">
        <v>0</v>
      </c>
      <c r="H669" s="11">
        <v>0</v>
      </c>
    </row>
    <row r="670" spans="2:8">
      <c r="B670" s="12" t="s">
        <v>491</v>
      </c>
      <c r="C670" s="12" t="s">
        <v>490</v>
      </c>
      <c r="D670" s="12" t="s">
        <v>490</v>
      </c>
      <c r="E670" s="11">
        <v>0</v>
      </c>
      <c r="F670" s="11">
        <v>0</v>
      </c>
      <c r="G670" s="11">
        <v>0</v>
      </c>
      <c r="H670" s="11">
        <v>0</v>
      </c>
    </row>
    <row r="671" spans="2:8">
      <c r="C671" s="12" t="s">
        <v>1047</v>
      </c>
      <c r="D671" s="230"/>
      <c r="E671" s="11">
        <v>0</v>
      </c>
      <c r="F671" s="11">
        <v>0</v>
      </c>
      <c r="G671" s="11">
        <v>0</v>
      </c>
      <c r="H671" s="11">
        <v>0</v>
      </c>
    </row>
    <row r="672" spans="2:8">
      <c r="B672" s="12" t="s">
        <v>985</v>
      </c>
      <c r="C672" s="230"/>
      <c r="D672" s="230"/>
      <c r="E672" s="11">
        <v>0</v>
      </c>
      <c r="F672" s="11">
        <v>0</v>
      </c>
      <c r="G672" s="11">
        <v>0</v>
      </c>
      <c r="H672" s="11">
        <v>0</v>
      </c>
    </row>
    <row r="673" spans="1:8">
      <c r="B673" s="12" t="s">
        <v>524</v>
      </c>
      <c r="C673" s="12" t="s">
        <v>648</v>
      </c>
      <c r="D673" s="12" t="s">
        <v>132</v>
      </c>
      <c r="E673" s="11">
        <v>0</v>
      </c>
      <c r="F673" s="11">
        <v>1800000</v>
      </c>
      <c r="G673" s="11">
        <v>0</v>
      </c>
      <c r="H673" s="11">
        <v>1800000</v>
      </c>
    </row>
    <row r="674" spans="1:8">
      <c r="C674" s="12" t="s">
        <v>1012</v>
      </c>
      <c r="D674" s="230"/>
      <c r="E674" s="11">
        <v>0</v>
      </c>
      <c r="F674" s="11">
        <v>1800000</v>
      </c>
      <c r="G674" s="11">
        <v>0</v>
      </c>
      <c r="H674" s="11">
        <v>1800000</v>
      </c>
    </row>
    <row r="675" spans="1:8">
      <c r="C675" s="12" t="s">
        <v>855</v>
      </c>
      <c r="D675" s="12" t="s">
        <v>317</v>
      </c>
      <c r="E675" s="11">
        <v>0</v>
      </c>
      <c r="F675" s="11">
        <v>8664946</v>
      </c>
      <c r="G675" s="11">
        <v>0</v>
      </c>
      <c r="H675" s="11">
        <v>8664946</v>
      </c>
    </row>
    <row r="676" spans="1:8">
      <c r="C676" s="12" t="s">
        <v>1013</v>
      </c>
      <c r="D676" s="230"/>
      <c r="E676" s="11">
        <v>0</v>
      </c>
      <c r="F676" s="11">
        <v>8664946</v>
      </c>
      <c r="G676" s="11">
        <v>0</v>
      </c>
      <c r="H676" s="11">
        <v>8664946</v>
      </c>
    </row>
    <row r="677" spans="1:8">
      <c r="C677" s="12" t="s">
        <v>787</v>
      </c>
      <c r="D677" s="12" t="s">
        <v>786</v>
      </c>
      <c r="E677" s="11">
        <v>0</v>
      </c>
      <c r="F677" s="11">
        <v>159588193.24000001</v>
      </c>
      <c r="G677" s="11">
        <v>0</v>
      </c>
      <c r="H677" s="11">
        <v>124185196.38</v>
      </c>
    </row>
    <row r="678" spans="1:8">
      <c r="D678" s="12" t="s">
        <v>1148</v>
      </c>
      <c r="E678" s="11">
        <v>0</v>
      </c>
      <c r="F678" s="11">
        <v>1104075</v>
      </c>
      <c r="G678" s="11"/>
      <c r="H678" s="11"/>
    </row>
    <row r="679" spans="1:8">
      <c r="C679" s="12" t="s">
        <v>1014</v>
      </c>
      <c r="D679" s="230"/>
      <c r="E679" s="11">
        <v>0</v>
      </c>
      <c r="F679" s="11">
        <v>160692268.24000001</v>
      </c>
      <c r="G679" s="11">
        <v>0</v>
      </c>
      <c r="H679" s="11">
        <v>124185196.38</v>
      </c>
    </row>
    <row r="680" spans="1:8">
      <c r="B680" s="12" t="s">
        <v>972</v>
      </c>
      <c r="C680" s="230"/>
      <c r="D680" s="230"/>
      <c r="E680" s="11">
        <v>0</v>
      </c>
      <c r="F680" s="11">
        <v>171157214.24000001</v>
      </c>
      <c r="G680" s="11">
        <v>0</v>
      </c>
      <c r="H680" s="11">
        <v>134650142.38</v>
      </c>
    </row>
    <row r="681" spans="1:8">
      <c r="B681" s="12" t="s">
        <v>606</v>
      </c>
      <c r="C681" s="12" t="s">
        <v>607</v>
      </c>
      <c r="D681" s="12" t="s">
        <v>828</v>
      </c>
      <c r="E681" s="11">
        <v>0</v>
      </c>
      <c r="F681" s="11">
        <v>0</v>
      </c>
      <c r="G681" s="11">
        <v>0</v>
      </c>
      <c r="H681" s="11">
        <v>0</v>
      </c>
    </row>
    <row r="682" spans="1:8">
      <c r="C682" s="12" t="s">
        <v>1027</v>
      </c>
      <c r="D682" s="230"/>
      <c r="E682" s="11">
        <v>0</v>
      </c>
      <c r="F682" s="11">
        <v>0</v>
      </c>
      <c r="G682" s="11">
        <v>0</v>
      </c>
      <c r="H682" s="11">
        <v>0</v>
      </c>
    </row>
    <row r="683" spans="1:8">
      <c r="B683" s="12" t="s">
        <v>979</v>
      </c>
      <c r="C683" s="230"/>
      <c r="D683" s="230"/>
      <c r="E683" s="11">
        <v>0</v>
      </c>
      <c r="F683" s="11">
        <v>0</v>
      </c>
      <c r="G683" s="11">
        <v>0</v>
      </c>
      <c r="H683" s="11">
        <v>0</v>
      </c>
    </row>
    <row r="684" spans="1:8">
      <c r="B684" s="12" t="s">
        <v>1560</v>
      </c>
      <c r="C684" s="12" t="s">
        <v>491</v>
      </c>
      <c r="D684" s="12" t="s">
        <v>691</v>
      </c>
      <c r="E684" s="11">
        <v>0</v>
      </c>
      <c r="F684" s="11">
        <v>0</v>
      </c>
      <c r="G684" s="11">
        <v>0</v>
      </c>
      <c r="H684" s="11">
        <v>0</v>
      </c>
    </row>
    <row r="685" spans="1:8">
      <c r="C685" s="12" t="s">
        <v>985</v>
      </c>
      <c r="D685" s="230"/>
      <c r="E685" s="11">
        <v>0</v>
      </c>
      <c r="F685" s="11">
        <v>0</v>
      </c>
      <c r="G685" s="11">
        <v>0</v>
      </c>
      <c r="H685" s="11">
        <v>0</v>
      </c>
    </row>
    <row r="686" spans="1:8">
      <c r="B686" s="12" t="s">
        <v>1579</v>
      </c>
      <c r="C686" s="230"/>
      <c r="D686" s="230"/>
      <c r="E686" s="11">
        <v>0</v>
      </c>
      <c r="F686" s="11">
        <v>0</v>
      </c>
      <c r="G686" s="11">
        <v>0</v>
      </c>
      <c r="H686" s="11">
        <v>0</v>
      </c>
    </row>
    <row r="687" spans="1:8">
      <c r="A687" s="12" t="s">
        <v>1009</v>
      </c>
      <c r="B687" s="230"/>
      <c r="C687" s="230"/>
      <c r="D687" s="230"/>
      <c r="E687" s="11">
        <v>81094706</v>
      </c>
      <c r="F687" s="11">
        <v>171157214.24000001</v>
      </c>
      <c r="G687" s="11">
        <v>85551493</v>
      </c>
      <c r="H687" s="11">
        <v>134650142.38</v>
      </c>
    </row>
    <row r="688" spans="1:8">
      <c r="A688" s="12">
        <v>11</v>
      </c>
      <c r="B688" s="12" t="s">
        <v>1550</v>
      </c>
      <c r="C688" s="12" t="s">
        <v>440</v>
      </c>
      <c r="D688" s="12" t="s">
        <v>438</v>
      </c>
      <c r="E688" s="11">
        <v>0</v>
      </c>
      <c r="F688" s="11">
        <v>0</v>
      </c>
      <c r="G688" s="11">
        <v>0</v>
      </c>
      <c r="H688" s="11">
        <v>0</v>
      </c>
    </row>
    <row r="689" spans="4:8">
      <c r="D689" s="12" t="s">
        <v>441</v>
      </c>
      <c r="E689" s="11">
        <v>0</v>
      </c>
      <c r="F689" s="11">
        <v>0</v>
      </c>
      <c r="G689" s="11">
        <v>0</v>
      </c>
      <c r="H689" s="11">
        <v>0</v>
      </c>
    </row>
    <row r="690" spans="4:8">
      <c r="D690" s="12" t="s">
        <v>16</v>
      </c>
      <c r="E690" s="11">
        <v>0</v>
      </c>
      <c r="F690" s="11">
        <v>0</v>
      </c>
      <c r="G690" s="11">
        <v>13000000</v>
      </c>
      <c r="H690" s="11">
        <v>0</v>
      </c>
    </row>
    <row r="691" spans="4:8">
      <c r="D691" s="12" t="s">
        <v>17</v>
      </c>
      <c r="E691" s="11">
        <v>3500000</v>
      </c>
      <c r="F691" s="11">
        <v>0</v>
      </c>
      <c r="G691" s="11"/>
      <c r="H691" s="11"/>
    </row>
    <row r="692" spans="4:8">
      <c r="D692" s="12" t="s">
        <v>148</v>
      </c>
      <c r="E692" s="11">
        <v>17190</v>
      </c>
      <c r="F692" s="11">
        <v>0</v>
      </c>
      <c r="G692" s="11">
        <v>17190</v>
      </c>
      <c r="H692" s="11">
        <v>0</v>
      </c>
    </row>
    <row r="693" spans="4:8">
      <c r="D693" s="12" t="s">
        <v>798</v>
      </c>
      <c r="E693" s="11">
        <v>0</v>
      </c>
      <c r="F693" s="11">
        <v>0</v>
      </c>
      <c r="G693" s="11">
        <v>0</v>
      </c>
      <c r="H693" s="11">
        <v>0</v>
      </c>
    </row>
    <row r="694" spans="4:8">
      <c r="D694" s="12" t="s">
        <v>149</v>
      </c>
      <c r="E694" s="11">
        <v>88213</v>
      </c>
      <c r="F694" s="11">
        <v>0</v>
      </c>
      <c r="G694" s="11">
        <v>88213</v>
      </c>
      <c r="H694" s="11">
        <v>0</v>
      </c>
    </row>
    <row r="695" spans="4:8">
      <c r="D695" s="12" t="s">
        <v>797</v>
      </c>
      <c r="E695" s="11">
        <v>0</v>
      </c>
      <c r="F695" s="11">
        <v>0</v>
      </c>
      <c r="G695" s="11">
        <v>0</v>
      </c>
      <c r="H695" s="11">
        <v>0</v>
      </c>
    </row>
    <row r="696" spans="4:8">
      <c r="D696" s="12" t="s">
        <v>270</v>
      </c>
      <c r="E696" s="11">
        <v>34285</v>
      </c>
      <c r="F696" s="11">
        <v>0</v>
      </c>
      <c r="G696" s="11">
        <v>34285</v>
      </c>
      <c r="H696" s="11">
        <v>0</v>
      </c>
    </row>
    <row r="697" spans="4:8">
      <c r="D697" s="12" t="s">
        <v>267</v>
      </c>
      <c r="E697" s="11">
        <v>122153</v>
      </c>
      <c r="F697" s="11">
        <v>0</v>
      </c>
      <c r="G697" s="11">
        <v>122153</v>
      </c>
      <c r="H697" s="11">
        <v>0</v>
      </c>
    </row>
    <row r="698" spans="4:8">
      <c r="D698" s="12" t="s">
        <v>269</v>
      </c>
      <c r="E698" s="11">
        <v>139678</v>
      </c>
      <c r="F698" s="11">
        <v>0</v>
      </c>
      <c r="G698" s="11">
        <v>139678</v>
      </c>
      <c r="H698" s="11">
        <v>0</v>
      </c>
    </row>
    <row r="699" spans="4:8">
      <c r="D699" s="12" t="s">
        <v>268</v>
      </c>
      <c r="E699" s="11">
        <v>271788</v>
      </c>
      <c r="F699" s="11">
        <v>0</v>
      </c>
      <c r="G699" s="11">
        <v>271788</v>
      </c>
      <c r="H699" s="11">
        <v>0</v>
      </c>
    </row>
    <row r="700" spans="4:8">
      <c r="D700" s="12" t="s">
        <v>932</v>
      </c>
      <c r="E700" s="11">
        <v>0</v>
      </c>
      <c r="F700" s="11">
        <v>0</v>
      </c>
      <c r="G700" s="11">
        <v>0</v>
      </c>
      <c r="H700" s="11">
        <v>0</v>
      </c>
    </row>
    <row r="701" spans="4:8">
      <c r="D701" s="12" t="s">
        <v>266</v>
      </c>
      <c r="E701" s="11">
        <v>0</v>
      </c>
      <c r="F701" s="11">
        <v>0</v>
      </c>
      <c r="G701" s="11"/>
      <c r="H701" s="11"/>
    </row>
    <row r="702" spans="4:8">
      <c r="D702" s="12" t="s">
        <v>799</v>
      </c>
      <c r="E702" s="11">
        <v>0</v>
      </c>
      <c r="F702" s="11">
        <v>0</v>
      </c>
      <c r="G702" s="11">
        <v>0</v>
      </c>
      <c r="H702" s="11">
        <v>0</v>
      </c>
    </row>
    <row r="703" spans="4:8">
      <c r="D703" s="12" t="s">
        <v>359</v>
      </c>
      <c r="E703" s="11">
        <v>81429.8</v>
      </c>
      <c r="F703" s="11">
        <v>0</v>
      </c>
      <c r="G703" s="11"/>
      <c r="H703" s="11"/>
    </row>
    <row r="704" spans="4:8">
      <c r="D704" s="12" t="s">
        <v>358</v>
      </c>
      <c r="E704" s="11">
        <v>0</v>
      </c>
      <c r="F704" s="11">
        <v>0</v>
      </c>
      <c r="G704" s="11">
        <v>68778.240000000005</v>
      </c>
      <c r="H704" s="11">
        <v>0</v>
      </c>
    </row>
    <row r="705" spans="1:8">
      <c r="D705" s="12" t="s">
        <v>893</v>
      </c>
      <c r="E705" s="11">
        <v>0</v>
      </c>
      <c r="F705" s="11">
        <v>0</v>
      </c>
      <c r="G705" s="11">
        <v>0</v>
      </c>
      <c r="H705" s="11">
        <v>0</v>
      </c>
    </row>
    <row r="706" spans="1:8">
      <c r="D706" s="12" t="s">
        <v>894</v>
      </c>
      <c r="E706" s="11">
        <v>0</v>
      </c>
      <c r="F706" s="11">
        <v>0</v>
      </c>
      <c r="G706" s="11">
        <v>0</v>
      </c>
      <c r="H706" s="11">
        <v>0</v>
      </c>
    </row>
    <row r="707" spans="1:8">
      <c r="D707" s="12" t="s">
        <v>895</v>
      </c>
      <c r="E707" s="11">
        <v>0</v>
      </c>
      <c r="F707" s="11">
        <v>0</v>
      </c>
      <c r="G707" s="11">
        <v>0</v>
      </c>
      <c r="H707" s="11">
        <v>0</v>
      </c>
    </row>
    <row r="708" spans="1:8">
      <c r="D708" s="12" t="s">
        <v>890</v>
      </c>
      <c r="E708" s="11">
        <v>0</v>
      </c>
      <c r="F708" s="11">
        <v>0</v>
      </c>
      <c r="G708" s="11">
        <v>0</v>
      </c>
      <c r="H708" s="11">
        <v>0</v>
      </c>
    </row>
    <row r="709" spans="1:8">
      <c r="D709" s="12" t="s">
        <v>362</v>
      </c>
      <c r="E709" s="11">
        <v>36262</v>
      </c>
      <c r="F709" s="11">
        <v>0</v>
      </c>
      <c r="G709" s="11"/>
      <c r="H709" s="11"/>
    </row>
    <row r="710" spans="1:8">
      <c r="D710" s="12" t="s">
        <v>361</v>
      </c>
      <c r="E710" s="11">
        <v>0</v>
      </c>
      <c r="F710" s="11">
        <v>0</v>
      </c>
      <c r="G710" s="11">
        <v>12349</v>
      </c>
      <c r="H710" s="11">
        <v>0</v>
      </c>
    </row>
    <row r="711" spans="1:8">
      <c r="D711" s="12" t="s">
        <v>892</v>
      </c>
      <c r="E711" s="11">
        <v>0</v>
      </c>
      <c r="F711" s="11">
        <v>0</v>
      </c>
      <c r="G711" s="11">
        <v>0</v>
      </c>
      <c r="H711" s="11">
        <v>0</v>
      </c>
    </row>
    <row r="712" spans="1:8">
      <c r="D712" s="12" t="s">
        <v>897</v>
      </c>
      <c r="E712" s="11">
        <v>0</v>
      </c>
      <c r="F712" s="11">
        <v>0</v>
      </c>
      <c r="G712" s="11">
        <v>0</v>
      </c>
      <c r="H712" s="11">
        <v>0</v>
      </c>
    </row>
    <row r="713" spans="1:8">
      <c r="D713" s="12" t="s">
        <v>372</v>
      </c>
      <c r="E713" s="11">
        <v>616388</v>
      </c>
      <c r="F713" s="11">
        <v>0</v>
      </c>
      <c r="G713" s="11"/>
      <c r="H713" s="11"/>
    </row>
    <row r="714" spans="1:8">
      <c r="C714" s="12" t="s">
        <v>1032</v>
      </c>
      <c r="D714" s="230"/>
      <c r="E714" s="11">
        <v>4907386.8</v>
      </c>
      <c r="F714" s="11">
        <v>0</v>
      </c>
      <c r="G714" s="11">
        <v>13754434.24</v>
      </c>
      <c r="H714" s="11">
        <v>0</v>
      </c>
    </row>
    <row r="715" spans="1:8">
      <c r="B715" s="12" t="s">
        <v>1580</v>
      </c>
      <c r="C715" s="230"/>
      <c r="D715" s="230"/>
      <c r="E715" s="11">
        <v>4907386.8</v>
      </c>
      <c r="F715" s="11">
        <v>0</v>
      </c>
      <c r="G715" s="11">
        <v>13754434.24</v>
      </c>
      <c r="H715" s="11">
        <v>0</v>
      </c>
    </row>
    <row r="716" spans="1:8">
      <c r="A716" s="12" t="s">
        <v>1581</v>
      </c>
      <c r="B716" s="230"/>
      <c r="C716" s="230"/>
      <c r="D716" s="230"/>
      <c r="E716" s="11">
        <v>4907386.8</v>
      </c>
      <c r="F716" s="11">
        <v>0</v>
      </c>
      <c r="G716" s="11">
        <v>13754434.24</v>
      </c>
      <c r="H716" s="11">
        <v>0</v>
      </c>
    </row>
    <row r="717" spans="1:8">
      <c r="A717" s="12">
        <v>27</v>
      </c>
      <c r="B717" s="12" t="s">
        <v>1568</v>
      </c>
      <c r="C717" s="12" t="s">
        <v>18</v>
      </c>
      <c r="D717" s="12" t="s">
        <v>18</v>
      </c>
      <c r="E717" s="11">
        <v>125580</v>
      </c>
      <c r="F717" s="11">
        <v>0</v>
      </c>
      <c r="G717" s="11">
        <v>69186</v>
      </c>
      <c r="H717" s="11">
        <v>0</v>
      </c>
    </row>
    <row r="718" spans="1:8">
      <c r="C718" s="12" t="s">
        <v>1582</v>
      </c>
      <c r="D718" s="230"/>
      <c r="E718" s="11">
        <v>125580</v>
      </c>
      <c r="F718" s="11">
        <v>0</v>
      </c>
      <c r="G718" s="11">
        <v>69186</v>
      </c>
      <c r="H718" s="11">
        <v>0</v>
      </c>
    </row>
    <row r="719" spans="1:8">
      <c r="C719" s="12" t="s">
        <v>1569</v>
      </c>
      <c r="D719" s="12" t="s">
        <v>508</v>
      </c>
      <c r="E719" s="11">
        <v>0</v>
      </c>
      <c r="F719" s="11">
        <v>0</v>
      </c>
      <c r="G719" s="11">
        <v>313371</v>
      </c>
      <c r="H719" s="11">
        <v>0</v>
      </c>
    </row>
    <row r="720" spans="1:8">
      <c r="D720" s="12" t="s">
        <v>579</v>
      </c>
      <c r="E720" s="11">
        <v>0</v>
      </c>
      <c r="F720" s="11">
        <v>0</v>
      </c>
      <c r="G720" s="11">
        <v>1806809</v>
      </c>
      <c r="H720" s="11">
        <v>0</v>
      </c>
    </row>
    <row r="721" spans="2:8">
      <c r="D721" s="12" t="s">
        <v>580</v>
      </c>
      <c r="E721" s="11">
        <v>0</v>
      </c>
      <c r="F721" s="11">
        <v>0</v>
      </c>
      <c r="G721" s="11">
        <v>81671</v>
      </c>
      <c r="H721" s="11">
        <v>0</v>
      </c>
    </row>
    <row r="722" spans="2:8">
      <c r="C722" s="12" t="s">
        <v>1583</v>
      </c>
      <c r="D722" s="230"/>
      <c r="E722" s="11">
        <v>0</v>
      </c>
      <c r="F722" s="11">
        <v>0</v>
      </c>
      <c r="G722" s="11">
        <v>2201851</v>
      </c>
      <c r="H722" s="11">
        <v>0</v>
      </c>
    </row>
    <row r="723" spans="2:8">
      <c r="C723" s="12" t="s">
        <v>1325</v>
      </c>
      <c r="D723" s="12" t="s">
        <v>114</v>
      </c>
      <c r="E723" s="11">
        <v>1570177</v>
      </c>
      <c r="F723" s="11">
        <v>0</v>
      </c>
      <c r="G723" s="11">
        <v>2277589</v>
      </c>
      <c r="H723" s="11">
        <v>0</v>
      </c>
    </row>
    <row r="724" spans="2:8">
      <c r="C724" s="12" t="s">
        <v>1584</v>
      </c>
      <c r="D724" s="230"/>
      <c r="E724" s="11">
        <v>1570177</v>
      </c>
      <c r="F724" s="11">
        <v>0</v>
      </c>
      <c r="G724" s="11">
        <v>2277589</v>
      </c>
      <c r="H724" s="11">
        <v>0</v>
      </c>
    </row>
    <row r="725" spans="2:8">
      <c r="C725" s="12" t="s">
        <v>1324</v>
      </c>
      <c r="D725" s="12" t="s">
        <v>682</v>
      </c>
      <c r="E725" s="11">
        <v>369150</v>
      </c>
      <c r="F725" s="11">
        <v>0</v>
      </c>
      <c r="G725" s="11">
        <v>295193</v>
      </c>
      <c r="H725" s="11">
        <v>0</v>
      </c>
    </row>
    <row r="726" spans="2:8">
      <c r="D726" s="12" t="s">
        <v>683</v>
      </c>
      <c r="E726" s="11">
        <v>0</v>
      </c>
      <c r="F726" s="11">
        <v>0</v>
      </c>
      <c r="G726" s="11">
        <v>45574</v>
      </c>
      <c r="H726" s="11">
        <v>0</v>
      </c>
    </row>
    <row r="727" spans="2:8">
      <c r="C727" s="12" t="s">
        <v>1585</v>
      </c>
      <c r="D727" s="230"/>
      <c r="E727" s="11">
        <v>369150</v>
      </c>
      <c r="F727" s="11">
        <v>0</v>
      </c>
      <c r="G727" s="11">
        <v>340767</v>
      </c>
      <c r="H727" s="11">
        <v>0</v>
      </c>
    </row>
    <row r="728" spans="2:8">
      <c r="C728" s="12" t="s">
        <v>1570</v>
      </c>
      <c r="D728" s="12" t="s">
        <v>52</v>
      </c>
      <c r="E728" s="11">
        <v>154050</v>
      </c>
      <c r="F728" s="11">
        <v>0</v>
      </c>
      <c r="G728" s="11"/>
      <c r="H728" s="11"/>
    </row>
    <row r="729" spans="2:8">
      <c r="C729" s="12" t="s">
        <v>1586</v>
      </c>
      <c r="D729" s="230"/>
      <c r="E729" s="11">
        <v>154050</v>
      </c>
      <c r="F729" s="11">
        <v>0</v>
      </c>
      <c r="G729" s="11"/>
      <c r="H729" s="11"/>
    </row>
    <row r="730" spans="2:8">
      <c r="C730" s="12" t="s">
        <v>66</v>
      </c>
      <c r="D730" s="12" t="s">
        <v>66</v>
      </c>
      <c r="E730" s="11">
        <v>1397360</v>
      </c>
      <c r="F730" s="11">
        <v>0</v>
      </c>
      <c r="G730" s="11"/>
      <c r="H730" s="11"/>
    </row>
    <row r="731" spans="2:8">
      <c r="C731" s="12" t="s">
        <v>1587</v>
      </c>
      <c r="D731" s="230"/>
      <c r="E731" s="11">
        <v>1397360</v>
      </c>
      <c r="F731" s="11">
        <v>0</v>
      </c>
      <c r="G731" s="11"/>
      <c r="H731" s="11"/>
    </row>
    <row r="732" spans="2:8">
      <c r="B732" s="12" t="s">
        <v>1588</v>
      </c>
      <c r="C732" s="230"/>
      <c r="D732" s="230"/>
      <c r="E732" s="11">
        <v>3616317</v>
      </c>
      <c r="F732" s="11">
        <v>0</v>
      </c>
      <c r="G732" s="11">
        <v>4889393</v>
      </c>
      <c r="H732" s="11">
        <v>0</v>
      </c>
    </row>
    <row r="733" spans="2:8">
      <c r="B733" s="12" t="s">
        <v>1560</v>
      </c>
      <c r="C733" s="12" t="s">
        <v>35</v>
      </c>
      <c r="D733" s="12" t="s">
        <v>35</v>
      </c>
      <c r="E733" s="11">
        <v>6461</v>
      </c>
      <c r="F733" s="11">
        <v>0</v>
      </c>
      <c r="G733" s="11">
        <v>0</v>
      </c>
      <c r="H733" s="11">
        <v>0</v>
      </c>
    </row>
    <row r="734" spans="2:8">
      <c r="C734" s="12" t="s">
        <v>1058</v>
      </c>
      <c r="D734" s="230"/>
      <c r="E734" s="11">
        <v>6461</v>
      </c>
      <c r="F734" s="11">
        <v>0</v>
      </c>
      <c r="G734" s="11">
        <v>0</v>
      </c>
      <c r="H734" s="11">
        <v>0</v>
      </c>
    </row>
    <row r="735" spans="2:8">
      <c r="C735" s="12" t="s">
        <v>626</v>
      </c>
      <c r="D735" s="12" t="s">
        <v>102</v>
      </c>
      <c r="E735" s="11">
        <v>26700</v>
      </c>
      <c r="F735" s="11">
        <v>0</v>
      </c>
      <c r="G735" s="11">
        <v>56000</v>
      </c>
      <c r="H735" s="11">
        <v>0</v>
      </c>
    </row>
    <row r="736" spans="2:8">
      <c r="C736" s="12" t="s">
        <v>1059</v>
      </c>
      <c r="D736" s="230"/>
      <c r="E736" s="11">
        <v>26700</v>
      </c>
      <c r="F736" s="11">
        <v>0</v>
      </c>
      <c r="G736" s="11">
        <v>56000</v>
      </c>
      <c r="H736" s="11">
        <v>0</v>
      </c>
    </row>
    <row r="737" spans="3:8">
      <c r="C737" s="12" t="s">
        <v>1312</v>
      </c>
      <c r="D737" s="12" t="s">
        <v>29</v>
      </c>
      <c r="E737" s="11">
        <v>12424</v>
      </c>
      <c r="F737" s="11">
        <v>0</v>
      </c>
      <c r="G737" s="11">
        <v>19000</v>
      </c>
      <c r="H737" s="11">
        <v>0</v>
      </c>
    </row>
    <row r="738" spans="3:8">
      <c r="D738" s="12" t="s">
        <v>586</v>
      </c>
      <c r="E738" s="11">
        <v>72553</v>
      </c>
      <c r="F738" s="11">
        <v>0</v>
      </c>
      <c r="G738" s="11">
        <v>44221.5</v>
      </c>
      <c r="H738" s="11">
        <v>0</v>
      </c>
    </row>
    <row r="739" spans="3:8">
      <c r="D739" s="12" t="s">
        <v>76</v>
      </c>
      <c r="E739" s="11">
        <v>178418</v>
      </c>
      <c r="F739" s="11">
        <v>0</v>
      </c>
      <c r="G739" s="11">
        <v>500</v>
      </c>
      <c r="H739" s="11">
        <v>0</v>
      </c>
    </row>
    <row r="740" spans="3:8">
      <c r="D740" s="12" t="s">
        <v>121</v>
      </c>
      <c r="E740" s="11">
        <v>148357</v>
      </c>
      <c r="F740" s="11">
        <v>0</v>
      </c>
      <c r="G740" s="11">
        <v>116330</v>
      </c>
      <c r="H740" s="11">
        <v>0</v>
      </c>
    </row>
    <row r="741" spans="3:8">
      <c r="D741" s="12" t="s">
        <v>653</v>
      </c>
      <c r="E741" s="11">
        <v>0</v>
      </c>
      <c r="F741" s="11">
        <v>0</v>
      </c>
      <c r="G741" s="11">
        <v>0</v>
      </c>
      <c r="H741" s="11">
        <v>0</v>
      </c>
    </row>
    <row r="742" spans="3:8">
      <c r="D742" s="12" t="s">
        <v>135</v>
      </c>
      <c r="E742" s="11">
        <v>18000</v>
      </c>
      <c r="F742" s="11">
        <v>0</v>
      </c>
      <c r="G742" s="11">
        <v>36000</v>
      </c>
      <c r="H742" s="11">
        <v>0</v>
      </c>
    </row>
    <row r="743" spans="3:8">
      <c r="D743" s="12" t="s">
        <v>146</v>
      </c>
      <c r="E743" s="11">
        <v>345100</v>
      </c>
      <c r="F743" s="11">
        <v>0</v>
      </c>
      <c r="G743" s="11"/>
      <c r="H743" s="11"/>
    </row>
    <row r="744" spans="3:8">
      <c r="D744" s="12" t="s">
        <v>478</v>
      </c>
      <c r="E744" s="11">
        <v>0</v>
      </c>
      <c r="F744" s="11">
        <v>0</v>
      </c>
      <c r="G744" s="11">
        <v>1353054</v>
      </c>
      <c r="H744" s="11">
        <v>0</v>
      </c>
    </row>
    <row r="745" spans="3:8">
      <c r="D745" s="12" t="s">
        <v>479</v>
      </c>
      <c r="E745" s="11">
        <v>0</v>
      </c>
      <c r="F745" s="11">
        <v>0</v>
      </c>
      <c r="G745" s="11">
        <v>31846</v>
      </c>
      <c r="H745" s="11">
        <v>0</v>
      </c>
    </row>
    <row r="746" spans="3:8">
      <c r="D746" s="12" t="s">
        <v>205</v>
      </c>
      <c r="E746" s="11">
        <v>550</v>
      </c>
      <c r="F746" s="11">
        <v>0</v>
      </c>
      <c r="G746" s="11">
        <v>0</v>
      </c>
      <c r="H746" s="11">
        <v>0</v>
      </c>
    </row>
    <row r="747" spans="3:8">
      <c r="D747" s="12" t="s">
        <v>768</v>
      </c>
      <c r="E747" s="11">
        <v>0</v>
      </c>
      <c r="F747" s="11">
        <v>0</v>
      </c>
      <c r="G747" s="11">
        <v>0</v>
      </c>
      <c r="H747" s="11">
        <v>0</v>
      </c>
    </row>
    <row r="748" spans="3:8">
      <c r="D748" s="12" t="s">
        <v>776</v>
      </c>
      <c r="E748" s="11">
        <v>111499</v>
      </c>
      <c r="F748" s="11">
        <v>0</v>
      </c>
      <c r="G748" s="11">
        <v>98736</v>
      </c>
      <c r="H748" s="11">
        <v>0</v>
      </c>
    </row>
    <row r="749" spans="3:8">
      <c r="D749" s="12" t="s">
        <v>286</v>
      </c>
      <c r="E749" s="11">
        <v>230514</v>
      </c>
      <c r="F749" s="11">
        <v>0</v>
      </c>
      <c r="G749" s="11">
        <v>281990</v>
      </c>
      <c r="H749" s="11">
        <v>0</v>
      </c>
    </row>
    <row r="750" spans="3:8">
      <c r="D750" s="12" t="s">
        <v>294</v>
      </c>
      <c r="E750" s="11">
        <v>0</v>
      </c>
      <c r="F750" s="11">
        <v>902.81</v>
      </c>
      <c r="G750" s="11">
        <v>0</v>
      </c>
      <c r="H750" s="11">
        <v>353.12</v>
      </c>
    </row>
    <row r="751" spans="3:8">
      <c r="D751" s="12" t="s">
        <v>329</v>
      </c>
      <c r="E751" s="11">
        <v>0</v>
      </c>
      <c r="F751" s="11">
        <v>0</v>
      </c>
      <c r="G751" s="11"/>
      <c r="H751" s="11"/>
    </row>
    <row r="752" spans="3:8">
      <c r="D752" s="12" t="s">
        <v>868</v>
      </c>
      <c r="E752" s="11">
        <v>0</v>
      </c>
      <c r="F752" s="11">
        <v>0</v>
      </c>
      <c r="G752" s="11">
        <v>0</v>
      </c>
      <c r="H752" s="11">
        <v>0</v>
      </c>
    </row>
    <row r="753" spans="3:8">
      <c r="D753" s="12" t="s">
        <v>480</v>
      </c>
      <c r="E753" s="11">
        <v>0</v>
      </c>
      <c r="F753" s="11">
        <v>0</v>
      </c>
      <c r="G753" s="11">
        <v>0</v>
      </c>
      <c r="H753" s="11">
        <v>0</v>
      </c>
    </row>
    <row r="754" spans="3:8">
      <c r="D754" s="12" t="s">
        <v>338</v>
      </c>
      <c r="E754" s="11">
        <v>10980</v>
      </c>
      <c r="F754" s="11">
        <v>0</v>
      </c>
      <c r="G754" s="11">
        <v>55555</v>
      </c>
      <c r="H754" s="11">
        <v>0</v>
      </c>
    </row>
    <row r="755" spans="3:8">
      <c r="D755" s="12" t="s">
        <v>886</v>
      </c>
      <c r="E755" s="11">
        <v>0</v>
      </c>
      <c r="F755" s="11">
        <v>28255.9</v>
      </c>
      <c r="G755" s="11">
        <v>16101.89</v>
      </c>
      <c r="H755" s="11">
        <v>0</v>
      </c>
    </row>
    <row r="756" spans="3:8">
      <c r="D756" s="12" t="s">
        <v>955</v>
      </c>
      <c r="E756" s="11">
        <v>24987</v>
      </c>
      <c r="F756" s="11">
        <v>0</v>
      </c>
      <c r="G756" s="11">
        <v>7547</v>
      </c>
      <c r="H756" s="11">
        <v>0</v>
      </c>
    </row>
    <row r="757" spans="3:8">
      <c r="C757" s="12" t="s">
        <v>1589</v>
      </c>
      <c r="D757" s="230"/>
      <c r="E757" s="11">
        <v>1153382</v>
      </c>
      <c r="F757" s="11">
        <v>29158.710000000003</v>
      </c>
      <c r="G757" s="11">
        <v>2060881.39</v>
      </c>
      <c r="H757" s="11">
        <v>353.12</v>
      </c>
    </row>
    <row r="758" spans="3:8">
      <c r="C758" s="12" t="s">
        <v>1562</v>
      </c>
      <c r="D758" s="12" t="s">
        <v>30</v>
      </c>
      <c r="E758" s="11">
        <v>55000</v>
      </c>
      <c r="F758" s="11">
        <v>0</v>
      </c>
      <c r="G758" s="11">
        <v>9000</v>
      </c>
      <c r="H758" s="11">
        <v>0</v>
      </c>
    </row>
    <row r="759" spans="3:8">
      <c r="D759" s="12" t="s">
        <v>252</v>
      </c>
      <c r="E759" s="11">
        <v>48000</v>
      </c>
      <c r="F759" s="11">
        <v>0</v>
      </c>
      <c r="G759" s="11">
        <v>0</v>
      </c>
      <c r="H759" s="11">
        <v>0</v>
      </c>
    </row>
    <row r="760" spans="3:8">
      <c r="C760" s="12" t="s">
        <v>1590</v>
      </c>
      <c r="D760" s="230"/>
      <c r="E760" s="11">
        <v>103000</v>
      </c>
      <c r="F760" s="11">
        <v>0</v>
      </c>
      <c r="G760" s="11">
        <v>9000</v>
      </c>
      <c r="H760" s="11">
        <v>0</v>
      </c>
    </row>
    <row r="761" spans="3:8">
      <c r="C761" s="12" t="s">
        <v>1308</v>
      </c>
      <c r="D761" s="12" t="s">
        <v>33</v>
      </c>
      <c r="E761" s="11">
        <v>762</v>
      </c>
      <c r="F761" s="11">
        <v>0</v>
      </c>
      <c r="G761" s="11">
        <v>0</v>
      </c>
      <c r="H761" s="11">
        <v>0</v>
      </c>
    </row>
    <row r="762" spans="3:8">
      <c r="D762" s="12" t="s">
        <v>494</v>
      </c>
      <c r="E762" s="11">
        <v>0</v>
      </c>
      <c r="F762" s="11">
        <v>0</v>
      </c>
      <c r="G762" s="11">
        <v>0</v>
      </c>
      <c r="H762" s="11">
        <v>0</v>
      </c>
    </row>
    <row r="763" spans="3:8">
      <c r="D763" s="12" t="s">
        <v>495</v>
      </c>
      <c r="E763" s="11">
        <v>0</v>
      </c>
      <c r="F763" s="11">
        <v>0</v>
      </c>
      <c r="G763" s="11">
        <v>0</v>
      </c>
      <c r="H763" s="11">
        <v>0</v>
      </c>
    </row>
    <row r="764" spans="3:8">
      <c r="D764" s="12" t="s">
        <v>493</v>
      </c>
      <c r="E764" s="11">
        <v>0</v>
      </c>
      <c r="F764" s="11">
        <v>0</v>
      </c>
      <c r="G764" s="11">
        <v>4000</v>
      </c>
      <c r="H764" s="11">
        <v>0</v>
      </c>
    </row>
    <row r="765" spans="3:8">
      <c r="C765" s="12" t="s">
        <v>1591</v>
      </c>
      <c r="D765" s="230"/>
      <c r="E765" s="11">
        <v>762</v>
      </c>
      <c r="F765" s="11">
        <v>0</v>
      </c>
      <c r="G765" s="11">
        <v>4000</v>
      </c>
      <c r="H765" s="11">
        <v>0</v>
      </c>
    </row>
    <row r="766" spans="3:8">
      <c r="C766" s="12" t="s">
        <v>39</v>
      </c>
      <c r="D766" s="12" t="s">
        <v>39</v>
      </c>
      <c r="E766" s="11">
        <v>458584.8</v>
      </c>
      <c r="F766" s="11">
        <v>0</v>
      </c>
      <c r="G766" s="11">
        <v>134911.04000000001</v>
      </c>
      <c r="H766" s="11">
        <v>0</v>
      </c>
    </row>
    <row r="767" spans="3:8">
      <c r="D767" s="12" t="s">
        <v>40</v>
      </c>
      <c r="E767" s="11">
        <v>56000</v>
      </c>
      <c r="F767" s="11">
        <v>0</v>
      </c>
      <c r="G767" s="11">
        <v>91200</v>
      </c>
      <c r="H767" s="11">
        <v>0</v>
      </c>
    </row>
    <row r="768" spans="3:8">
      <c r="C768" s="12" t="s">
        <v>1592</v>
      </c>
      <c r="D768" s="230"/>
      <c r="E768" s="11">
        <v>514584.8</v>
      </c>
      <c r="F768" s="11">
        <v>0</v>
      </c>
      <c r="G768" s="11">
        <v>226111.04</v>
      </c>
      <c r="H768" s="11">
        <v>0</v>
      </c>
    </row>
    <row r="769" spans="3:8">
      <c r="C769" s="12" t="s">
        <v>588</v>
      </c>
      <c r="D769" s="12" t="s">
        <v>77</v>
      </c>
      <c r="E769" s="11">
        <v>956688</v>
      </c>
      <c r="F769" s="11">
        <v>0</v>
      </c>
      <c r="G769" s="11">
        <v>909877</v>
      </c>
      <c r="H769" s="11">
        <v>0</v>
      </c>
    </row>
    <row r="770" spans="3:8">
      <c r="D770" s="12" t="s">
        <v>78</v>
      </c>
      <c r="E770" s="11">
        <v>351972</v>
      </c>
      <c r="F770" s="11">
        <v>0</v>
      </c>
      <c r="G770" s="11"/>
      <c r="H770" s="11"/>
    </row>
    <row r="771" spans="3:8">
      <c r="C771" s="12" t="s">
        <v>1593</v>
      </c>
      <c r="D771" s="230"/>
      <c r="E771" s="11">
        <v>1308660</v>
      </c>
      <c r="F771" s="11">
        <v>0</v>
      </c>
      <c r="G771" s="11">
        <v>909877</v>
      </c>
      <c r="H771" s="11">
        <v>0</v>
      </c>
    </row>
    <row r="772" spans="3:8">
      <c r="C772" s="12" t="s">
        <v>1315</v>
      </c>
      <c r="D772" s="12" t="s">
        <v>520</v>
      </c>
      <c r="E772" s="11">
        <v>3293</v>
      </c>
      <c r="F772" s="11">
        <v>0</v>
      </c>
      <c r="G772" s="11">
        <v>2575</v>
      </c>
      <c r="H772" s="11">
        <v>0</v>
      </c>
    </row>
    <row r="773" spans="3:8">
      <c r="D773" s="12" t="s">
        <v>756</v>
      </c>
      <c r="E773" s="11">
        <v>136800</v>
      </c>
      <c r="F773" s="11">
        <v>0</v>
      </c>
      <c r="G773" s="11">
        <v>104715</v>
      </c>
      <c r="H773" s="11">
        <v>0</v>
      </c>
    </row>
    <row r="774" spans="3:8">
      <c r="D774" s="12" t="s">
        <v>757</v>
      </c>
      <c r="E774" s="11">
        <v>90200</v>
      </c>
      <c r="F774" s="11">
        <v>0</v>
      </c>
      <c r="G774" s="11">
        <v>88900</v>
      </c>
      <c r="H774" s="11">
        <v>0</v>
      </c>
    </row>
    <row r="775" spans="3:8">
      <c r="D775" s="12" t="s">
        <v>759</v>
      </c>
      <c r="E775" s="11">
        <v>59557.440000000002</v>
      </c>
      <c r="F775" s="11">
        <v>0</v>
      </c>
      <c r="G775" s="11">
        <v>59486</v>
      </c>
      <c r="H775" s="11">
        <v>0</v>
      </c>
    </row>
    <row r="776" spans="3:8">
      <c r="D776" s="12" t="s">
        <v>761</v>
      </c>
      <c r="E776" s="11">
        <v>54503</v>
      </c>
      <c r="F776" s="11">
        <v>0</v>
      </c>
      <c r="G776" s="11">
        <v>42660</v>
      </c>
      <c r="H776" s="11">
        <v>0</v>
      </c>
    </row>
    <row r="777" spans="3:8">
      <c r="C777" s="12" t="s">
        <v>1594</v>
      </c>
      <c r="D777" s="230"/>
      <c r="E777" s="11">
        <v>344353.44</v>
      </c>
      <c r="F777" s="11">
        <v>0</v>
      </c>
      <c r="G777" s="11">
        <v>298336</v>
      </c>
      <c r="H777" s="11">
        <v>0</v>
      </c>
    </row>
    <row r="778" spans="3:8">
      <c r="C778" s="12" t="s">
        <v>279</v>
      </c>
      <c r="D778" s="12" t="s">
        <v>526</v>
      </c>
      <c r="E778" s="11">
        <v>0</v>
      </c>
      <c r="F778" s="11">
        <v>0</v>
      </c>
      <c r="G778" s="11">
        <v>0</v>
      </c>
      <c r="H778" s="11">
        <v>0</v>
      </c>
    </row>
    <row r="779" spans="3:8">
      <c r="D779" s="12" t="s">
        <v>588</v>
      </c>
      <c r="E779" s="11">
        <v>0</v>
      </c>
      <c r="F779" s="11">
        <v>0</v>
      </c>
      <c r="G779" s="11">
        <v>0</v>
      </c>
      <c r="H779" s="11">
        <v>0</v>
      </c>
    </row>
    <row r="780" spans="3:8">
      <c r="D780" s="12" t="s">
        <v>591</v>
      </c>
      <c r="E780" s="11">
        <v>0</v>
      </c>
      <c r="F780" s="11">
        <v>0</v>
      </c>
      <c r="G780" s="11">
        <v>0</v>
      </c>
      <c r="H780" s="11">
        <v>0</v>
      </c>
    </row>
    <row r="781" spans="3:8">
      <c r="D781" s="12" t="s">
        <v>107</v>
      </c>
      <c r="E781" s="11">
        <v>896</v>
      </c>
      <c r="F781" s="11">
        <v>0</v>
      </c>
      <c r="G781" s="11"/>
      <c r="H781" s="11"/>
    </row>
    <row r="782" spans="3:8">
      <c r="D782" s="12" t="s">
        <v>633</v>
      </c>
      <c r="E782" s="11">
        <v>0</v>
      </c>
      <c r="F782" s="11">
        <v>0</v>
      </c>
      <c r="G782" s="11">
        <v>0</v>
      </c>
      <c r="H782" s="11">
        <v>0</v>
      </c>
    </row>
    <row r="783" spans="3:8">
      <c r="D783" s="12" t="s">
        <v>112</v>
      </c>
      <c r="E783" s="11">
        <v>18000</v>
      </c>
      <c r="F783" s="11">
        <v>0</v>
      </c>
      <c r="G783" s="11">
        <v>15900</v>
      </c>
      <c r="H783" s="11">
        <v>0</v>
      </c>
    </row>
    <row r="784" spans="3:8">
      <c r="D784" s="12" t="s">
        <v>635</v>
      </c>
      <c r="E784" s="11">
        <v>0</v>
      </c>
      <c r="F784" s="11">
        <v>0</v>
      </c>
      <c r="G784" s="11">
        <v>0</v>
      </c>
      <c r="H784" s="11">
        <v>0</v>
      </c>
    </row>
    <row r="785" spans="4:8">
      <c r="D785" s="12" t="s">
        <v>636</v>
      </c>
      <c r="E785" s="11">
        <v>50000</v>
      </c>
      <c r="F785" s="11">
        <v>0</v>
      </c>
      <c r="G785" s="11">
        <v>50000</v>
      </c>
      <c r="H785" s="11">
        <v>0</v>
      </c>
    </row>
    <row r="786" spans="4:8">
      <c r="D786" s="12" t="s">
        <v>696</v>
      </c>
      <c r="E786" s="11">
        <v>0</v>
      </c>
      <c r="F786" s="11">
        <v>0</v>
      </c>
      <c r="G786" s="11">
        <v>76133</v>
      </c>
      <c r="H786" s="11">
        <v>0</v>
      </c>
    </row>
    <row r="787" spans="4:8">
      <c r="D787" s="12" t="s">
        <v>690</v>
      </c>
      <c r="E787" s="11">
        <v>0</v>
      </c>
      <c r="F787" s="11">
        <v>0</v>
      </c>
      <c r="G787" s="11">
        <v>0</v>
      </c>
      <c r="H787" s="11">
        <v>0</v>
      </c>
    </row>
    <row r="788" spans="4:8">
      <c r="D788" s="12" t="s">
        <v>161</v>
      </c>
      <c r="E788" s="11">
        <v>28228</v>
      </c>
      <c r="F788" s="11">
        <v>0</v>
      </c>
      <c r="G788" s="11">
        <v>7</v>
      </c>
      <c r="H788" s="11">
        <v>0</v>
      </c>
    </row>
    <row r="789" spans="4:8">
      <c r="D789" s="12" t="s">
        <v>162</v>
      </c>
      <c r="E789" s="11">
        <v>14597</v>
      </c>
      <c r="F789" s="11">
        <v>0</v>
      </c>
      <c r="G789" s="11">
        <v>10150</v>
      </c>
      <c r="H789" s="11">
        <v>0</v>
      </c>
    </row>
    <row r="790" spans="4:8">
      <c r="D790" s="12" t="s">
        <v>164</v>
      </c>
      <c r="E790" s="11">
        <v>11403</v>
      </c>
      <c r="F790" s="11">
        <v>0</v>
      </c>
      <c r="G790" s="11">
        <v>468</v>
      </c>
      <c r="H790" s="11">
        <v>0</v>
      </c>
    </row>
    <row r="791" spans="4:8">
      <c r="D791" s="12" t="s">
        <v>165</v>
      </c>
      <c r="E791" s="11">
        <v>154003</v>
      </c>
      <c r="F791" s="11">
        <v>0</v>
      </c>
      <c r="G791" s="11">
        <v>19982</v>
      </c>
      <c r="H791" s="11">
        <v>0</v>
      </c>
    </row>
    <row r="792" spans="4:8">
      <c r="D792" s="12" t="s">
        <v>527</v>
      </c>
      <c r="E792" s="11">
        <v>0</v>
      </c>
      <c r="F792" s="11">
        <v>0</v>
      </c>
      <c r="G792" s="11">
        <v>0</v>
      </c>
      <c r="H792" s="11">
        <v>0</v>
      </c>
    </row>
    <row r="793" spans="4:8">
      <c r="D793" s="12" t="s">
        <v>166</v>
      </c>
      <c r="E793" s="11">
        <v>600</v>
      </c>
      <c r="F793" s="11">
        <v>0</v>
      </c>
      <c r="G793" s="11"/>
      <c r="H793" s="11"/>
    </row>
    <row r="794" spans="4:8">
      <c r="D794" s="12" t="s">
        <v>167</v>
      </c>
      <c r="E794" s="11">
        <v>2716</v>
      </c>
      <c r="F794" s="11">
        <v>0</v>
      </c>
      <c r="G794" s="11">
        <v>0</v>
      </c>
      <c r="H794" s="11">
        <v>0</v>
      </c>
    </row>
    <row r="795" spans="4:8">
      <c r="D795" s="12" t="s">
        <v>697</v>
      </c>
      <c r="E795" s="11">
        <v>0</v>
      </c>
      <c r="F795" s="11">
        <v>0</v>
      </c>
      <c r="G795" s="11">
        <v>0</v>
      </c>
      <c r="H795" s="11">
        <v>0</v>
      </c>
    </row>
    <row r="796" spans="4:8">
      <c r="D796" s="12" t="s">
        <v>698</v>
      </c>
      <c r="E796" s="11">
        <v>0</v>
      </c>
      <c r="F796" s="11">
        <v>0</v>
      </c>
      <c r="G796" s="11">
        <v>0</v>
      </c>
      <c r="H796" s="11">
        <v>0</v>
      </c>
    </row>
    <row r="797" spans="4:8">
      <c r="D797" s="12" t="s">
        <v>168</v>
      </c>
      <c r="E797" s="11">
        <v>44863</v>
      </c>
      <c r="F797" s="11">
        <v>0</v>
      </c>
      <c r="G797" s="11">
        <v>7</v>
      </c>
      <c r="H797" s="11">
        <v>0</v>
      </c>
    </row>
    <row r="798" spans="4:8">
      <c r="D798" s="12" t="s">
        <v>169</v>
      </c>
      <c r="E798" s="11">
        <v>8887</v>
      </c>
      <c r="F798" s="11">
        <v>0</v>
      </c>
      <c r="G798" s="11">
        <v>5531</v>
      </c>
      <c r="H798" s="11">
        <v>0</v>
      </c>
    </row>
    <row r="799" spans="4:8">
      <c r="D799" s="12" t="s">
        <v>699</v>
      </c>
      <c r="E799" s="11">
        <v>6791</v>
      </c>
      <c r="F799" s="11">
        <v>0</v>
      </c>
      <c r="G799" s="11">
        <v>4285</v>
      </c>
      <c r="H799" s="11">
        <v>0</v>
      </c>
    </row>
    <row r="800" spans="4:8">
      <c r="D800" s="12" t="s">
        <v>700</v>
      </c>
      <c r="E800" s="11">
        <v>0</v>
      </c>
      <c r="F800" s="11">
        <v>0</v>
      </c>
      <c r="G800" s="11">
        <v>0</v>
      </c>
      <c r="H800" s="11">
        <v>0</v>
      </c>
    </row>
    <row r="801" spans="4:8">
      <c r="D801" s="12" t="s">
        <v>701</v>
      </c>
      <c r="E801" s="11">
        <v>0</v>
      </c>
      <c r="F801" s="11">
        <v>0</v>
      </c>
      <c r="G801" s="11">
        <v>0</v>
      </c>
      <c r="H801" s="11">
        <v>0</v>
      </c>
    </row>
    <row r="802" spans="4:8">
      <c r="D802" s="12" t="s">
        <v>187</v>
      </c>
      <c r="E802" s="11">
        <v>13680</v>
      </c>
      <c r="F802" s="11">
        <v>0</v>
      </c>
      <c r="G802" s="11">
        <v>14112</v>
      </c>
      <c r="H802" s="11">
        <v>0</v>
      </c>
    </row>
    <row r="803" spans="4:8">
      <c r="D803" s="12" t="s">
        <v>190</v>
      </c>
      <c r="E803" s="11">
        <v>676</v>
      </c>
      <c r="F803" s="11">
        <v>0</v>
      </c>
      <c r="G803" s="11">
        <v>0</v>
      </c>
      <c r="H803" s="11">
        <v>0</v>
      </c>
    </row>
    <row r="804" spans="4:8">
      <c r="D804" s="12" t="s">
        <v>754</v>
      </c>
      <c r="E804" s="11">
        <v>0</v>
      </c>
      <c r="F804" s="11">
        <v>0</v>
      </c>
      <c r="G804" s="11">
        <v>0</v>
      </c>
      <c r="H804" s="11">
        <v>0</v>
      </c>
    </row>
    <row r="805" spans="4:8">
      <c r="D805" s="12" t="s">
        <v>755</v>
      </c>
      <c r="E805" s="11">
        <v>0</v>
      </c>
      <c r="F805" s="11">
        <v>0</v>
      </c>
      <c r="G805" s="11">
        <v>0</v>
      </c>
      <c r="H805" s="11">
        <v>0</v>
      </c>
    </row>
    <row r="806" spans="4:8">
      <c r="D806" s="12" t="s">
        <v>229</v>
      </c>
      <c r="E806" s="11">
        <v>0</v>
      </c>
      <c r="F806" s="11">
        <v>0</v>
      </c>
      <c r="G806" s="11"/>
      <c r="H806" s="11"/>
    </row>
    <row r="807" spans="4:8">
      <c r="D807" s="12" t="s">
        <v>236</v>
      </c>
      <c r="E807" s="11">
        <v>50</v>
      </c>
      <c r="F807" s="11">
        <v>0</v>
      </c>
      <c r="G807" s="11">
        <v>75</v>
      </c>
      <c r="H807" s="11">
        <v>0</v>
      </c>
    </row>
    <row r="808" spans="4:8">
      <c r="D808" s="12" t="s">
        <v>237</v>
      </c>
      <c r="E808" s="11">
        <v>46000</v>
      </c>
      <c r="F808" s="11">
        <v>0</v>
      </c>
      <c r="G808" s="11">
        <v>15855</v>
      </c>
      <c r="H808" s="11">
        <v>0</v>
      </c>
    </row>
    <row r="809" spans="4:8">
      <c r="D809" s="12" t="s">
        <v>774</v>
      </c>
      <c r="E809" s="11">
        <v>0</v>
      </c>
      <c r="F809" s="11">
        <v>0</v>
      </c>
      <c r="G809" s="11">
        <v>0</v>
      </c>
      <c r="H809" s="11">
        <v>0</v>
      </c>
    </row>
    <row r="810" spans="4:8">
      <c r="D810" s="12" t="s">
        <v>238</v>
      </c>
      <c r="E810" s="11">
        <v>50</v>
      </c>
      <c r="F810" s="11">
        <v>0</v>
      </c>
      <c r="G810" s="11">
        <v>75</v>
      </c>
      <c r="H810" s="11">
        <v>0</v>
      </c>
    </row>
    <row r="811" spans="4:8">
      <c r="D811" s="12" t="s">
        <v>239</v>
      </c>
      <c r="E811" s="11">
        <v>2360</v>
      </c>
      <c r="F811" s="11">
        <v>0</v>
      </c>
      <c r="G811" s="11">
        <v>0</v>
      </c>
      <c r="H811" s="11">
        <v>0</v>
      </c>
    </row>
    <row r="812" spans="4:8">
      <c r="D812" s="12" t="s">
        <v>785</v>
      </c>
      <c r="E812" s="11">
        <v>0</v>
      </c>
      <c r="F812" s="11">
        <v>0</v>
      </c>
      <c r="G812" s="11">
        <v>0</v>
      </c>
      <c r="H812" s="11">
        <v>0</v>
      </c>
    </row>
    <row r="813" spans="4:8">
      <c r="D813" s="12" t="s">
        <v>279</v>
      </c>
      <c r="E813" s="11">
        <v>241323</v>
      </c>
      <c r="F813" s="11">
        <v>0</v>
      </c>
      <c r="G813" s="11">
        <v>208079</v>
      </c>
      <c r="H813" s="11">
        <v>0</v>
      </c>
    </row>
    <row r="814" spans="4:8">
      <c r="D814" s="12" t="s">
        <v>291</v>
      </c>
      <c r="E814" s="11">
        <v>10950</v>
      </c>
      <c r="F814" s="11">
        <v>0</v>
      </c>
      <c r="G814" s="11">
        <v>11900</v>
      </c>
      <c r="H814" s="11">
        <v>0</v>
      </c>
    </row>
    <row r="815" spans="4:8">
      <c r="D815" s="12" t="s">
        <v>849</v>
      </c>
      <c r="E815" s="11">
        <v>0</v>
      </c>
      <c r="F815" s="11">
        <v>0</v>
      </c>
      <c r="G815" s="11">
        <v>0</v>
      </c>
      <c r="H815" s="11">
        <v>0</v>
      </c>
    </row>
    <row r="816" spans="4:8">
      <c r="D816" s="12" t="s">
        <v>896</v>
      </c>
      <c r="E816" s="11">
        <v>0</v>
      </c>
      <c r="F816" s="11">
        <v>0</v>
      </c>
      <c r="G816" s="11">
        <v>0</v>
      </c>
      <c r="H816" s="11">
        <v>0</v>
      </c>
    </row>
    <row r="817" spans="3:8">
      <c r="D817" s="12" t="s">
        <v>914</v>
      </c>
      <c r="E817" s="11">
        <v>0</v>
      </c>
      <c r="F817" s="11">
        <v>0</v>
      </c>
      <c r="G817" s="11">
        <v>122521</v>
      </c>
      <c r="H817" s="11">
        <v>0</v>
      </c>
    </row>
    <row r="818" spans="3:8">
      <c r="D818" s="12" t="s">
        <v>915</v>
      </c>
      <c r="E818" s="11">
        <v>0</v>
      </c>
      <c r="F818" s="11">
        <v>0</v>
      </c>
      <c r="G818" s="11">
        <v>0</v>
      </c>
      <c r="H818" s="11">
        <v>0</v>
      </c>
    </row>
    <row r="819" spans="3:8">
      <c r="D819" s="12" t="s">
        <v>917</v>
      </c>
      <c r="E819" s="11">
        <v>0</v>
      </c>
      <c r="F819" s="11">
        <v>0</v>
      </c>
      <c r="G819" s="11">
        <v>0</v>
      </c>
      <c r="H819" s="11">
        <v>0</v>
      </c>
    </row>
    <row r="820" spans="3:8">
      <c r="D820" s="12" t="s">
        <v>939</v>
      </c>
      <c r="E820" s="11">
        <v>0</v>
      </c>
      <c r="F820" s="11">
        <v>0</v>
      </c>
      <c r="G820" s="11">
        <v>0</v>
      </c>
      <c r="H820" s="11">
        <v>0</v>
      </c>
    </row>
    <row r="821" spans="3:8">
      <c r="D821" s="12" t="s">
        <v>916</v>
      </c>
      <c r="E821" s="11">
        <v>0</v>
      </c>
      <c r="F821" s="11">
        <v>0</v>
      </c>
      <c r="G821" s="11">
        <v>0</v>
      </c>
      <c r="H821" s="11">
        <v>0</v>
      </c>
    </row>
    <row r="822" spans="3:8">
      <c r="C822" s="12" t="s">
        <v>1595</v>
      </c>
      <c r="D822" s="230"/>
      <c r="E822" s="11">
        <v>656073</v>
      </c>
      <c r="F822" s="11">
        <v>0</v>
      </c>
      <c r="G822" s="11">
        <v>555080</v>
      </c>
      <c r="H822" s="11">
        <v>0</v>
      </c>
    </row>
    <row r="823" spans="3:8">
      <c r="C823" s="12" t="s">
        <v>1561</v>
      </c>
      <c r="D823" s="12" t="s">
        <v>69</v>
      </c>
      <c r="E823" s="11">
        <v>14524</v>
      </c>
      <c r="F823" s="11">
        <v>0</v>
      </c>
      <c r="G823" s="11">
        <v>7000</v>
      </c>
      <c r="H823" s="11">
        <v>0</v>
      </c>
    </row>
    <row r="824" spans="3:8">
      <c r="D824" s="12" t="s">
        <v>655</v>
      </c>
      <c r="E824" s="11">
        <v>0</v>
      </c>
      <c r="F824" s="11">
        <v>0</v>
      </c>
      <c r="G824" s="11">
        <v>0</v>
      </c>
      <c r="H824" s="11">
        <v>0</v>
      </c>
    </row>
    <row r="825" spans="3:8">
      <c r="D825" s="12" t="s">
        <v>654</v>
      </c>
      <c r="E825" s="11">
        <v>0</v>
      </c>
      <c r="F825" s="11">
        <v>0</v>
      </c>
      <c r="G825" s="11">
        <v>45000</v>
      </c>
      <c r="H825" s="11">
        <v>0</v>
      </c>
    </row>
    <row r="826" spans="3:8">
      <c r="D826" s="12" t="s">
        <v>658</v>
      </c>
      <c r="E826" s="11">
        <v>0</v>
      </c>
      <c r="F826" s="11">
        <v>0</v>
      </c>
      <c r="G826" s="11">
        <v>0</v>
      </c>
      <c r="H826" s="11">
        <v>0</v>
      </c>
    </row>
    <row r="827" spans="3:8">
      <c r="D827" s="12" t="s">
        <v>656</v>
      </c>
      <c r="E827" s="11">
        <v>0</v>
      </c>
      <c r="F827" s="11">
        <v>0</v>
      </c>
      <c r="G827" s="11">
        <v>0</v>
      </c>
      <c r="H827" s="11">
        <v>0</v>
      </c>
    </row>
    <row r="828" spans="3:8">
      <c r="D828" s="12" t="s">
        <v>657</v>
      </c>
      <c r="E828" s="11">
        <v>0</v>
      </c>
      <c r="F828" s="11">
        <v>0</v>
      </c>
      <c r="G828" s="11">
        <v>0</v>
      </c>
      <c r="H828" s="11">
        <v>0</v>
      </c>
    </row>
    <row r="829" spans="3:8">
      <c r="D829" s="12" t="s">
        <v>193</v>
      </c>
      <c r="E829" s="11">
        <v>470250</v>
      </c>
      <c r="F829" s="11">
        <v>0</v>
      </c>
      <c r="G829" s="11">
        <v>243920</v>
      </c>
      <c r="H829" s="11">
        <v>0</v>
      </c>
    </row>
    <row r="830" spans="3:8">
      <c r="D830" s="12" t="s">
        <v>769</v>
      </c>
      <c r="E830" s="11">
        <v>0</v>
      </c>
      <c r="F830" s="11">
        <v>0</v>
      </c>
      <c r="G830" s="11">
        <v>0</v>
      </c>
      <c r="H830" s="11">
        <v>0</v>
      </c>
    </row>
    <row r="831" spans="3:8">
      <c r="D831" s="12" t="s">
        <v>770</v>
      </c>
      <c r="E831" s="11">
        <v>0</v>
      </c>
      <c r="F831" s="11">
        <v>0</v>
      </c>
      <c r="G831" s="11">
        <v>0</v>
      </c>
      <c r="H831" s="11">
        <v>0</v>
      </c>
    </row>
    <row r="832" spans="3:8">
      <c r="D832" s="12" t="s">
        <v>253</v>
      </c>
      <c r="E832" s="11">
        <v>1238830</v>
      </c>
      <c r="F832" s="11">
        <v>0</v>
      </c>
      <c r="G832" s="11">
        <v>974500</v>
      </c>
      <c r="H832" s="11">
        <v>0</v>
      </c>
    </row>
    <row r="833" spans="3:8">
      <c r="D833" s="12" t="s">
        <v>343</v>
      </c>
      <c r="E833" s="11">
        <v>14890</v>
      </c>
      <c r="F833" s="11">
        <v>0</v>
      </c>
      <c r="G833" s="11"/>
      <c r="H833" s="11"/>
    </row>
    <row r="834" spans="3:8">
      <c r="D834" s="12" t="s">
        <v>918</v>
      </c>
      <c r="E834" s="11">
        <v>0</v>
      </c>
      <c r="F834" s="11">
        <v>0</v>
      </c>
      <c r="G834" s="11">
        <v>0</v>
      </c>
      <c r="H834" s="11">
        <v>0</v>
      </c>
    </row>
    <row r="835" spans="3:8">
      <c r="D835" s="12" t="s">
        <v>1826</v>
      </c>
      <c r="E835" s="11">
        <v>30000</v>
      </c>
      <c r="F835" s="11">
        <v>0</v>
      </c>
      <c r="G835" s="11"/>
      <c r="H835" s="11"/>
    </row>
    <row r="836" spans="3:8">
      <c r="C836" s="12" t="s">
        <v>1596</v>
      </c>
      <c r="D836" s="230"/>
      <c r="E836" s="11">
        <v>1768494</v>
      </c>
      <c r="F836" s="11">
        <v>0</v>
      </c>
      <c r="G836" s="11">
        <v>1270420</v>
      </c>
      <c r="H836" s="11">
        <v>0</v>
      </c>
    </row>
    <row r="837" spans="3:8">
      <c r="C837" s="12" t="s">
        <v>1566</v>
      </c>
      <c r="D837" s="12" t="s">
        <v>584</v>
      </c>
      <c r="E837" s="11">
        <v>29522</v>
      </c>
      <c r="F837" s="11">
        <v>0</v>
      </c>
      <c r="G837" s="11">
        <v>30655</v>
      </c>
      <c r="H837" s="11">
        <v>0</v>
      </c>
    </row>
    <row r="838" spans="3:8">
      <c r="D838" s="12" t="s">
        <v>585</v>
      </c>
      <c r="E838" s="11">
        <v>21062</v>
      </c>
      <c r="F838" s="11">
        <v>0</v>
      </c>
      <c r="G838" s="11">
        <v>25835</v>
      </c>
      <c r="H838" s="11">
        <v>0</v>
      </c>
    </row>
    <row r="839" spans="3:8">
      <c r="D839" s="12" t="s">
        <v>377</v>
      </c>
      <c r="E839" s="11">
        <v>282444</v>
      </c>
      <c r="F839" s="11">
        <v>0</v>
      </c>
      <c r="G839" s="11">
        <v>116491</v>
      </c>
      <c r="H839" s="11">
        <v>0</v>
      </c>
    </row>
    <row r="840" spans="3:8">
      <c r="C840" s="12" t="s">
        <v>1597</v>
      </c>
      <c r="D840" s="230"/>
      <c r="E840" s="11">
        <v>333028</v>
      </c>
      <c r="F840" s="11">
        <v>0</v>
      </c>
      <c r="G840" s="11">
        <v>172981</v>
      </c>
      <c r="H840" s="11">
        <v>0</v>
      </c>
    </row>
    <row r="841" spans="3:8">
      <c r="C841" s="12" t="s">
        <v>1565</v>
      </c>
      <c r="D841" s="12" t="s">
        <v>140</v>
      </c>
      <c r="E841" s="11">
        <v>48000</v>
      </c>
      <c r="F841" s="11">
        <v>0</v>
      </c>
      <c r="G841" s="11">
        <v>8000</v>
      </c>
      <c r="H841" s="11">
        <v>0</v>
      </c>
    </row>
    <row r="842" spans="3:8">
      <c r="D842" s="12" t="s">
        <v>760</v>
      </c>
      <c r="E842" s="11">
        <v>420000</v>
      </c>
      <c r="F842" s="11">
        <v>0</v>
      </c>
      <c r="G842" s="11">
        <v>312000</v>
      </c>
      <c r="H842" s="11">
        <v>0</v>
      </c>
    </row>
    <row r="843" spans="3:8">
      <c r="C843" s="12" t="s">
        <v>1598</v>
      </c>
      <c r="D843" s="230"/>
      <c r="E843" s="11">
        <v>468000</v>
      </c>
      <c r="F843" s="11">
        <v>0</v>
      </c>
      <c r="G843" s="11">
        <v>320000</v>
      </c>
      <c r="H843" s="11">
        <v>0</v>
      </c>
    </row>
    <row r="844" spans="3:8">
      <c r="C844" s="12" t="s">
        <v>1311</v>
      </c>
      <c r="D844" s="12" t="s">
        <v>684</v>
      </c>
      <c r="E844" s="11">
        <v>1140533</v>
      </c>
      <c r="F844" s="11">
        <v>0</v>
      </c>
      <c r="G844" s="11">
        <v>907184</v>
      </c>
      <c r="H844" s="11">
        <v>0</v>
      </c>
    </row>
    <row r="845" spans="3:8">
      <c r="C845" s="12" t="s">
        <v>1599</v>
      </c>
      <c r="D845" s="230"/>
      <c r="E845" s="11">
        <v>1140533</v>
      </c>
      <c r="F845" s="11">
        <v>0</v>
      </c>
      <c r="G845" s="11">
        <v>907184</v>
      </c>
      <c r="H845" s="11">
        <v>0</v>
      </c>
    </row>
    <row r="846" spans="3:8">
      <c r="C846" s="12" t="s">
        <v>1571</v>
      </c>
      <c r="D846" s="12" t="s">
        <v>689</v>
      </c>
      <c r="E846" s="11">
        <v>0</v>
      </c>
      <c r="F846" s="11">
        <v>0</v>
      </c>
      <c r="G846" s="11">
        <v>1699939</v>
      </c>
      <c r="H846" s="11">
        <v>0</v>
      </c>
    </row>
    <row r="847" spans="3:8">
      <c r="C847" s="12" t="s">
        <v>1600</v>
      </c>
      <c r="D847" s="230"/>
      <c r="E847" s="11">
        <v>0</v>
      </c>
      <c r="F847" s="11">
        <v>0</v>
      </c>
      <c r="G847" s="11">
        <v>1699939</v>
      </c>
      <c r="H847" s="11">
        <v>0</v>
      </c>
    </row>
    <row r="848" spans="3:8">
      <c r="C848" s="12" t="s">
        <v>1307</v>
      </c>
      <c r="D848" s="12" t="s">
        <v>175</v>
      </c>
      <c r="E848" s="11">
        <v>200000</v>
      </c>
      <c r="F848" s="11">
        <v>0</v>
      </c>
      <c r="G848" s="11">
        <v>180000</v>
      </c>
      <c r="H848" s="11">
        <v>0</v>
      </c>
    </row>
    <row r="849" spans="2:8">
      <c r="C849" s="12" t="s">
        <v>1601</v>
      </c>
      <c r="D849" s="230"/>
      <c r="E849" s="11">
        <v>200000</v>
      </c>
      <c r="F849" s="11">
        <v>0</v>
      </c>
      <c r="G849" s="11">
        <v>180000</v>
      </c>
      <c r="H849" s="11">
        <v>0</v>
      </c>
    </row>
    <row r="850" spans="2:8">
      <c r="C850" s="12" t="s">
        <v>1563</v>
      </c>
      <c r="D850" s="12" t="s">
        <v>766</v>
      </c>
      <c r="E850" s="11">
        <v>0</v>
      </c>
      <c r="F850" s="11">
        <v>0</v>
      </c>
      <c r="G850" s="11">
        <v>0</v>
      </c>
      <c r="H850" s="11">
        <v>0</v>
      </c>
    </row>
    <row r="851" spans="2:8">
      <c r="D851" s="12" t="s">
        <v>767</v>
      </c>
      <c r="E851" s="11">
        <v>0</v>
      </c>
      <c r="F851" s="11">
        <v>0</v>
      </c>
      <c r="G851" s="11">
        <v>0</v>
      </c>
      <c r="H851" s="11">
        <v>0</v>
      </c>
    </row>
    <row r="852" spans="2:8">
      <c r="D852" s="12" t="s">
        <v>287</v>
      </c>
      <c r="E852" s="11">
        <v>501594.49</v>
      </c>
      <c r="F852" s="11">
        <v>0</v>
      </c>
      <c r="G852" s="11">
        <v>806397.4</v>
      </c>
      <c r="H852" s="11">
        <v>0</v>
      </c>
    </row>
    <row r="853" spans="2:8">
      <c r="C853" s="12" t="s">
        <v>1602</v>
      </c>
      <c r="D853" s="230"/>
      <c r="E853" s="11">
        <v>501594.49</v>
      </c>
      <c r="F853" s="11">
        <v>0</v>
      </c>
      <c r="G853" s="11">
        <v>806397.4</v>
      </c>
      <c r="H853" s="11">
        <v>0</v>
      </c>
    </row>
    <row r="854" spans="2:8">
      <c r="C854" s="12" t="s">
        <v>1316</v>
      </c>
      <c r="D854" s="12" t="s">
        <v>879</v>
      </c>
      <c r="E854" s="11">
        <v>183140.58</v>
      </c>
      <c r="F854" s="11">
        <v>0</v>
      </c>
      <c r="G854" s="11">
        <v>301037.90000000002</v>
      </c>
      <c r="H854" s="11">
        <v>0</v>
      </c>
    </row>
    <row r="855" spans="2:8">
      <c r="C855" s="12" t="s">
        <v>1603</v>
      </c>
      <c r="D855" s="230"/>
      <c r="E855" s="11">
        <v>183140.58</v>
      </c>
      <c r="F855" s="11">
        <v>0</v>
      </c>
      <c r="G855" s="11">
        <v>301037.90000000002</v>
      </c>
      <c r="H855" s="11">
        <v>0</v>
      </c>
    </row>
    <row r="856" spans="2:8">
      <c r="C856" s="12" t="s">
        <v>1306</v>
      </c>
      <c r="D856" s="12" t="s">
        <v>347</v>
      </c>
      <c r="E856" s="11">
        <v>275000</v>
      </c>
      <c r="F856" s="11">
        <v>0</v>
      </c>
      <c r="G856" s="11">
        <v>275000</v>
      </c>
      <c r="H856" s="11">
        <v>0</v>
      </c>
    </row>
    <row r="857" spans="2:8">
      <c r="C857" s="12" t="s">
        <v>1604</v>
      </c>
      <c r="D857" s="230"/>
      <c r="E857" s="11">
        <v>275000</v>
      </c>
      <c r="F857" s="11">
        <v>0</v>
      </c>
      <c r="G857" s="11">
        <v>275000</v>
      </c>
      <c r="H857" s="11">
        <v>0</v>
      </c>
    </row>
    <row r="858" spans="2:8">
      <c r="C858" s="12" t="s">
        <v>1567</v>
      </c>
      <c r="D858" s="12" t="s">
        <v>903</v>
      </c>
      <c r="E858" s="11">
        <v>70996</v>
      </c>
      <c r="F858" s="11">
        <v>0</v>
      </c>
      <c r="G858" s="11">
        <v>65764</v>
      </c>
      <c r="H858" s="11">
        <v>0</v>
      </c>
    </row>
    <row r="859" spans="2:8">
      <c r="C859" s="12" t="s">
        <v>1605</v>
      </c>
      <c r="D859" s="230"/>
      <c r="E859" s="11">
        <v>70996</v>
      </c>
      <c r="F859" s="11">
        <v>0</v>
      </c>
      <c r="G859" s="11">
        <v>65764</v>
      </c>
      <c r="H859" s="11">
        <v>0</v>
      </c>
    </row>
    <row r="860" spans="2:8">
      <c r="C860" s="12" t="s">
        <v>1564</v>
      </c>
      <c r="D860" s="12" t="s">
        <v>944</v>
      </c>
      <c r="E860" s="11">
        <v>677742</v>
      </c>
      <c r="F860" s="11">
        <v>0</v>
      </c>
      <c r="G860" s="11">
        <v>521794</v>
      </c>
      <c r="H860" s="11">
        <v>0</v>
      </c>
    </row>
    <row r="861" spans="2:8">
      <c r="D861" s="12" t="s">
        <v>386</v>
      </c>
      <c r="E861" s="11">
        <v>295158.12</v>
      </c>
      <c r="F861" s="11">
        <v>0</v>
      </c>
      <c r="G861" s="11">
        <v>271912.74</v>
      </c>
      <c r="H861" s="11">
        <v>0</v>
      </c>
    </row>
    <row r="862" spans="2:8">
      <c r="C862" s="12" t="s">
        <v>1606</v>
      </c>
      <c r="D862" s="230"/>
      <c r="E862" s="11">
        <v>972900.12</v>
      </c>
      <c r="F862" s="11">
        <v>0</v>
      </c>
      <c r="G862" s="11">
        <v>793706.74</v>
      </c>
      <c r="H862" s="11">
        <v>0</v>
      </c>
    </row>
    <row r="863" spans="2:8">
      <c r="B863" s="12" t="s">
        <v>1579</v>
      </c>
      <c r="C863" s="230"/>
      <c r="D863" s="230"/>
      <c r="E863" s="11">
        <v>10027662.43</v>
      </c>
      <c r="F863" s="11">
        <v>29158.710000000003</v>
      </c>
      <c r="G863" s="11">
        <v>10911715.470000001</v>
      </c>
      <c r="H863" s="11">
        <v>353.12</v>
      </c>
    </row>
    <row r="864" spans="2:8">
      <c r="B864" s="12" t="s">
        <v>1555</v>
      </c>
      <c r="C864" s="12" t="s">
        <v>1294</v>
      </c>
      <c r="D864" s="12" t="s">
        <v>44</v>
      </c>
      <c r="E864" s="11">
        <v>3807870</v>
      </c>
      <c r="F864" s="11">
        <v>0</v>
      </c>
      <c r="G864" s="11">
        <v>3207346</v>
      </c>
      <c r="H864" s="11">
        <v>0</v>
      </c>
    </row>
    <row r="865" spans="3:8">
      <c r="D865" s="12" t="s">
        <v>49</v>
      </c>
      <c r="E865" s="11">
        <v>264579</v>
      </c>
      <c r="F865" s="11">
        <v>0</v>
      </c>
      <c r="G865" s="11">
        <v>95263</v>
      </c>
      <c r="H865" s="11">
        <v>0</v>
      </c>
    </row>
    <row r="866" spans="3:8">
      <c r="D866" s="12" t="s">
        <v>51</v>
      </c>
      <c r="E866" s="11">
        <v>198250</v>
      </c>
      <c r="F866" s="11">
        <v>0</v>
      </c>
      <c r="G866" s="11">
        <v>81600</v>
      </c>
      <c r="H866" s="11">
        <v>0</v>
      </c>
    </row>
    <row r="867" spans="3:8">
      <c r="D867" s="12" t="s">
        <v>519</v>
      </c>
      <c r="E867" s="11">
        <v>0</v>
      </c>
      <c r="F867" s="11">
        <v>0</v>
      </c>
      <c r="G867" s="11">
        <v>0</v>
      </c>
      <c r="H867" s="11">
        <v>0</v>
      </c>
    </row>
    <row r="868" spans="3:8">
      <c r="D868" s="12" t="s">
        <v>116</v>
      </c>
      <c r="E868" s="11">
        <v>72000</v>
      </c>
      <c r="F868" s="11">
        <v>0</v>
      </c>
      <c r="G868" s="11">
        <v>64575</v>
      </c>
      <c r="H868" s="11">
        <v>0</v>
      </c>
    </row>
    <row r="869" spans="3:8">
      <c r="D869" s="12" t="s">
        <v>117</v>
      </c>
      <c r="E869" s="11">
        <v>262736</v>
      </c>
      <c r="F869" s="11">
        <v>0</v>
      </c>
      <c r="G869" s="11">
        <v>244646.5</v>
      </c>
      <c r="H869" s="11">
        <v>0</v>
      </c>
    </row>
    <row r="870" spans="3:8">
      <c r="D870" s="12" t="s">
        <v>119</v>
      </c>
      <c r="E870" s="11">
        <v>240223</v>
      </c>
      <c r="F870" s="11">
        <v>0</v>
      </c>
      <c r="G870" s="11">
        <v>218259</v>
      </c>
      <c r="H870" s="11">
        <v>0</v>
      </c>
    </row>
    <row r="871" spans="3:8">
      <c r="D871" s="12" t="s">
        <v>637</v>
      </c>
      <c r="E871" s="11">
        <v>0</v>
      </c>
      <c r="F871" s="11">
        <v>0</v>
      </c>
      <c r="G871" s="11">
        <v>7700</v>
      </c>
      <c r="H871" s="11">
        <v>0</v>
      </c>
    </row>
    <row r="872" spans="3:8">
      <c r="D872" s="12" t="s">
        <v>129</v>
      </c>
      <c r="E872" s="11">
        <v>60</v>
      </c>
      <c r="F872" s="11">
        <v>0</v>
      </c>
      <c r="G872" s="11"/>
      <c r="H872" s="11"/>
    </row>
    <row r="873" spans="3:8">
      <c r="D873" s="12" t="s">
        <v>375</v>
      </c>
      <c r="E873" s="11">
        <v>103100</v>
      </c>
      <c r="F873" s="11">
        <v>0</v>
      </c>
      <c r="G873" s="11">
        <v>40650</v>
      </c>
      <c r="H873" s="11">
        <v>0</v>
      </c>
    </row>
    <row r="874" spans="3:8">
      <c r="D874" s="12" t="s">
        <v>952</v>
      </c>
      <c r="E874" s="11">
        <v>0</v>
      </c>
      <c r="F874" s="11">
        <v>0</v>
      </c>
      <c r="G874" s="11">
        <v>0</v>
      </c>
      <c r="H874" s="11">
        <v>0</v>
      </c>
    </row>
    <row r="875" spans="3:8">
      <c r="D875" s="12" t="s">
        <v>391</v>
      </c>
      <c r="E875" s="11">
        <v>170365</v>
      </c>
      <c r="F875" s="11">
        <v>0</v>
      </c>
      <c r="G875" s="11">
        <v>290915</v>
      </c>
      <c r="H875" s="11">
        <v>0</v>
      </c>
    </row>
    <row r="876" spans="3:8">
      <c r="C876" s="12" t="s">
        <v>1607</v>
      </c>
      <c r="D876" s="230"/>
      <c r="E876" s="11">
        <v>5119183</v>
      </c>
      <c r="F876" s="11">
        <v>0</v>
      </c>
      <c r="G876" s="11">
        <v>4250954.5</v>
      </c>
      <c r="H876" s="11">
        <v>0</v>
      </c>
    </row>
    <row r="877" spans="3:8">
      <c r="C877" s="12" t="s">
        <v>1557</v>
      </c>
      <c r="D877" s="12" t="s">
        <v>48</v>
      </c>
      <c r="E877" s="11">
        <v>545036</v>
      </c>
      <c r="F877" s="11">
        <v>0</v>
      </c>
      <c r="G877" s="11">
        <v>364309</v>
      </c>
      <c r="H877" s="11">
        <v>0</v>
      </c>
    </row>
    <row r="878" spans="3:8">
      <c r="D878" s="12" t="s">
        <v>577</v>
      </c>
      <c r="E878" s="11">
        <v>0</v>
      </c>
      <c r="F878" s="11">
        <v>0</v>
      </c>
      <c r="G878" s="11">
        <v>171625</v>
      </c>
      <c r="H878" s="11">
        <v>0</v>
      </c>
    </row>
    <row r="879" spans="3:8">
      <c r="D879" s="12" t="s">
        <v>196</v>
      </c>
      <c r="E879" s="11">
        <v>153090</v>
      </c>
      <c r="F879" s="11">
        <v>0</v>
      </c>
      <c r="G879" s="11">
        <v>136767</v>
      </c>
      <c r="H879" s="11">
        <v>0</v>
      </c>
    </row>
    <row r="880" spans="3:8">
      <c r="D880" s="12" t="s">
        <v>197</v>
      </c>
      <c r="E880" s="11">
        <v>1590159</v>
      </c>
      <c r="F880" s="11">
        <v>0</v>
      </c>
      <c r="G880" s="11">
        <v>1020022</v>
      </c>
      <c r="H880" s="11">
        <v>0</v>
      </c>
    </row>
    <row r="881" spans="3:8">
      <c r="D881" s="12" t="s">
        <v>728</v>
      </c>
      <c r="E881" s="11">
        <v>308026.14</v>
      </c>
      <c r="F881" s="11">
        <v>0</v>
      </c>
      <c r="G881" s="11">
        <v>1231418.3999999999</v>
      </c>
      <c r="H881" s="11">
        <v>0</v>
      </c>
    </row>
    <row r="882" spans="3:8">
      <c r="D882" s="12" t="s">
        <v>198</v>
      </c>
      <c r="E882" s="11">
        <v>3724110.85</v>
      </c>
      <c r="F882" s="11">
        <v>0</v>
      </c>
      <c r="G882" s="11">
        <v>7737390.6699999999</v>
      </c>
      <c r="H882" s="11">
        <v>0</v>
      </c>
    </row>
    <row r="883" spans="3:8">
      <c r="D883" s="12" t="s">
        <v>764</v>
      </c>
      <c r="E883" s="11">
        <v>0</v>
      </c>
      <c r="F883" s="11">
        <v>0</v>
      </c>
      <c r="G883" s="11">
        <v>0</v>
      </c>
      <c r="H883" s="11">
        <v>0</v>
      </c>
    </row>
    <row r="884" spans="3:8">
      <c r="C884" s="12" t="s">
        <v>1608</v>
      </c>
      <c r="D884" s="230"/>
      <c r="E884" s="11">
        <v>6320421.9900000002</v>
      </c>
      <c r="F884" s="11">
        <v>0</v>
      </c>
      <c r="G884" s="11">
        <v>10661532.07</v>
      </c>
      <c r="H884" s="11">
        <v>0</v>
      </c>
    </row>
    <row r="885" spans="3:8">
      <c r="C885" s="12" t="s">
        <v>1556</v>
      </c>
      <c r="D885" s="12" t="s">
        <v>578</v>
      </c>
      <c r="E885" s="11">
        <v>0</v>
      </c>
      <c r="F885" s="11">
        <v>0</v>
      </c>
      <c r="G885" s="11">
        <v>61275</v>
      </c>
      <c r="H885" s="11">
        <v>0</v>
      </c>
    </row>
    <row r="886" spans="3:8">
      <c r="D886" s="12" t="s">
        <v>65</v>
      </c>
      <c r="E886" s="11">
        <v>39844498.340000004</v>
      </c>
      <c r="F886" s="11">
        <v>0</v>
      </c>
      <c r="G886" s="11">
        <v>38717565.439999998</v>
      </c>
      <c r="H886" s="11">
        <v>0</v>
      </c>
    </row>
    <row r="887" spans="3:8">
      <c r="D887" s="12" t="s">
        <v>118</v>
      </c>
      <c r="E887" s="11">
        <v>69613175</v>
      </c>
      <c r="F887" s="11">
        <v>0</v>
      </c>
      <c r="G887" s="11">
        <v>66582536</v>
      </c>
      <c r="H887" s="11">
        <v>0</v>
      </c>
    </row>
    <row r="888" spans="3:8">
      <c r="D888" s="12" t="s">
        <v>226</v>
      </c>
      <c r="E888" s="11">
        <v>5609421</v>
      </c>
      <c r="F888" s="11">
        <v>0</v>
      </c>
      <c r="G888" s="11">
        <v>5227186</v>
      </c>
      <c r="H888" s="11">
        <v>0</v>
      </c>
    </row>
    <row r="889" spans="3:8">
      <c r="D889" s="12" t="s">
        <v>777</v>
      </c>
      <c r="E889" s="11">
        <v>0</v>
      </c>
      <c r="F889" s="11">
        <v>0</v>
      </c>
      <c r="G889" s="11">
        <v>0</v>
      </c>
      <c r="H889" s="11">
        <v>0</v>
      </c>
    </row>
    <row r="890" spans="3:8">
      <c r="D890" s="12" t="s">
        <v>276</v>
      </c>
      <c r="E890" s="11">
        <v>17458745</v>
      </c>
      <c r="F890" s="11">
        <v>0</v>
      </c>
      <c r="G890" s="11"/>
      <c r="H890" s="11"/>
    </row>
    <row r="891" spans="3:8">
      <c r="D891" s="12" t="s">
        <v>275</v>
      </c>
      <c r="E891" s="11">
        <v>5418764</v>
      </c>
      <c r="F891" s="11">
        <v>0</v>
      </c>
      <c r="G891" s="11">
        <v>6876013</v>
      </c>
      <c r="H891" s="11">
        <v>0</v>
      </c>
    </row>
    <row r="892" spans="3:8">
      <c r="D892" s="12" t="s">
        <v>818</v>
      </c>
      <c r="E892" s="11">
        <v>0</v>
      </c>
      <c r="F892" s="11">
        <v>0</v>
      </c>
      <c r="G892" s="11">
        <v>0</v>
      </c>
      <c r="H892" s="11">
        <v>0</v>
      </c>
    </row>
    <row r="893" spans="3:8">
      <c r="D893" s="12" t="s">
        <v>345</v>
      </c>
      <c r="E893" s="11">
        <v>3832008</v>
      </c>
      <c r="F893" s="11">
        <v>0</v>
      </c>
      <c r="G893" s="11">
        <v>5000332</v>
      </c>
      <c r="H893" s="11">
        <v>0</v>
      </c>
    </row>
    <row r="894" spans="3:8">
      <c r="C894" s="12" t="s">
        <v>1609</v>
      </c>
      <c r="D894" s="230"/>
      <c r="E894" s="11">
        <v>141776611.34</v>
      </c>
      <c r="F894" s="11">
        <v>0</v>
      </c>
      <c r="G894" s="11">
        <v>122464907.44</v>
      </c>
      <c r="H894" s="11">
        <v>0</v>
      </c>
    </row>
    <row r="895" spans="3:8">
      <c r="C895" s="12" t="s">
        <v>1295</v>
      </c>
      <c r="D895" s="12" t="s">
        <v>122</v>
      </c>
      <c r="E895" s="11">
        <v>3282001</v>
      </c>
      <c r="F895" s="11">
        <v>0</v>
      </c>
      <c r="G895" s="11">
        <v>2854617</v>
      </c>
      <c r="H895" s="11">
        <v>0</v>
      </c>
    </row>
    <row r="896" spans="3:8">
      <c r="C896" s="12" t="s">
        <v>1610</v>
      </c>
      <c r="D896" s="230"/>
      <c r="E896" s="11">
        <v>3282001</v>
      </c>
      <c r="F896" s="11">
        <v>0</v>
      </c>
      <c r="G896" s="11">
        <v>2854617</v>
      </c>
      <c r="H896" s="11">
        <v>0</v>
      </c>
    </row>
    <row r="897" spans="3:8">
      <c r="C897" s="12" t="s">
        <v>231</v>
      </c>
      <c r="D897" s="12" t="s">
        <v>765</v>
      </c>
      <c r="E897" s="11">
        <v>0</v>
      </c>
      <c r="F897" s="11">
        <v>0</v>
      </c>
      <c r="G897" s="11">
        <v>1640</v>
      </c>
      <c r="H897" s="11">
        <v>0</v>
      </c>
    </row>
    <row r="898" spans="3:8">
      <c r="D898" s="12" t="s">
        <v>227</v>
      </c>
      <c r="E898" s="216">
        <v>3050</v>
      </c>
      <c r="F898" s="11">
        <v>0</v>
      </c>
      <c r="G898" s="11">
        <v>870</v>
      </c>
      <c r="H898" s="11">
        <v>0</v>
      </c>
    </row>
    <row r="899" spans="3:8">
      <c r="D899" s="12" t="s">
        <v>231</v>
      </c>
      <c r="E899" s="216">
        <v>9088041.2200000007</v>
      </c>
      <c r="F899" s="11">
        <v>0</v>
      </c>
      <c r="G899" s="11">
        <v>6671147.8200000003</v>
      </c>
      <c r="H899" s="11">
        <v>0</v>
      </c>
    </row>
    <row r="900" spans="3:8">
      <c r="D900" s="12" t="s">
        <v>807</v>
      </c>
      <c r="E900" s="11">
        <v>0</v>
      </c>
      <c r="F900" s="11">
        <v>0</v>
      </c>
      <c r="G900" s="11">
        <v>0</v>
      </c>
      <c r="H900" s="11">
        <v>0</v>
      </c>
    </row>
    <row r="901" spans="3:8">
      <c r="D901" s="12" t="s">
        <v>910</v>
      </c>
      <c r="E901" s="216">
        <v>150000</v>
      </c>
      <c r="F901" s="11">
        <v>0</v>
      </c>
      <c r="G901" s="11">
        <v>277187</v>
      </c>
      <c r="H901" s="11">
        <v>0</v>
      </c>
    </row>
    <row r="902" spans="3:8">
      <c r="C902" s="12" t="s">
        <v>1611</v>
      </c>
      <c r="D902" s="230"/>
      <c r="E902" s="11">
        <v>9241091.2200000007</v>
      </c>
      <c r="F902" s="11">
        <v>0</v>
      </c>
      <c r="G902" s="11">
        <v>6950844.8200000003</v>
      </c>
      <c r="H902" s="11">
        <v>0</v>
      </c>
    </row>
    <row r="903" spans="3:8">
      <c r="C903" s="12" t="s">
        <v>1301</v>
      </c>
      <c r="D903" s="12" t="s">
        <v>810</v>
      </c>
      <c r="E903" s="11">
        <v>17306494.390000001</v>
      </c>
      <c r="F903" s="11">
        <v>0</v>
      </c>
      <c r="G903" s="11">
        <v>5885577.8399999999</v>
      </c>
      <c r="H903" s="11">
        <v>0</v>
      </c>
    </row>
    <row r="904" spans="3:8">
      <c r="C904" s="12" t="s">
        <v>1612</v>
      </c>
      <c r="D904" s="230"/>
      <c r="E904" s="11">
        <v>17306494.390000001</v>
      </c>
      <c r="F904" s="11">
        <v>0</v>
      </c>
      <c r="G904" s="11">
        <v>5885577.8399999999</v>
      </c>
      <c r="H904" s="11">
        <v>0</v>
      </c>
    </row>
    <row r="905" spans="3:8">
      <c r="C905" s="12" t="s">
        <v>280</v>
      </c>
      <c r="D905" s="12" t="s">
        <v>280</v>
      </c>
      <c r="E905" s="11">
        <v>4044390</v>
      </c>
      <c r="F905" s="11">
        <v>0</v>
      </c>
      <c r="G905" s="11">
        <v>3861148</v>
      </c>
      <c r="H905" s="11">
        <v>0</v>
      </c>
    </row>
    <row r="906" spans="3:8">
      <c r="C906" s="12" t="s">
        <v>1613</v>
      </c>
      <c r="D906" s="230"/>
      <c r="E906" s="11">
        <v>4044390</v>
      </c>
      <c r="F906" s="11">
        <v>0</v>
      </c>
      <c r="G906" s="11">
        <v>3861148</v>
      </c>
      <c r="H906" s="11">
        <v>0</v>
      </c>
    </row>
    <row r="907" spans="3:8">
      <c r="C907" s="12" t="s">
        <v>1558</v>
      </c>
      <c r="D907" s="12" t="s">
        <v>830</v>
      </c>
      <c r="E907" s="11">
        <v>49000</v>
      </c>
      <c r="F907" s="11">
        <v>0</v>
      </c>
      <c r="G907" s="11">
        <v>688233.98</v>
      </c>
      <c r="H907" s="11">
        <v>0</v>
      </c>
    </row>
    <row r="908" spans="3:8">
      <c r="C908" s="12" t="s">
        <v>1614</v>
      </c>
      <c r="D908" s="230"/>
      <c r="E908" s="11">
        <v>49000</v>
      </c>
      <c r="F908" s="11">
        <v>0</v>
      </c>
      <c r="G908" s="11">
        <v>688233.98</v>
      </c>
      <c r="H908" s="11">
        <v>0</v>
      </c>
    </row>
    <row r="909" spans="3:8">
      <c r="C909" s="12" t="s">
        <v>318</v>
      </c>
      <c r="D909" s="12" t="s">
        <v>318</v>
      </c>
      <c r="E909" s="11">
        <v>783594</v>
      </c>
      <c r="F909" s="11">
        <v>0</v>
      </c>
      <c r="G909" s="11">
        <v>703243</v>
      </c>
      <c r="H909" s="11">
        <v>0</v>
      </c>
    </row>
    <row r="910" spans="3:8">
      <c r="C910" s="12" t="s">
        <v>1615</v>
      </c>
      <c r="D910" s="230"/>
      <c r="E910" s="11">
        <v>783594</v>
      </c>
      <c r="F910" s="11">
        <v>0</v>
      </c>
      <c r="G910" s="11">
        <v>703243</v>
      </c>
      <c r="H910" s="11">
        <v>0</v>
      </c>
    </row>
    <row r="911" spans="3:8">
      <c r="C911" s="12" t="s">
        <v>1559</v>
      </c>
      <c r="D911" s="12" t="s">
        <v>392</v>
      </c>
      <c r="E911" s="11">
        <v>6303933</v>
      </c>
      <c r="F911" s="11">
        <v>0</v>
      </c>
      <c r="G911" s="11">
        <v>6129998</v>
      </c>
      <c r="H911" s="11">
        <v>0</v>
      </c>
    </row>
    <row r="912" spans="3:8">
      <c r="C912" s="12" t="s">
        <v>1616</v>
      </c>
      <c r="D912" s="230"/>
      <c r="E912" s="11">
        <v>6303933</v>
      </c>
      <c r="F912" s="11">
        <v>0</v>
      </c>
      <c r="G912" s="11">
        <v>6129998</v>
      </c>
      <c r="H912" s="11">
        <v>0</v>
      </c>
    </row>
    <row r="913" spans="1:8">
      <c r="B913" s="12" t="s">
        <v>1617</v>
      </c>
      <c r="C913" s="230"/>
      <c r="D913" s="230"/>
      <c r="E913" s="11">
        <v>194226719.94</v>
      </c>
      <c r="F913" s="11">
        <v>0</v>
      </c>
      <c r="G913" s="11">
        <v>164451056.64999998</v>
      </c>
      <c r="H913" s="11">
        <v>0</v>
      </c>
    </row>
    <row r="914" spans="1:8">
      <c r="A914" s="12" t="s">
        <v>1618</v>
      </c>
      <c r="B914" s="230"/>
      <c r="C914" s="230"/>
      <c r="D914" s="230"/>
      <c r="E914" s="11">
        <v>207870699.37</v>
      </c>
      <c r="F914" s="11">
        <v>29158.710000000003</v>
      </c>
      <c r="G914" s="11">
        <v>180252165.11999997</v>
      </c>
      <c r="H914" s="11">
        <v>353.12</v>
      </c>
    </row>
    <row r="915" spans="1:8">
      <c r="A915" s="12">
        <v>23</v>
      </c>
      <c r="B915" s="12" t="s">
        <v>573</v>
      </c>
      <c r="C915" s="12" t="s">
        <v>574</v>
      </c>
      <c r="D915" s="12" t="s">
        <v>62</v>
      </c>
      <c r="E915" s="216">
        <v>48786325</v>
      </c>
      <c r="F915" s="11">
        <v>0</v>
      </c>
      <c r="G915" s="11">
        <v>34675595</v>
      </c>
      <c r="H915" s="11">
        <v>0</v>
      </c>
    </row>
    <row r="916" spans="1:8">
      <c r="D916" s="12" t="s">
        <v>64</v>
      </c>
      <c r="E916" s="216">
        <v>21589538</v>
      </c>
      <c r="F916" s="11">
        <v>0</v>
      </c>
      <c r="G916" s="11">
        <v>25835930</v>
      </c>
      <c r="H916" s="11">
        <v>0</v>
      </c>
    </row>
    <row r="917" spans="1:8">
      <c r="D917" s="12" t="s">
        <v>79</v>
      </c>
      <c r="E917" s="216">
        <v>826334</v>
      </c>
      <c r="F917" s="11">
        <v>0</v>
      </c>
      <c r="G917" s="11"/>
      <c r="H917" s="11"/>
    </row>
    <row r="918" spans="1:8">
      <c r="D918" s="12" t="s">
        <v>113</v>
      </c>
      <c r="E918" s="11">
        <v>5916</v>
      </c>
      <c r="F918" s="11">
        <v>0</v>
      </c>
      <c r="G918" s="11">
        <v>0</v>
      </c>
      <c r="H918" s="11">
        <v>0</v>
      </c>
    </row>
    <row r="919" spans="1:8">
      <c r="D919" s="12" t="s">
        <v>127</v>
      </c>
      <c r="E919" s="216">
        <v>150805</v>
      </c>
      <c r="F919" s="11">
        <v>0</v>
      </c>
      <c r="G919" s="11">
        <v>202312.89</v>
      </c>
      <c r="H919" s="11">
        <v>0</v>
      </c>
    </row>
    <row r="920" spans="1:8">
      <c r="D920" s="12" t="s">
        <v>144</v>
      </c>
      <c r="E920" s="216">
        <v>142111717</v>
      </c>
      <c r="F920" s="11">
        <v>0</v>
      </c>
      <c r="G920" s="11">
        <v>97418771</v>
      </c>
      <c r="H920" s="11">
        <v>0</v>
      </c>
    </row>
    <row r="921" spans="1:8">
      <c r="D921" s="12" t="s">
        <v>224</v>
      </c>
      <c r="E921" s="11">
        <v>21740</v>
      </c>
      <c r="F921" s="11">
        <v>0</v>
      </c>
      <c r="G921" s="11">
        <v>23600</v>
      </c>
      <c r="H921" s="11">
        <v>0</v>
      </c>
    </row>
    <row r="922" spans="1:8">
      <c r="D922" s="12" t="s">
        <v>225</v>
      </c>
      <c r="E922" s="11">
        <v>3400</v>
      </c>
      <c r="F922" s="11">
        <v>0</v>
      </c>
      <c r="G922" s="11">
        <v>3600</v>
      </c>
      <c r="H922" s="11">
        <v>0</v>
      </c>
    </row>
    <row r="923" spans="1:8">
      <c r="D923" s="12" t="s">
        <v>228</v>
      </c>
      <c r="E923" s="216">
        <v>175062.8</v>
      </c>
      <c r="F923" s="11">
        <v>0</v>
      </c>
      <c r="G923" s="11">
        <v>248948</v>
      </c>
      <c r="H923" s="11">
        <v>0</v>
      </c>
    </row>
    <row r="924" spans="1:8">
      <c r="D924" s="12" t="s">
        <v>688</v>
      </c>
      <c r="E924" s="11">
        <v>0</v>
      </c>
      <c r="F924" s="11">
        <v>0</v>
      </c>
      <c r="G924" s="11">
        <v>0</v>
      </c>
      <c r="H924" s="11">
        <v>902538</v>
      </c>
    </row>
    <row r="925" spans="1:8">
      <c r="D925" s="12" t="s">
        <v>274</v>
      </c>
      <c r="E925" s="11">
        <v>340090</v>
      </c>
      <c r="F925" s="11">
        <v>0</v>
      </c>
      <c r="G925" s="11">
        <v>245315</v>
      </c>
      <c r="H925" s="11">
        <v>0</v>
      </c>
    </row>
    <row r="926" spans="1:8">
      <c r="D926" s="12" t="s">
        <v>806</v>
      </c>
      <c r="E926" s="11">
        <v>0</v>
      </c>
      <c r="F926" s="11">
        <v>0</v>
      </c>
      <c r="G926" s="11">
        <v>0</v>
      </c>
      <c r="H926" s="11">
        <v>0</v>
      </c>
    </row>
    <row r="927" spans="1:8">
      <c r="D927" s="12" t="s">
        <v>808</v>
      </c>
      <c r="E927" s="11">
        <v>0</v>
      </c>
      <c r="F927" s="11">
        <v>0</v>
      </c>
      <c r="G927" s="11">
        <v>0</v>
      </c>
      <c r="H927" s="11">
        <v>0</v>
      </c>
    </row>
    <row r="928" spans="1:8">
      <c r="D928" s="12" t="s">
        <v>809</v>
      </c>
      <c r="E928" s="11">
        <v>0</v>
      </c>
      <c r="F928" s="11">
        <v>0</v>
      </c>
      <c r="G928" s="11">
        <v>4380095</v>
      </c>
      <c r="H928" s="11">
        <v>0</v>
      </c>
    </row>
    <row r="929" spans="1:8">
      <c r="D929" s="12" t="s">
        <v>908</v>
      </c>
      <c r="E929" s="11">
        <v>938042.5</v>
      </c>
      <c r="F929" s="11">
        <v>0</v>
      </c>
      <c r="G929" s="11">
        <v>1264812.5</v>
      </c>
      <c r="H929" s="11">
        <v>0</v>
      </c>
    </row>
    <row r="930" spans="1:8">
      <c r="D930" s="12" t="s">
        <v>909</v>
      </c>
      <c r="E930" s="11">
        <v>0</v>
      </c>
      <c r="F930" s="11">
        <v>0</v>
      </c>
      <c r="G930" s="11">
        <v>0</v>
      </c>
      <c r="H930" s="11">
        <v>0</v>
      </c>
    </row>
    <row r="931" spans="1:8">
      <c r="D931" s="12" t="s">
        <v>393</v>
      </c>
      <c r="E931" s="11">
        <v>637901422.5</v>
      </c>
      <c r="F931" s="11">
        <v>0</v>
      </c>
      <c r="G931" s="11">
        <v>384685059</v>
      </c>
      <c r="H931" s="11">
        <v>0</v>
      </c>
    </row>
    <row r="932" spans="1:8">
      <c r="C932" s="12" t="s">
        <v>1052</v>
      </c>
      <c r="D932" s="230"/>
      <c r="E932" s="11">
        <v>852850392.79999995</v>
      </c>
      <c r="F932" s="11">
        <v>0</v>
      </c>
      <c r="G932" s="11">
        <v>548984038.38999999</v>
      </c>
      <c r="H932" s="11">
        <v>902538</v>
      </c>
    </row>
    <row r="933" spans="1:8">
      <c r="B933" s="12" t="s">
        <v>986</v>
      </c>
      <c r="C933" s="230"/>
      <c r="D933" s="230"/>
      <c r="E933" s="11">
        <v>852850392.79999995</v>
      </c>
      <c r="F933" s="11">
        <v>0</v>
      </c>
      <c r="G933" s="11">
        <v>548984038.38999999</v>
      </c>
      <c r="H933" s="11">
        <v>902538</v>
      </c>
    </row>
    <row r="934" spans="1:8">
      <c r="A934" s="12" t="s">
        <v>1619</v>
      </c>
      <c r="B934" s="230"/>
      <c r="C934" s="230"/>
      <c r="D934" s="230"/>
      <c r="E934" s="11">
        <v>852850392.79999995</v>
      </c>
      <c r="F934" s="11">
        <v>0</v>
      </c>
      <c r="G934" s="11">
        <v>548984038.38999999</v>
      </c>
      <c r="H934" s="11">
        <v>902538</v>
      </c>
    </row>
    <row r="935" spans="1:8">
      <c r="A935" s="12">
        <v>14</v>
      </c>
      <c r="B935" s="12" t="s">
        <v>1552</v>
      </c>
      <c r="C935" s="12" t="s">
        <v>607</v>
      </c>
      <c r="D935" s="12" t="s">
        <v>85</v>
      </c>
      <c r="E935" s="11">
        <v>0</v>
      </c>
      <c r="F935" s="11">
        <v>0</v>
      </c>
      <c r="G935" s="11">
        <v>4778693</v>
      </c>
      <c r="H935" s="11">
        <v>0</v>
      </c>
    </row>
    <row r="936" spans="1:8">
      <c r="D936" s="12" t="s">
        <v>257</v>
      </c>
      <c r="E936" s="11">
        <v>0</v>
      </c>
      <c r="F936" s="11">
        <v>4610451</v>
      </c>
      <c r="G936" s="11">
        <v>0</v>
      </c>
      <c r="H936" s="11">
        <v>4802294</v>
      </c>
    </row>
    <row r="937" spans="1:8">
      <c r="D937" s="12" t="s">
        <v>801</v>
      </c>
      <c r="E937" s="11">
        <v>0</v>
      </c>
      <c r="F937" s="11">
        <v>3329437.7</v>
      </c>
      <c r="G937" s="11">
        <v>0</v>
      </c>
      <c r="H937" s="11">
        <v>3296204.7</v>
      </c>
    </row>
    <row r="938" spans="1:8">
      <c r="D938" s="12" t="s">
        <v>800</v>
      </c>
      <c r="E938" s="11">
        <v>0</v>
      </c>
      <c r="F938" s="11">
        <v>0</v>
      </c>
      <c r="G938" s="11">
        <v>0</v>
      </c>
      <c r="H938" s="11">
        <v>216400</v>
      </c>
    </row>
    <row r="939" spans="1:8">
      <c r="D939" s="12" t="s">
        <v>1664</v>
      </c>
      <c r="E939" s="11">
        <v>277472</v>
      </c>
      <c r="F939" s="11">
        <v>0</v>
      </c>
      <c r="G939" s="11"/>
      <c r="H939" s="11"/>
    </row>
    <row r="940" spans="1:8">
      <c r="D940" s="12" t="s">
        <v>1665</v>
      </c>
      <c r="E940" s="11">
        <v>4984821</v>
      </c>
      <c r="F940" s="11">
        <v>0</v>
      </c>
      <c r="G940" s="11"/>
      <c r="H940" s="11"/>
    </row>
    <row r="941" spans="1:8">
      <c r="C941" s="12" t="s">
        <v>1027</v>
      </c>
      <c r="D941" s="230"/>
      <c r="E941" s="11">
        <v>5262293</v>
      </c>
      <c r="F941" s="11">
        <v>7939888.7000000002</v>
      </c>
      <c r="G941" s="11">
        <v>4778693</v>
      </c>
      <c r="H941" s="11">
        <v>8314898.7000000002</v>
      </c>
    </row>
    <row r="942" spans="1:8">
      <c r="B942" s="12" t="s">
        <v>1620</v>
      </c>
      <c r="C942" s="230"/>
      <c r="D942" s="230"/>
      <c r="E942" s="11">
        <v>5262293</v>
      </c>
      <c r="F942" s="11">
        <v>7939888.7000000002</v>
      </c>
      <c r="G942" s="11">
        <v>4778693</v>
      </c>
      <c r="H942" s="11">
        <v>8314898.7000000002</v>
      </c>
    </row>
    <row r="943" spans="1:8">
      <c r="A943" s="12" t="s">
        <v>1621</v>
      </c>
      <c r="B943" s="230"/>
      <c r="C943" s="230"/>
      <c r="D943" s="230"/>
      <c r="E943" s="11">
        <v>5262293</v>
      </c>
      <c r="F943" s="11">
        <v>7939888.7000000002</v>
      </c>
      <c r="G943" s="11">
        <v>4778693</v>
      </c>
      <c r="H943" s="11">
        <v>8314898.7000000002</v>
      </c>
    </row>
    <row r="944" spans="1:8">
      <c r="A944" s="12">
        <v>21</v>
      </c>
      <c r="B944" s="12" t="s">
        <v>621</v>
      </c>
      <c r="C944" s="12" t="s">
        <v>622</v>
      </c>
      <c r="D944" s="12" t="s">
        <v>623</v>
      </c>
      <c r="E944" s="11">
        <v>0</v>
      </c>
      <c r="F944" s="11">
        <v>0</v>
      </c>
      <c r="G944" s="11">
        <v>0</v>
      </c>
      <c r="H944" s="11">
        <v>16211566</v>
      </c>
    </row>
    <row r="945" spans="2:8">
      <c r="D945" s="12" t="s">
        <v>99</v>
      </c>
      <c r="E945" s="11">
        <v>3692009</v>
      </c>
      <c r="F945" s="11">
        <v>0</v>
      </c>
      <c r="G945" s="11">
        <v>30200530</v>
      </c>
      <c r="H945" s="11">
        <v>0</v>
      </c>
    </row>
    <row r="946" spans="2:8">
      <c r="D946" s="12" t="s">
        <v>100</v>
      </c>
      <c r="E946" s="11">
        <v>39401489</v>
      </c>
      <c r="F946" s="11">
        <v>0</v>
      </c>
      <c r="G946" s="11"/>
      <c r="H946" s="11"/>
    </row>
    <row r="947" spans="2:8">
      <c r="D947" s="12" t="s">
        <v>115</v>
      </c>
      <c r="E947" s="11">
        <v>0</v>
      </c>
      <c r="F947" s="11">
        <v>15060978</v>
      </c>
      <c r="G947" s="11">
        <v>0</v>
      </c>
      <c r="H947" s="11">
        <v>0</v>
      </c>
    </row>
    <row r="948" spans="2:8">
      <c r="D948" s="12" t="s">
        <v>645</v>
      </c>
      <c r="E948" s="11">
        <v>0</v>
      </c>
      <c r="F948" s="11">
        <v>0</v>
      </c>
      <c r="G948" s="11">
        <v>8000</v>
      </c>
      <c r="H948" s="11">
        <v>0</v>
      </c>
    </row>
    <row r="949" spans="2:8">
      <c r="D949" s="12" t="s">
        <v>230</v>
      </c>
      <c r="E949" s="11">
        <v>0</v>
      </c>
      <c r="F949" s="11">
        <v>393392</v>
      </c>
      <c r="G949" s="11">
        <v>0</v>
      </c>
      <c r="H949" s="11">
        <v>438710</v>
      </c>
    </row>
    <row r="950" spans="2:8">
      <c r="D950" s="12" t="s">
        <v>847</v>
      </c>
      <c r="E950" s="11">
        <v>0</v>
      </c>
      <c r="F950" s="11">
        <v>1177784</v>
      </c>
      <c r="G950" s="11">
        <v>0</v>
      </c>
      <c r="H950" s="11">
        <v>729659</v>
      </c>
    </row>
    <row r="951" spans="2:8">
      <c r="D951" s="12" t="s">
        <v>306</v>
      </c>
      <c r="E951" s="11">
        <v>0</v>
      </c>
      <c r="F951" s="11">
        <v>996978842.14999998</v>
      </c>
      <c r="G951" s="11">
        <v>0</v>
      </c>
      <c r="H951" s="11">
        <v>714551552.14999998</v>
      </c>
    </row>
    <row r="952" spans="2:8">
      <c r="D952" s="12" t="s">
        <v>307</v>
      </c>
      <c r="E952" s="11">
        <v>0</v>
      </c>
      <c r="F952" s="11">
        <v>121315419.15000001</v>
      </c>
      <c r="G952" s="11">
        <v>0</v>
      </c>
      <c r="H952" s="11">
        <v>80530681.049999997</v>
      </c>
    </row>
    <row r="953" spans="2:8">
      <c r="D953" s="12" t="s">
        <v>848</v>
      </c>
      <c r="E953" s="11">
        <v>0</v>
      </c>
      <c r="F953" s="11">
        <v>0</v>
      </c>
      <c r="G953" s="11">
        <v>0</v>
      </c>
      <c r="H953" s="11">
        <v>0</v>
      </c>
    </row>
    <row r="954" spans="2:8">
      <c r="D954" s="12" t="s">
        <v>321</v>
      </c>
      <c r="E954" s="11">
        <v>0</v>
      </c>
      <c r="F954" s="11">
        <v>22958399.75</v>
      </c>
      <c r="G954" s="11">
        <v>0</v>
      </c>
      <c r="H954" s="11">
        <v>18748332</v>
      </c>
    </row>
    <row r="955" spans="2:8">
      <c r="D955" s="12" t="s">
        <v>339</v>
      </c>
      <c r="E955" s="11">
        <v>3229</v>
      </c>
      <c r="F955" s="11">
        <v>0</v>
      </c>
      <c r="G955" s="11">
        <v>26467</v>
      </c>
      <c r="H955" s="11">
        <v>0</v>
      </c>
    </row>
    <row r="956" spans="2:8">
      <c r="D956" s="12" t="s">
        <v>906</v>
      </c>
      <c r="E956" s="11">
        <v>199577.3</v>
      </c>
      <c r="F956" s="11">
        <v>0</v>
      </c>
      <c r="G956" s="11">
        <v>72962</v>
      </c>
      <c r="H956" s="11">
        <v>0</v>
      </c>
    </row>
    <row r="957" spans="2:8">
      <c r="C957" s="12" t="s">
        <v>1046</v>
      </c>
      <c r="D957" s="230"/>
      <c r="E957" s="11">
        <v>43296304.299999997</v>
      </c>
      <c r="F957" s="11">
        <v>1157884815.05</v>
      </c>
      <c r="G957" s="11">
        <v>30307959</v>
      </c>
      <c r="H957" s="11">
        <v>831210500.19999993</v>
      </c>
    </row>
    <row r="958" spans="2:8">
      <c r="C958" s="12" t="s">
        <v>1554</v>
      </c>
      <c r="D958" s="12" t="s">
        <v>255</v>
      </c>
      <c r="E958" s="11">
        <v>0</v>
      </c>
      <c r="F958" s="11">
        <v>9433000</v>
      </c>
      <c r="G958" s="11">
        <v>0</v>
      </c>
      <c r="H958" s="11">
        <v>18856500</v>
      </c>
    </row>
    <row r="959" spans="2:8">
      <c r="C959" s="12" t="s">
        <v>1622</v>
      </c>
      <c r="D959" s="230"/>
      <c r="E959" s="11">
        <v>0</v>
      </c>
      <c r="F959" s="11">
        <v>9433000</v>
      </c>
      <c r="G959" s="11">
        <v>0</v>
      </c>
      <c r="H959" s="11">
        <v>18856500</v>
      </c>
    </row>
    <row r="960" spans="2:8">
      <c r="B960" s="12" t="s">
        <v>984</v>
      </c>
      <c r="C960" s="230"/>
      <c r="D960" s="230"/>
      <c r="E960" s="11">
        <v>43296304.299999997</v>
      </c>
      <c r="F960" s="11">
        <v>1167317815.05</v>
      </c>
      <c r="G960" s="11">
        <v>30307959</v>
      </c>
      <c r="H960" s="11">
        <v>850067000.19999993</v>
      </c>
    </row>
    <row r="961" spans="1:8">
      <c r="A961" s="12" t="s">
        <v>1623</v>
      </c>
      <c r="B961" s="230"/>
      <c r="C961" s="230"/>
      <c r="D961" s="230"/>
      <c r="E961" s="11">
        <v>43296304.299999997</v>
      </c>
      <c r="F961" s="11">
        <v>1167317815.05</v>
      </c>
      <c r="G961" s="11">
        <v>30307959</v>
      </c>
      <c r="H961" s="11">
        <v>850067000.19999993</v>
      </c>
    </row>
    <row r="962" spans="1:8">
      <c r="A962" s="12" t="s">
        <v>401</v>
      </c>
      <c r="E962" s="11">
        <v>1825195884.8299999</v>
      </c>
      <c r="F962" s="11">
        <v>1825195884.8299999</v>
      </c>
      <c r="G962" s="11">
        <v>1413567548.77</v>
      </c>
      <c r="H962" s="11">
        <v>1413567548.55</v>
      </c>
    </row>
  </sheetData>
  <printOptions horizontalCentered="1" verticalCentered="1"/>
  <pageMargins left="0.118110236220472" right="0.118110236220472" top="0.15748031496063" bottom="0.15748031496063" header="0.31496062992126" footer="0.31496062992126"/>
  <pageSetup paperSize="9" scale="52" fitToHeight="2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7"/>
  <sheetViews>
    <sheetView workbookViewId="0">
      <pane ySplit="2" topLeftCell="A409" activePane="bottomLeft" state="frozen"/>
      <selection pane="bottomLeft" activeCell="D10" sqref="D10"/>
    </sheetView>
  </sheetViews>
  <sheetFormatPr defaultRowHeight="15"/>
  <cols>
    <col min="1" max="1" width="6.85546875" style="230" bestFit="1" customWidth="1"/>
    <col min="2" max="2" width="10.7109375" style="230" customWidth="1"/>
    <col min="3" max="3" width="18.140625" style="230" bestFit="1" customWidth="1"/>
    <col min="4" max="4" width="41.7109375" style="230" bestFit="1" customWidth="1"/>
    <col min="5" max="5" width="14" style="230" customWidth="1"/>
    <col min="6" max="7" width="6" style="230" bestFit="1" customWidth="1"/>
    <col min="8" max="8" width="12.5703125" style="230" bestFit="1" customWidth="1"/>
    <col min="9" max="16384" width="9.140625" style="230"/>
  </cols>
  <sheetData>
    <row r="1" spans="1:8">
      <c r="A1" s="2341" t="s">
        <v>2535</v>
      </c>
      <c r="B1" s="2341"/>
      <c r="C1" s="2341"/>
      <c r="D1" s="2341"/>
      <c r="E1" s="2341"/>
      <c r="F1" s="2341"/>
      <c r="G1" s="2341"/>
      <c r="H1" s="2341"/>
    </row>
    <row r="2" spans="1:8" ht="48.75" customHeight="1">
      <c r="A2" s="1526" t="s">
        <v>2536</v>
      </c>
      <c r="B2" s="1527" t="s">
        <v>2537</v>
      </c>
      <c r="C2" s="1526" t="s">
        <v>2538</v>
      </c>
      <c r="D2" s="1526" t="s">
        <v>1216</v>
      </c>
      <c r="E2" s="220" t="s">
        <v>2539</v>
      </c>
      <c r="F2" s="1526" t="s">
        <v>2540</v>
      </c>
      <c r="G2" s="1526" t="s">
        <v>2541</v>
      </c>
      <c r="H2" s="220" t="s">
        <v>2542</v>
      </c>
    </row>
    <row r="3" spans="1:8">
      <c r="A3" s="230">
        <v>1</v>
      </c>
      <c r="B3" s="230" t="s">
        <v>2543</v>
      </c>
      <c r="C3" s="1528" t="s">
        <v>2544</v>
      </c>
      <c r="D3" s="230" t="s">
        <v>2529</v>
      </c>
      <c r="E3" s="230">
        <v>38815</v>
      </c>
      <c r="H3" s="230">
        <v>38815</v>
      </c>
    </row>
    <row r="4" spans="1:8">
      <c r="A4" s="230">
        <v>2</v>
      </c>
      <c r="B4" s="230" t="s">
        <v>2543</v>
      </c>
      <c r="C4" s="1528" t="s">
        <v>2545</v>
      </c>
      <c r="D4" s="230" t="s">
        <v>2530</v>
      </c>
      <c r="E4" s="230">
        <v>112805</v>
      </c>
      <c r="H4" s="230">
        <v>112805</v>
      </c>
    </row>
    <row r="5" spans="1:8">
      <c r="A5" s="230">
        <v>3</v>
      </c>
      <c r="B5" s="230" t="s">
        <v>2543</v>
      </c>
      <c r="C5" s="1528" t="s">
        <v>2546</v>
      </c>
      <c r="D5" s="230" t="s">
        <v>2531</v>
      </c>
      <c r="E5" s="230">
        <v>3600</v>
      </c>
      <c r="H5" s="230">
        <v>3600</v>
      </c>
    </row>
    <row r="6" spans="1:8">
      <c r="A6" s="230">
        <v>4</v>
      </c>
      <c r="B6" s="230" t="s">
        <v>2543</v>
      </c>
      <c r="C6" s="1528" t="s">
        <v>2547</v>
      </c>
      <c r="D6" s="230" t="s">
        <v>2532</v>
      </c>
      <c r="E6" s="230">
        <v>241995</v>
      </c>
      <c r="H6" s="230">
        <v>241995</v>
      </c>
    </row>
    <row r="7" spans="1:8">
      <c r="A7" s="230">
        <v>5</v>
      </c>
      <c r="B7" s="230" t="s">
        <v>2543</v>
      </c>
      <c r="C7" s="1528" t="s">
        <v>2548</v>
      </c>
      <c r="D7" s="230" t="s">
        <v>2533</v>
      </c>
      <c r="E7" s="230">
        <v>186295</v>
      </c>
      <c r="H7" s="230">
        <v>186295</v>
      </c>
    </row>
    <row r="8" spans="1:8">
      <c r="A8" s="230">
        <v>6</v>
      </c>
      <c r="B8" s="230" t="s">
        <v>2543</v>
      </c>
      <c r="C8" s="1528" t="s">
        <v>2549</v>
      </c>
      <c r="D8" s="230" t="s">
        <v>2534</v>
      </c>
      <c r="E8" s="230">
        <v>100</v>
      </c>
      <c r="H8" s="230">
        <v>100</v>
      </c>
    </row>
    <row r="9" spans="1:8">
      <c r="A9" s="230">
        <v>7</v>
      </c>
      <c r="B9" s="230" t="s">
        <v>2543</v>
      </c>
      <c r="C9" s="1528" t="s">
        <v>2550</v>
      </c>
      <c r="D9" s="230" t="s">
        <v>1792</v>
      </c>
      <c r="E9" s="230">
        <v>267360</v>
      </c>
      <c r="H9" s="230">
        <v>267360</v>
      </c>
    </row>
    <row r="10" spans="1:8">
      <c r="A10" s="230">
        <v>8</v>
      </c>
      <c r="B10" s="230" t="s">
        <v>2543</v>
      </c>
      <c r="C10" s="1528" t="s">
        <v>2551</v>
      </c>
      <c r="D10" s="230" t="s">
        <v>2552</v>
      </c>
      <c r="E10" s="230">
        <v>1000</v>
      </c>
      <c r="H10" s="230">
        <v>1000</v>
      </c>
    </row>
    <row r="11" spans="1:8">
      <c r="A11" s="230">
        <v>9</v>
      </c>
      <c r="C11" s="1528" t="s">
        <v>2553</v>
      </c>
      <c r="D11" s="230" t="s">
        <v>2554</v>
      </c>
      <c r="E11" s="230">
        <v>1000</v>
      </c>
      <c r="H11" s="230">
        <v>1000</v>
      </c>
    </row>
    <row r="12" spans="1:8">
      <c r="A12" s="230">
        <v>10</v>
      </c>
      <c r="C12" s="1528" t="s">
        <v>2555</v>
      </c>
      <c r="D12" s="230" t="s">
        <v>2556</v>
      </c>
      <c r="E12" s="230">
        <v>575</v>
      </c>
      <c r="H12" s="230">
        <v>575</v>
      </c>
    </row>
    <row r="13" spans="1:8">
      <c r="A13" s="230">
        <v>11</v>
      </c>
      <c r="C13" s="1528" t="s">
        <v>2557</v>
      </c>
      <c r="D13" s="230" t="s">
        <v>2558</v>
      </c>
      <c r="E13" s="230">
        <v>575</v>
      </c>
      <c r="H13" s="230">
        <v>575</v>
      </c>
    </row>
    <row r="14" spans="1:8">
      <c r="A14" s="230">
        <v>12</v>
      </c>
      <c r="C14" s="1528" t="s">
        <v>2559</v>
      </c>
      <c r="D14" s="230" t="s">
        <v>2560</v>
      </c>
      <c r="E14" s="230">
        <v>705</v>
      </c>
      <c r="H14" s="230">
        <v>705</v>
      </c>
    </row>
    <row r="15" spans="1:8">
      <c r="A15" s="230">
        <v>13</v>
      </c>
      <c r="C15" s="1528" t="s">
        <v>2561</v>
      </c>
      <c r="D15" s="230" t="s">
        <v>2562</v>
      </c>
      <c r="E15" s="230">
        <v>8828</v>
      </c>
      <c r="H15" s="230">
        <v>8828</v>
      </c>
    </row>
    <row r="16" spans="1:8">
      <c r="A16" s="230">
        <v>14</v>
      </c>
      <c r="C16" s="1528" t="s">
        <v>2563</v>
      </c>
      <c r="D16" s="230" t="s">
        <v>2564</v>
      </c>
      <c r="E16" s="230">
        <v>11150</v>
      </c>
      <c r="H16" s="230">
        <v>11150</v>
      </c>
    </row>
    <row r="17" spans="1:8">
      <c r="A17" s="230">
        <v>15</v>
      </c>
      <c r="C17" s="1528" t="s">
        <v>2565</v>
      </c>
      <c r="D17" s="230" t="s">
        <v>2566</v>
      </c>
      <c r="E17" s="230">
        <v>9200</v>
      </c>
      <c r="H17" s="230">
        <v>9200</v>
      </c>
    </row>
    <row r="18" spans="1:8">
      <c r="A18" s="230">
        <v>16</v>
      </c>
      <c r="C18" s="1528" t="s">
        <v>2567</v>
      </c>
      <c r="D18" s="230" t="s">
        <v>2568</v>
      </c>
      <c r="E18" s="230">
        <v>11855</v>
      </c>
      <c r="H18" s="230">
        <v>11855</v>
      </c>
    </row>
    <row r="19" spans="1:8">
      <c r="A19" s="230">
        <v>17</v>
      </c>
      <c r="C19" s="1528" t="s">
        <v>2569</v>
      </c>
      <c r="D19" s="230" t="s">
        <v>2570</v>
      </c>
      <c r="E19" s="230">
        <v>13350</v>
      </c>
      <c r="H19" s="230">
        <v>13350</v>
      </c>
    </row>
    <row r="20" spans="1:8">
      <c r="A20" s="230">
        <v>18</v>
      </c>
      <c r="C20" s="1528" t="s">
        <v>2571</v>
      </c>
      <c r="D20" s="230" t="s">
        <v>2572</v>
      </c>
      <c r="E20" s="230">
        <v>19735</v>
      </c>
      <c r="H20" s="230">
        <v>19735</v>
      </c>
    </row>
    <row r="21" spans="1:8">
      <c r="A21" s="230">
        <v>19</v>
      </c>
      <c r="C21" s="1528" t="s">
        <v>2573</v>
      </c>
      <c r="D21" s="230" t="s">
        <v>2574</v>
      </c>
      <c r="E21" s="230">
        <v>12200</v>
      </c>
      <c r="H21" s="230">
        <v>12200</v>
      </c>
    </row>
    <row r="22" spans="1:8">
      <c r="A22" s="230">
        <v>20</v>
      </c>
      <c r="C22" s="1528" t="s">
        <v>2575</v>
      </c>
      <c r="D22" s="230" t="s">
        <v>2576</v>
      </c>
      <c r="E22" s="230">
        <v>10700</v>
      </c>
      <c r="H22" s="230">
        <v>10700</v>
      </c>
    </row>
    <row r="23" spans="1:8">
      <c r="A23" s="230">
        <v>21</v>
      </c>
      <c r="C23" s="1528" t="s">
        <v>2577</v>
      </c>
      <c r="D23" s="230" t="s">
        <v>2578</v>
      </c>
      <c r="E23" s="230">
        <v>1575</v>
      </c>
      <c r="H23" s="230">
        <v>1575</v>
      </c>
    </row>
    <row r="24" spans="1:8">
      <c r="A24" s="230">
        <v>22</v>
      </c>
      <c r="C24" s="1528" t="s">
        <v>2579</v>
      </c>
      <c r="D24" s="230" t="s">
        <v>2580</v>
      </c>
      <c r="E24" s="230">
        <v>13005</v>
      </c>
      <c r="H24" s="230">
        <v>13005</v>
      </c>
    </row>
    <row r="25" spans="1:8">
      <c r="A25" s="230">
        <v>23</v>
      </c>
      <c r="C25" s="1528" t="s">
        <v>2581</v>
      </c>
      <c r="D25" s="230" t="s">
        <v>2582</v>
      </c>
      <c r="E25" s="230">
        <v>2190</v>
      </c>
      <c r="H25" s="230">
        <v>2190</v>
      </c>
    </row>
    <row r="26" spans="1:8">
      <c r="A26" s="230">
        <v>24</v>
      </c>
      <c r="C26" s="1528" t="s">
        <v>2583</v>
      </c>
      <c r="D26" s="230" t="s">
        <v>2584</v>
      </c>
      <c r="E26" s="230">
        <v>1125</v>
      </c>
      <c r="H26" s="230">
        <v>1125</v>
      </c>
    </row>
    <row r="27" spans="1:8">
      <c r="A27" s="230">
        <v>25</v>
      </c>
      <c r="C27" s="1528" t="s">
        <v>2585</v>
      </c>
      <c r="D27" s="230" t="s">
        <v>2586</v>
      </c>
      <c r="E27" s="230">
        <v>150</v>
      </c>
      <c r="H27" s="230">
        <v>150</v>
      </c>
    </row>
    <row r="28" spans="1:8">
      <c r="A28" s="230">
        <v>26</v>
      </c>
      <c r="C28" s="1528" t="s">
        <v>2587</v>
      </c>
      <c r="D28" s="230" t="s">
        <v>2588</v>
      </c>
      <c r="E28" s="230">
        <v>375</v>
      </c>
      <c r="H28" s="230">
        <v>375</v>
      </c>
    </row>
    <row r="29" spans="1:8">
      <c r="A29" s="230">
        <v>27</v>
      </c>
      <c r="C29" s="1528" t="s">
        <v>2589</v>
      </c>
      <c r="D29" s="230" t="s">
        <v>2590</v>
      </c>
      <c r="E29" s="230">
        <v>240</v>
      </c>
      <c r="H29" s="230">
        <v>240</v>
      </c>
    </row>
    <row r="30" spans="1:8">
      <c r="A30" s="230">
        <v>28</v>
      </c>
      <c r="C30" s="1528" t="s">
        <v>2591</v>
      </c>
      <c r="D30" s="230" t="s">
        <v>2592</v>
      </c>
      <c r="E30" s="230">
        <v>150</v>
      </c>
      <c r="H30" s="230">
        <v>150</v>
      </c>
    </row>
    <row r="31" spans="1:8">
      <c r="A31" s="230">
        <v>29</v>
      </c>
      <c r="C31" s="1528" t="s">
        <v>2593</v>
      </c>
      <c r="D31" s="230" t="s">
        <v>2594</v>
      </c>
      <c r="E31" s="230">
        <v>75</v>
      </c>
      <c r="H31" s="230">
        <v>75</v>
      </c>
    </row>
    <row r="32" spans="1:8">
      <c r="A32" s="230">
        <v>30</v>
      </c>
      <c r="C32" s="1528" t="s">
        <v>2595</v>
      </c>
      <c r="D32" s="230" t="s">
        <v>2596</v>
      </c>
      <c r="E32" s="230">
        <v>75</v>
      </c>
      <c r="H32" s="230">
        <v>75</v>
      </c>
    </row>
    <row r="33" spans="1:8">
      <c r="A33" s="230">
        <v>31</v>
      </c>
      <c r="C33" s="1528" t="s">
        <v>2597</v>
      </c>
      <c r="D33" s="230" t="s">
        <v>2596</v>
      </c>
      <c r="E33" s="230">
        <v>75</v>
      </c>
      <c r="H33" s="230">
        <v>75</v>
      </c>
    </row>
    <row r="34" spans="1:8">
      <c r="A34" s="230">
        <v>32</v>
      </c>
      <c r="C34" s="1528" t="s">
        <v>2598</v>
      </c>
      <c r="D34" s="230" t="s">
        <v>2599</v>
      </c>
      <c r="E34" s="230">
        <v>150</v>
      </c>
      <c r="H34" s="230">
        <v>150</v>
      </c>
    </row>
    <row r="35" spans="1:8">
      <c r="A35" s="230">
        <v>33</v>
      </c>
      <c r="C35" s="1528" t="s">
        <v>2600</v>
      </c>
      <c r="D35" s="230" t="s">
        <v>2601</v>
      </c>
      <c r="E35" s="230">
        <v>3090</v>
      </c>
      <c r="H35" s="230">
        <v>3090</v>
      </c>
    </row>
    <row r="36" spans="1:8">
      <c r="A36" s="230">
        <v>34</v>
      </c>
      <c r="C36" s="1528" t="s">
        <v>2602</v>
      </c>
      <c r="D36" s="230" t="s">
        <v>2603</v>
      </c>
      <c r="E36" s="230">
        <v>3300</v>
      </c>
      <c r="H36" s="230">
        <v>3300</v>
      </c>
    </row>
    <row r="37" spans="1:8">
      <c r="A37" s="230">
        <v>35</v>
      </c>
      <c r="C37" s="1528" t="s">
        <v>2604</v>
      </c>
      <c r="D37" s="230" t="s">
        <v>2605</v>
      </c>
      <c r="E37" s="230">
        <v>75</v>
      </c>
      <c r="H37" s="230">
        <v>75</v>
      </c>
    </row>
    <row r="38" spans="1:8">
      <c r="A38" s="230">
        <v>36</v>
      </c>
      <c r="C38" s="1528" t="s">
        <v>2606</v>
      </c>
      <c r="D38" s="230" t="s">
        <v>2607</v>
      </c>
      <c r="E38" s="230">
        <v>1000</v>
      </c>
      <c r="H38" s="230">
        <v>1000</v>
      </c>
    </row>
    <row r="39" spans="1:8">
      <c r="A39" s="230">
        <v>37</v>
      </c>
      <c r="C39" s="1528" t="s">
        <v>2608</v>
      </c>
      <c r="D39" s="230" t="s">
        <v>2609</v>
      </c>
      <c r="E39" s="230">
        <v>3025</v>
      </c>
      <c r="H39" s="230">
        <v>3025</v>
      </c>
    </row>
    <row r="40" spans="1:8">
      <c r="A40" s="230">
        <v>38</v>
      </c>
      <c r="C40" s="1528" t="s">
        <v>2610</v>
      </c>
      <c r="D40" s="230" t="s">
        <v>2588</v>
      </c>
      <c r="E40" s="230">
        <v>2500</v>
      </c>
      <c r="H40" s="230">
        <v>2500</v>
      </c>
    </row>
    <row r="41" spans="1:8">
      <c r="A41" s="230">
        <v>39</v>
      </c>
      <c r="C41" s="1528" t="s">
        <v>2611</v>
      </c>
      <c r="D41" s="230" t="s">
        <v>2612</v>
      </c>
      <c r="E41" s="230">
        <v>1000</v>
      </c>
      <c r="G41" s="230">
        <v>500</v>
      </c>
      <c r="H41" s="230">
        <v>500</v>
      </c>
    </row>
    <row r="42" spans="1:8">
      <c r="A42" s="230">
        <v>40</v>
      </c>
      <c r="C42" s="1528" t="s">
        <v>2613</v>
      </c>
      <c r="D42" s="230" t="s">
        <v>2614</v>
      </c>
      <c r="E42" s="230">
        <v>47460</v>
      </c>
      <c r="H42" s="230">
        <v>47460</v>
      </c>
    </row>
    <row r="43" spans="1:8">
      <c r="A43" s="230">
        <v>41</v>
      </c>
      <c r="C43" s="1528" t="s">
        <v>2615</v>
      </c>
      <c r="D43" s="230" t="s">
        <v>2616</v>
      </c>
      <c r="E43" s="230">
        <v>3300</v>
      </c>
      <c r="H43" s="230">
        <v>3300</v>
      </c>
    </row>
    <row r="44" spans="1:8">
      <c r="A44" s="230">
        <v>42</v>
      </c>
      <c r="C44" s="1528" t="s">
        <v>2617</v>
      </c>
      <c r="D44" s="230" t="s">
        <v>2618</v>
      </c>
      <c r="E44" s="230">
        <v>3300</v>
      </c>
      <c r="H44" s="230">
        <v>3300</v>
      </c>
    </row>
    <row r="45" spans="1:8">
      <c r="A45" s="230">
        <v>43</v>
      </c>
      <c r="C45" s="1528" t="s">
        <v>2619</v>
      </c>
      <c r="D45" s="230" t="s">
        <v>2620</v>
      </c>
      <c r="E45" s="230">
        <v>2500</v>
      </c>
      <c r="H45" s="230">
        <v>2500</v>
      </c>
    </row>
    <row r="46" spans="1:8">
      <c r="A46" s="230">
        <v>44</v>
      </c>
      <c r="C46" s="1528" t="s">
        <v>2621</v>
      </c>
      <c r="D46" s="230" t="s">
        <v>2622</v>
      </c>
      <c r="E46" s="230">
        <v>4500</v>
      </c>
      <c r="H46" s="230">
        <v>4500</v>
      </c>
    </row>
    <row r="47" spans="1:8">
      <c r="A47" s="230">
        <v>45</v>
      </c>
      <c r="C47" s="1528" t="s">
        <v>2623</v>
      </c>
      <c r="D47" s="230" t="s">
        <v>2624</v>
      </c>
      <c r="E47" s="230">
        <v>3300</v>
      </c>
      <c r="H47" s="230">
        <v>3300</v>
      </c>
    </row>
    <row r="48" spans="1:8">
      <c r="A48" s="230">
        <v>46</v>
      </c>
      <c r="C48" s="1528" t="s">
        <v>2625</v>
      </c>
      <c r="D48" s="230" t="s">
        <v>2626</v>
      </c>
      <c r="E48" s="230">
        <v>33235</v>
      </c>
      <c r="H48" s="230">
        <v>33235</v>
      </c>
    </row>
    <row r="49" spans="1:8">
      <c r="A49" s="230">
        <v>47</v>
      </c>
      <c r="C49" s="1528" t="s">
        <v>2627</v>
      </c>
      <c r="D49" s="230" t="s">
        <v>2628</v>
      </c>
      <c r="E49" s="230">
        <v>62790</v>
      </c>
      <c r="H49" s="230">
        <v>62790</v>
      </c>
    </row>
    <row r="50" spans="1:8">
      <c r="A50" s="230">
        <v>48</v>
      </c>
      <c r="C50" s="1528" t="s">
        <v>2629</v>
      </c>
      <c r="D50" s="230" t="s">
        <v>2580</v>
      </c>
      <c r="E50" s="230">
        <v>114000</v>
      </c>
      <c r="F50" s="230">
        <v>40400</v>
      </c>
      <c r="H50" s="230">
        <v>154400</v>
      </c>
    </row>
    <row r="51" spans="1:8">
      <c r="A51" s="230">
        <v>49</v>
      </c>
      <c r="C51" s="1528" t="s">
        <v>2630</v>
      </c>
      <c r="D51" s="230" t="s">
        <v>2578</v>
      </c>
      <c r="E51" s="230">
        <v>10500</v>
      </c>
      <c r="H51" s="230">
        <v>10500</v>
      </c>
    </row>
    <row r="52" spans="1:8">
      <c r="A52" s="230">
        <v>50</v>
      </c>
      <c r="C52" s="1528" t="s">
        <v>2631</v>
      </c>
      <c r="D52" s="230" t="s">
        <v>2632</v>
      </c>
      <c r="E52" s="230">
        <v>40400</v>
      </c>
      <c r="G52" s="230">
        <v>40400</v>
      </c>
      <c r="H52" s="230">
        <v>0</v>
      </c>
    </row>
    <row r="53" spans="1:8">
      <c r="A53" s="230">
        <v>51</v>
      </c>
      <c r="C53" s="1528" t="s">
        <v>2633</v>
      </c>
      <c r="D53" s="230" t="s">
        <v>2634</v>
      </c>
      <c r="E53" s="230">
        <v>1400</v>
      </c>
      <c r="H53" s="230">
        <v>1400</v>
      </c>
    </row>
    <row r="54" spans="1:8">
      <c r="A54" s="230">
        <v>52</v>
      </c>
      <c r="C54" s="1528" t="s">
        <v>2635</v>
      </c>
      <c r="D54" s="230" t="s">
        <v>2636</v>
      </c>
      <c r="E54" s="230">
        <v>0</v>
      </c>
      <c r="F54" s="230">
        <v>500</v>
      </c>
      <c r="H54" s="230">
        <v>500</v>
      </c>
    </row>
    <row r="55" spans="1:8">
      <c r="A55" s="230">
        <v>53</v>
      </c>
      <c r="C55" s="1528" t="s">
        <v>2637</v>
      </c>
      <c r="D55" s="230" t="s">
        <v>2638</v>
      </c>
      <c r="E55" s="230">
        <v>500</v>
      </c>
      <c r="H55" s="230">
        <v>500</v>
      </c>
    </row>
    <row r="56" spans="1:8">
      <c r="A56" s="230">
        <v>54</v>
      </c>
      <c r="C56" s="1528" t="s">
        <v>2639</v>
      </c>
      <c r="D56" s="230" t="s">
        <v>2640</v>
      </c>
      <c r="E56" s="230">
        <v>77900</v>
      </c>
      <c r="H56" s="230">
        <v>77900</v>
      </c>
    </row>
    <row r="57" spans="1:8">
      <c r="A57" s="230">
        <v>55</v>
      </c>
      <c r="C57" s="1528" t="s">
        <v>2641</v>
      </c>
      <c r="D57" s="230" t="s">
        <v>2642</v>
      </c>
      <c r="E57" s="230">
        <v>128250</v>
      </c>
      <c r="H57" s="230">
        <v>128250</v>
      </c>
    </row>
    <row r="58" spans="1:8">
      <c r="A58" s="230">
        <v>56</v>
      </c>
      <c r="C58" s="1528" t="s">
        <v>2643</v>
      </c>
      <c r="D58" s="230" t="s">
        <v>2644</v>
      </c>
      <c r="E58" s="230">
        <v>0</v>
      </c>
      <c r="F58" s="230">
        <v>1700</v>
      </c>
      <c r="H58" s="230">
        <v>1700</v>
      </c>
    </row>
    <row r="59" spans="1:8">
      <c r="A59" s="230">
        <v>57</v>
      </c>
      <c r="C59" s="1528" t="s">
        <v>2645</v>
      </c>
      <c r="D59" s="230" t="s">
        <v>2646</v>
      </c>
      <c r="E59" s="230">
        <v>0</v>
      </c>
      <c r="F59" s="230">
        <v>500</v>
      </c>
      <c r="H59" s="230">
        <v>500</v>
      </c>
    </row>
    <row r="60" spans="1:8">
      <c r="A60" s="230">
        <v>58</v>
      </c>
      <c r="C60" s="1528" t="s">
        <v>2647</v>
      </c>
      <c r="D60" s="230" t="s">
        <v>2648</v>
      </c>
      <c r="E60" s="230">
        <v>28462</v>
      </c>
      <c r="H60" s="230">
        <v>28462</v>
      </c>
    </row>
    <row r="61" spans="1:8">
      <c r="A61" s="230">
        <v>59</v>
      </c>
      <c r="C61" s="1528" t="s">
        <v>2649</v>
      </c>
      <c r="D61" s="230" t="s">
        <v>2650</v>
      </c>
      <c r="E61" s="230">
        <v>25265</v>
      </c>
      <c r="H61" s="230">
        <v>25265</v>
      </c>
    </row>
    <row r="62" spans="1:8">
      <c r="A62" s="230">
        <v>60</v>
      </c>
      <c r="C62" s="1528" t="s">
        <v>2651</v>
      </c>
      <c r="D62" s="230" t="s">
        <v>2652</v>
      </c>
      <c r="E62" s="230">
        <v>35770</v>
      </c>
      <c r="H62" s="230">
        <v>35770</v>
      </c>
    </row>
    <row r="63" spans="1:8">
      <c r="A63" s="230">
        <v>61</v>
      </c>
      <c r="C63" s="1528" t="s">
        <v>2653</v>
      </c>
      <c r="D63" s="230" t="s">
        <v>2654</v>
      </c>
      <c r="E63" s="230">
        <v>29095</v>
      </c>
      <c r="H63" s="230">
        <v>29095</v>
      </c>
    </row>
    <row r="64" spans="1:8">
      <c r="A64" s="230">
        <v>62</v>
      </c>
      <c r="C64" s="1528" t="s">
        <v>2655</v>
      </c>
      <c r="D64" s="230" t="s">
        <v>2656</v>
      </c>
      <c r="E64" s="230">
        <v>3300</v>
      </c>
      <c r="H64" s="230">
        <v>3300</v>
      </c>
    </row>
    <row r="65" spans="1:8">
      <c r="A65" s="230">
        <v>63</v>
      </c>
      <c r="C65" s="1528" t="s">
        <v>2657</v>
      </c>
      <c r="D65" s="230" t="s">
        <v>2658</v>
      </c>
      <c r="E65" s="230">
        <v>575</v>
      </c>
      <c r="H65" s="230">
        <v>575</v>
      </c>
    </row>
    <row r="66" spans="1:8">
      <c r="A66" s="230">
        <v>64</v>
      </c>
      <c r="C66" s="1528" t="s">
        <v>2659</v>
      </c>
      <c r="D66" s="230" t="s">
        <v>2660</v>
      </c>
      <c r="E66" s="230">
        <v>1800</v>
      </c>
      <c r="H66" s="230">
        <v>1800</v>
      </c>
    </row>
    <row r="67" spans="1:8">
      <c r="A67" s="230">
        <v>65</v>
      </c>
      <c r="C67" s="1528" t="s">
        <v>2661</v>
      </c>
      <c r="D67" s="230" t="s">
        <v>2662</v>
      </c>
      <c r="E67" s="230">
        <v>1000</v>
      </c>
      <c r="H67" s="230">
        <v>1000</v>
      </c>
    </row>
    <row r="68" spans="1:8">
      <c r="A68" s="230">
        <v>66</v>
      </c>
      <c r="C68" s="1528" t="s">
        <v>2663</v>
      </c>
      <c r="D68" s="230" t="s">
        <v>2664</v>
      </c>
      <c r="E68" s="230">
        <v>1000</v>
      </c>
      <c r="H68" s="230">
        <v>1000</v>
      </c>
    </row>
    <row r="69" spans="1:8">
      <c r="A69" s="230">
        <v>67</v>
      </c>
      <c r="C69" s="1528" t="s">
        <v>2665</v>
      </c>
      <c r="D69" s="230" t="s">
        <v>2666</v>
      </c>
      <c r="E69" s="230">
        <v>800</v>
      </c>
      <c r="H69" s="230">
        <v>800</v>
      </c>
    </row>
    <row r="70" spans="1:8">
      <c r="A70" s="230">
        <v>68</v>
      </c>
      <c r="C70" s="1528" t="s">
        <v>2667</v>
      </c>
      <c r="D70" s="230" t="s">
        <v>2668</v>
      </c>
      <c r="E70" s="230">
        <v>0</v>
      </c>
      <c r="F70" s="230">
        <v>4200</v>
      </c>
      <c r="H70" s="230">
        <v>4200</v>
      </c>
    </row>
    <row r="71" spans="1:8">
      <c r="A71" s="230">
        <v>69</v>
      </c>
      <c r="C71" s="1528" t="s">
        <v>2669</v>
      </c>
      <c r="D71" s="230" t="s">
        <v>2670</v>
      </c>
      <c r="E71" s="230">
        <v>2000</v>
      </c>
      <c r="H71" s="230">
        <v>2000</v>
      </c>
    </row>
    <row r="72" spans="1:8">
      <c r="A72" s="230">
        <v>70</v>
      </c>
      <c r="C72" s="1528" t="s">
        <v>2671</v>
      </c>
      <c r="D72" s="230" t="s">
        <v>2672</v>
      </c>
      <c r="E72" s="230">
        <v>400</v>
      </c>
      <c r="H72" s="230">
        <v>400</v>
      </c>
    </row>
    <row r="73" spans="1:8">
      <c r="A73" s="230">
        <v>71</v>
      </c>
      <c r="C73" s="1528" t="s">
        <v>2673</v>
      </c>
      <c r="D73" s="230" t="s">
        <v>2674</v>
      </c>
      <c r="E73" s="230">
        <v>600</v>
      </c>
      <c r="H73" s="230">
        <v>600</v>
      </c>
    </row>
    <row r="74" spans="1:8">
      <c r="A74" s="230">
        <v>72</v>
      </c>
      <c r="C74" s="1528" t="s">
        <v>2675</v>
      </c>
      <c r="D74" s="230" t="s">
        <v>2676</v>
      </c>
      <c r="E74" s="230">
        <v>500</v>
      </c>
      <c r="H74" s="230">
        <v>500</v>
      </c>
    </row>
    <row r="75" spans="1:8">
      <c r="A75" s="230">
        <v>73</v>
      </c>
      <c r="C75" s="1528" t="s">
        <v>2677</v>
      </c>
      <c r="D75" s="230" t="s">
        <v>2678</v>
      </c>
      <c r="E75" s="230">
        <v>500</v>
      </c>
      <c r="H75" s="230">
        <v>500</v>
      </c>
    </row>
    <row r="76" spans="1:8">
      <c r="A76" s="230">
        <v>74</v>
      </c>
      <c r="C76" s="1528" t="s">
        <v>2679</v>
      </c>
      <c r="D76" s="230" t="s">
        <v>2680</v>
      </c>
      <c r="E76" s="230">
        <v>2500</v>
      </c>
      <c r="H76" s="230">
        <v>2500</v>
      </c>
    </row>
    <row r="77" spans="1:8">
      <c r="A77" s="230">
        <v>75</v>
      </c>
      <c r="C77" s="1528" t="s">
        <v>2681</v>
      </c>
      <c r="D77" s="230" t="s">
        <v>2682</v>
      </c>
      <c r="E77" s="230">
        <v>2500</v>
      </c>
      <c r="H77" s="230">
        <v>2500</v>
      </c>
    </row>
    <row r="78" spans="1:8">
      <c r="A78" s="230">
        <v>76</v>
      </c>
      <c r="C78" s="1528" t="s">
        <v>2683</v>
      </c>
      <c r="D78" s="230" t="s">
        <v>2684</v>
      </c>
      <c r="E78" s="230">
        <v>1000</v>
      </c>
      <c r="H78" s="230">
        <v>1000</v>
      </c>
    </row>
    <row r="79" spans="1:8">
      <c r="A79" s="230">
        <v>77</v>
      </c>
      <c r="C79" s="1528" t="s">
        <v>2685</v>
      </c>
      <c r="D79" s="230" t="s">
        <v>2686</v>
      </c>
      <c r="E79" s="230">
        <v>4200</v>
      </c>
      <c r="H79" s="230">
        <v>4200</v>
      </c>
    </row>
    <row r="80" spans="1:8">
      <c r="A80" s="230">
        <v>78</v>
      </c>
      <c r="C80" s="1528" t="s">
        <v>2687</v>
      </c>
      <c r="D80" s="230" t="s">
        <v>2688</v>
      </c>
      <c r="E80" s="230">
        <v>1000</v>
      </c>
      <c r="H80" s="230">
        <v>1000</v>
      </c>
    </row>
    <row r="81" spans="1:8">
      <c r="A81" s="230">
        <v>79</v>
      </c>
      <c r="C81" s="1528" t="s">
        <v>2689</v>
      </c>
      <c r="D81" s="230" t="s">
        <v>2690</v>
      </c>
      <c r="E81" s="230">
        <v>1000</v>
      </c>
      <c r="H81" s="230">
        <v>1000</v>
      </c>
    </row>
    <row r="82" spans="1:8">
      <c r="A82" s="230">
        <v>80</v>
      </c>
      <c r="C82" s="1528" t="s">
        <v>2691</v>
      </c>
      <c r="D82" s="230" t="s">
        <v>2692</v>
      </c>
      <c r="E82" s="230">
        <v>500</v>
      </c>
      <c r="H82" s="230">
        <v>500</v>
      </c>
    </row>
    <row r="83" spans="1:8">
      <c r="A83" s="230">
        <v>81</v>
      </c>
      <c r="C83" s="1528" t="s">
        <v>2693</v>
      </c>
      <c r="D83" s="230" t="s">
        <v>2694</v>
      </c>
      <c r="E83" s="230">
        <v>1000</v>
      </c>
      <c r="H83" s="230">
        <v>1000</v>
      </c>
    </row>
    <row r="84" spans="1:8">
      <c r="A84" s="230">
        <v>82</v>
      </c>
      <c r="C84" s="1528" t="s">
        <v>2695</v>
      </c>
      <c r="D84" s="230" t="s">
        <v>2696</v>
      </c>
      <c r="E84" s="230">
        <v>500</v>
      </c>
      <c r="H84" s="230">
        <v>500</v>
      </c>
    </row>
    <row r="85" spans="1:8">
      <c r="A85" s="230">
        <v>83</v>
      </c>
      <c r="C85" s="1528" t="s">
        <v>2697</v>
      </c>
      <c r="D85" s="230" t="s">
        <v>2698</v>
      </c>
      <c r="E85" s="230">
        <v>3000</v>
      </c>
      <c r="H85" s="230">
        <v>3000</v>
      </c>
    </row>
    <row r="86" spans="1:8">
      <c r="A86" s="230">
        <v>84</v>
      </c>
      <c r="C86" s="1528" t="s">
        <v>2699</v>
      </c>
      <c r="D86" s="230" t="s">
        <v>2698</v>
      </c>
      <c r="E86" s="230">
        <v>12600</v>
      </c>
      <c r="H86" s="230">
        <v>12600</v>
      </c>
    </row>
    <row r="87" spans="1:8">
      <c r="A87" s="230">
        <v>85</v>
      </c>
      <c r="C87" s="1528" t="s">
        <v>2700</v>
      </c>
      <c r="D87" s="230" t="s">
        <v>2701</v>
      </c>
      <c r="E87" s="230">
        <v>1000</v>
      </c>
      <c r="H87" s="230">
        <v>1000</v>
      </c>
    </row>
    <row r="88" spans="1:8">
      <c r="A88" s="230">
        <v>86</v>
      </c>
      <c r="C88" s="1528" t="s">
        <v>2702</v>
      </c>
      <c r="D88" s="230" t="s">
        <v>2703</v>
      </c>
      <c r="E88" s="230">
        <v>1000</v>
      </c>
      <c r="H88" s="230">
        <v>1000</v>
      </c>
    </row>
    <row r="89" spans="1:8">
      <c r="A89" s="230">
        <v>87</v>
      </c>
      <c r="C89" s="1528" t="s">
        <v>2704</v>
      </c>
      <c r="D89" s="230" t="s">
        <v>2705</v>
      </c>
      <c r="E89" s="230">
        <v>500</v>
      </c>
      <c r="H89" s="230">
        <v>500</v>
      </c>
    </row>
    <row r="90" spans="1:8">
      <c r="A90" s="230">
        <v>88</v>
      </c>
      <c r="C90" s="1528" t="s">
        <v>2706</v>
      </c>
      <c r="D90" s="230" t="s">
        <v>2707</v>
      </c>
      <c r="E90" s="230">
        <v>1000</v>
      </c>
      <c r="H90" s="230">
        <v>1000</v>
      </c>
    </row>
    <row r="91" spans="1:8">
      <c r="A91" s="230">
        <v>89</v>
      </c>
      <c r="C91" s="1528" t="s">
        <v>2708</v>
      </c>
      <c r="D91" s="230" t="s">
        <v>2709</v>
      </c>
      <c r="E91" s="230">
        <v>1000</v>
      </c>
      <c r="H91" s="230">
        <v>1000</v>
      </c>
    </row>
    <row r="92" spans="1:8">
      <c r="A92" s="230">
        <v>90</v>
      </c>
      <c r="C92" s="1528" t="s">
        <v>2710</v>
      </c>
      <c r="D92" s="230" t="s">
        <v>2711</v>
      </c>
      <c r="E92" s="230">
        <v>1700</v>
      </c>
      <c r="H92" s="230">
        <v>1700</v>
      </c>
    </row>
    <row r="93" spans="1:8">
      <c r="A93" s="230">
        <v>91</v>
      </c>
      <c r="C93" s="1528" t="s">
        <v>2712</v>
      </c>
      <c r="D93" s="230" t="s">
        <v>2713</v>
      </c>
      <c r="E93" s="230">
        <v>1700</v>
      </c>
      <c r="H93" s="230">
        <v>1700</v>
      </c>
    </row>
    <row r="94" spans="1:8">
      <c r="A94" s="230">
        <v>92</v>
      </c>
      <c r="C94" s="1528" t="s">
        <v>2714</v>
      </c>
      <c r="D94" s="230" t="s">
        <v>2715</v>
      </c>
      <c r="E94" s="230">
        <v>1000</v>
      </c>
      <c r="H94" s="230">
        <v>1000</v>
      </c>
    </row>
    <row r="95" spans="1:8">
      <c r="A95" s="230">
        <v>93</v>
      </c>
      <c r="C95" s="1528" t="s">
        <v>2716</v>
      </c>
      <c r="D95" s="230" t="s">
        <v>2717</v>
      </c>
      <c r="E95" s="230">
        <v>1000</v>
      </c>
      <c r="H95" s="230">
        <v>1000</v>
      </c>
    </row>
    <row r="96" spans="1:8">
      <c r="A96" s="230">
        <v>94</v>
      </c>
      <c r="C96" s="1528" t="s">
        <v>2718</v>
      </c>
      <c r="D96" s="230" t="s">
        <v>2719</v>
      </c>
      <c r="E96" s="230">
        <v>500</v>
      </c>
      <c r="H96" s="230">
        <v>500</v>
      </c>
    </row>
    <row r="97" spans="1:8">
      <c r="A97" s="230">
        <v>95</v>
      </c>
      <c r="C97" s="1528" t="s">
        <v>2720</v>
      </c>
      <c r="D97" s="230" t="s">
        <v>2721</v>
      </c>
      <c r="E97" s="230">
        <v>1000</v>
      </c>
      <c r="H97" s="230">
        <v>1000</v>
      </c>
    </row>
    <row r="98" spans="1:8">
      <c r="A98" s="230">
        <v>96</v>
      </c>
      <c r="C98" s="1528" t="s">
        <v>2722</v>
      </c>
      <c r="D98" s="230" t="s">
        <v>2723</v>
      </c>
      <c r="E98" s="230">
        <v>1700</v>
      </c>
      <c r="H98" s="230">
        <v>1700</v>
      </c>
    </row>
    <row r="99" spans="1:8">
      <c r="A99" s="230">
        <v>97</v>
      </c>
      <c r="C99" s="1528" t="s">
        <v>2724</v>
      </c>
      <c r="D99" s="230" t="s">
        <v>2725</v>
      </c>
      <c r="E99" s="230">
        <v>1000</v>
      </c>
      <c r="H99" s="230">
        <v>1000</v>
      </c>
    </row>
    <row r="100" spans="1:8">
      <c r="A100" s="230">
        <v>98</v>
      </c>
      <c r="C100" s="1528" t="s">
        <v>2726</v>
      </c>
      <c r="D100" s="230" t="s">
        <v>2727</v>
      </c>
      <c r="E100" s="230">
        <v>500</v>
      </c>
      <c r="H100" s="230">
        <v>500</v>
      </c>
    </row>
    <row r="101" spans="1:8">
      <c r="A101" s="230">
        <v>99</v>
      </c>
      <c r="C101" s="1528" t="s">
        <v>2728</v>
      </c>
      <c r="D101" s="230" t="s">
        <v>2729</v>
      </c>
      <c r="E101" s="230">
        <v>1000</v>
      </c>
      <c r="H101" s="230">
        <v>1000</v>
      </c>
    </row>
    <row r="102" spans="1:8">
      <c r="A102" s="230">
        <v>100</v>
      </c>
      <c r="C102" s="1528" t="s">
        <v>2730</v>
      </c>
      <c r="D102" s="230" t="s">
        <v>2731</v>
      </c>
      <c r="E102" s="230">
        <v>1000</v>
      </c>
      <c r="H102" s="230">
        <v>1000</v>
      </c>
    </row>
    <row r="103" spans="1:8">
      <c r="A103" s="230">
        <v>101</v>
      </c>
      <c r="C103" s="1528" t="s">
        <v>2732</v>
      </c>
      <c r="D103" s="230" t="s">
        <v>2733</v>
      </c>
      <c r="E103" s="230">
        <v>1000</v>
      </c>
      <c r="H103" s="230">
        <v>1000</v>
      </c>
    </row>
    <row r="104" spans="1:8">
      <c r="A104" s="230">
        <v>102</v>
      </c>
      <c r="C104" s="1528" t="s">
        <v>2734</v>
      </c>
      <c r="D104" s="230" t="s">
        <v>2735</v>
      </c>
      <c r="E104" s="230">
        <v>1700</v>
      </c>
      <c r="H104" s="230">
        <v>1700</v>
      </c>
    </row>
    <row r="105" spans="1:8">
      <c r="A105" s="230">
        <v>103</v>
      </c>
      <c r="C105" s="1528" t="s">
        <v>2736</v>
      </c>
      <c r="D105" s="230" t="s">
        <v>2737</v>
      </c>
      <c r="E105" s="230">
        <v>300</v>
      </c>
      <c r="H105" s="230">
        <v>300</v>
      </c>
    </row>
    <row r="106" spans="1:8">
      <c r="A106" s="230">
        <v>104</v>
      </c>
      <c r="C106" s="1528" t="s">
        <v>2738</v>
      </c>
      <c r="D106" s="230" t="s">
        <v>2739</v>
      </c>
      <c r="E106" s="230">
        <v>5000</v>
      </c>
      <c r="H106" s="230">
        <v>5000</v>
      </c>
    </row>
    <row r="107" spans="1:8">
      <c r="A107" s="230">
        <v>105</v>
      </c>
      <c r="C107" s="1528" t="s">
        <v>2740</v>
      </c>
      <c r="D107" s="230" t="s">
        <v>2741</v>
      </c>
      <c r="E107" s="230">
        <v>1000</v>
      </c>
      <c r="H107" s="230">
        <v>1000</v>
      </c>
    </row>
    <row r="108" spans="1:8">
      <c r="A108" s="230">
        <v>106</v>
      </c>
      <c r="C108" s="1528" t="s">
        <v>2742</v>
      </c>
      <c r="D108" s="230" t="s">
        <v>2743</v>
      </c>
      <c r="E108" s="230">
        <v>500</v>
      </c>
      <c r="H108" s="230">
        <v>500</v>
      </c>
    </row>
    <row r="109" spans="1:8">
      <c r="A109" s="230">
        <v>107</v>
      </c>
      <c r="C109" s="1528" t="s">
        <v>2744</v>
      </c>
      <c r="D109" s="230" t="s">
        <v>2745</v>
      </c>
      <c r="E109" s="230">
        <v>500</v>
      </c>
      <c r="H109" s="230">
        <v>500</v>
      </c>
    </row>
    <row r="110" spans="1:8">
      <c r="A110" s="230">
        <v>108</v>
      </c>
      <c r="C110" s="1528" t="s">
        <v>2746</v>
      </c>
      <c r="D110" s="230" t="s">
        <v>2747</v>
      </c>
      <c r="E110" s="230">
        <v>1000</v>
      </c>
      <c r="H110" s="230">
        <v>1000</v>
      </c>
    </row>
    <row r="111" spans="1:8">
      <c r="A111" s="230">
        <v>109</v>
      </c>
      <c r="C111" s="1528" t="s">
        <v>2748</v>
      </c>
      <c r="D111" s="230" t="s">
        <v>2749</v>
      </c>
      <c r="E111" s="230">
        <v>3000</v>
      </c>
      <c r="H111" s="230">
        <v>3000</v>
      </c>
    </row>
    <row r="112" spans="1:8">
      <c r="A112" s="230">
        <v>110</v>
      </c>
      <c r="C112" s="1528" t="s">
        <v>2750</v>
      </c>
      <c r="D112" s="230" t="s">
        <v>2739</v>
      </c>
      <c r="E112" s="230">
        <v>1000</v>
      </c>
      <c r="H112" s="230">
        <v>1000</v>
      </c>
    </row>
    <row r="113" spans="1:8">
      <c r="A113" s="230">
        <v>111</v>
      </c>
      <c r="C113" s="1528" t="s">
        <v>2751</v>
      </c>
      <c r="D113" s="230" t="s">
        <v>2752</v>
      </c>
      <c r="E113" s="230">
        <v>1000</v>
      </c>
      <c r="H113" s="230">
        <v>1000</v>
      </c>
    </row>
    <row r="114" spans="1:8">
      <c r="A114" s="230">
        <v>112</v>
      </c>
      <c r="C114" s="1528" t="s">
        <v>2753</v>
      </c>
      <c r="D114" s="230" t="s">
        <v>2754</v>
      </c>
      <c r="E114" s="230">
        <v>1000</v>
      </c>
      <c r="H114" s="230">
        <v>1000</v>
      </c>
    </row>
    <row r="115" spans="1:8">
      <c r="A115" s="230">
        <v>113</v>
      </c>
      <c r="C115" s="1528" t="s">
        <v>2755</v>
      </c>
      <c r="D115" s="230" t="s">
        <v>2756</v>
      </c>
      <c r="E115" s="230">
        <v>6900</v>
      </c>
      <c r="H115" s="230">
        <v>6900</v>
      </c>
    </row>
    <row r="116" spans="1:8">
      <c r="A116" s="230">
        <v>114</v>
      </c>
      <c r="C116" s="1528" t="s">
        <v>2757</v>
      </c>
      <c r="D116" s="230" t="s">
        <v>2758</v>
      </c>
      <c r="E116" s="230">
        <v>600</v>
      </c>
      <c r="H116" s="230">
        <v>600</v>
      </c>
    </row>
    <row r="117" spans="1:8">
      <c r="A117" s="230">
        <v>115</v>
      </c>
      <c r="C117" s="1528" t="s">
        <v>2759</v>
      </c>
      <c r="D117" s="230" t="s">
        <v>2760</v>
      </c>
      <c r="E117" s="230">
        <v>1700</v>
      </c>
      <c r="H117" s="230">
        <v>1700</v>
      </c>
    </row>
    <row r="118" spans="1:8">
      <c r="A118" s="230">
        <v>116</v>
      </c>
      <c r="C118" s="1528" t="s">
        <v>2761</v>
      </c>
      <c r="D118" s="230" t="s">
        <v>2762</v>
      </c>
      <c r="E118" s="230">
        <v>500</v>
      </c>
      <c r="H118" s="230">
        <v>500</v>
      </c>
    </row>
    <row r="119" spans="1:8">
      <c r="A119" s="230">
        <v>117</v>
      </c>
      <c r="C119" s="1528" t="s">
        <v>2763</v>
      </c>
      <c r="D119" s="230" t="s">
        <v>2764</v>
      </c>
      <c r="E119" s="230">
        <v>1000</v>
      </c>
      <c r="H119" s="230">
        <v>1000</v>
      </c>
    </row>
    <row r="120" spans="1:8">
      <c r="A120" s="230">
        <v>118</v>
      </c>
      <c r="C120" s="1528" t="s">
        <v>2765</v>
      </c>
      <c r="D120" s="230" t="s">
        <v>2766</v>
      </c>
      <c r="E120" s="230">
        <v>1000</v>
      </c>
      <c r="H120" s="230">
        <v>1000</v>
      </c>
    </row>
    <row r="121" spans="1:8">
      <c r="A121" s="230">
        <v>119</v>
      </c>
      <c r="C121" s="1528" t="s">
        <v>2767</v>
      </c>
      <c r="D121" s="230" t="s">
        <v>2768</v>
      </c>
      <c r="E121" s="230">
        <v>500</v>
      </c>
      <c r="H121" s="230">
        <v>500</v>
      </c>
    </row>
    <row r="122" spans="1:8">
      <c r="A122" s="230">
        <v>120</v>
      </c>
      <c r="C122" s="1528" t="s">
        <v>2769</v>
      </c>
      <c r="D122" s="230" t="s">
        <v>2770</v>
      </c>
      <c r="E122" s="230">
        <v>1000</v>
      </c>
      <c r="H122" s="230">
        <v>1000</v>
      </c>
    </row>
    <row r="123" spans="1:8">
      <c r="A123" s="230">
        <v>121</v>
      </c>
      <c r="C123" s="1528" t="s">
        <v>2771</v>
      </c>
      <c r="D123" s="230" t="s">
        <v>2772</v>
      </c>
      <c r="E123" s="230">
        <v>400</v>
      </c>
      <c r="H123" s="230">
        <v>400</v>
      </c>
    </row>
    <row r="124" spans="1:8">
      <c r="A124" s="230">
        <v>122</v>
      </c>
      <c r="C124" s="1528" t="s">
        <v>2773</v>
      </c>
      <c r="D124" s="230" t="s">
        <v>2774</v>
      </c>
      <c r="E124" s="230">
        <v>2500</v>
      </c>
      <c r="H124" s="230">
        <v>2500</v>
      </c>
    </row>
    <row r="125" spans="1:8">
      <c r="A125" s="230">
        <v>123</v>
      </c>
      <c r="C125" s="1528" t="s">
        <v>2775</v>
      </c>
      <c r="D125" s="230" t="s">
        <v>2776</v>
      </c>
      <c r="E125" s="230">
        <v>500</v>
      </c>
      <c r="G125" s="230">
        <v>500</v>
      </c>
      <c r="H125" s="230">
        <v>0</v>
      </c>
    </row>
    <row r="126" spans="1:8">
      <c r="A126" s="230">
        <v>124</v>
      </c>
      <c r="C126" s="1528" t="s">
        <v>2777</v>
      </c>
      <c r="D126" s="230" t="s">
        <v>2778</v>
      </c>
      <c r="E126" s="230">
        <v>500</v>
      </c>
      <c r="H126" s="230">
        <v>500</v>
      </c>
    </row>
    <row r="127" spans="1:8">
      <c r="A127" s="230">
        <v>125</v>
      </c>
      <c r="C127" s="1528" t="s">
        <v>2779</v>
      </c>
      <c r="D127" s="230" t="s">
        <v>2780</v>
      </c>
      <c r="E127" s="230">
        <v>1000</v>
      </c>
      <c r="H127" s="230">
        <v>1000</v>
      </c>
    </row>
    <row r="128" spans="1:8">
      <c r="A128" s="230">
        <v>126</v>
      </c>
      <c r="C128" s="1528" t="s">
        <v>2781</v>
      </c>
      <c r="D128" s="230" t="s">
        <v>2782</v>
      </c>
      <c r="E128" s="230">
        <v>500</v>
      </c>
      <c r="H128" s="230">
        <v>500</v>
      </c>
    </row>
    <row r="129" spans="1:8">
      <c r="A129" s="230">
        <v>127</v>
      </c>
      <c r="C129" s="1528" t="s">
        <v>2783</v>
      </c>
      <c r="D129" s="230" t="s">
        <v>2784</v>
      </c>
      <c r="E129" s="230">
        <v>1700</v>
      </c>
      <c r="H129" s="230">
        <v>1700</v>
      </c>
    </row>
    <row r="130" spans="1:8">
      <c r="A130" s="230">
        <v>128</v>
      </c>
      <c r="C130" s="1528" t="s">
        <v>2785</v>
      </c>
      <c r="D130" s="230" t="s">
        <v>2786</v>
      </c>
      <c r="E130" s="230">
        <v>1000</v>
      </c>
      <c r="H130" s="230">
        <v>1000</v>
      </c>
    </row>
    <row r="131" spans="1:8">
      <c r="A131" s="230">
        <v>129</v>
      </c>
      <c r="C131" s="1528" t="s">
        <v>2787</v>
      </c>
      <c r="D131" s="230" t="s">
        <v>2788</v>
      </c>
      <c r="E131" s="230">
        <v>1000</v>
      </c>
      <c r="H131" s="230">
        <v>1000</v>
      </c>
    </row>
    <row r="132" spans="1:8">
      <c r="A132" s="230">
        <v>130</v>
      </c>
      <c r="C132" s="1528" t="s">
        <v>2789</v>
      </c>
      <c r="D132" s="230" t="s">
        <v>2790</v>
      </c>
      <c r="E132" s="230">
        <v>500</v>
      </c>
      <c r="H132" s="230">
        <v>500</v>
      </c>
    </row>
    <row r="133" spans="1:8">
      <c r="A133" s="230">
        <v>131</v>
      </c>
      <c r="C133" s="1528" t="s">
        <v>2791</v>
      </c>
      <c r="D133" s="230" t="s">
        <v>2792</v>
      </c>
      <c r="E133" s="230">
        <v>2500</v>
      </c>
      <c r="H133" s="230">
        <v>2500</v>
      </c>
    </row>
    <row r="134" spans="1:8">
      <c r="A134" s="230">
        <v>132</v>
      </c>
      <c r="C134" s="1528" t="s">
        <v>2793</v>
      </c>
      <c r="D134" s="230" t="s">
        <v>2794</v>
      </c>
      <c r="E134" s="230">
        <v>500</v>
      </c>
      <c r="H134" s="230">
        <v>500</v>
      </c>
    </row>
    <row r="135" spans="1:8">
      <c r="A135" s="230">
        <v>133</v>
      </c>
      <c r="C135" s="1528" t="s">
        <v>2795</v>
      </c>
      <c r="D135" s="230" t="s">
        <v>2796</v>
      </c>
      <c r="E135" s="230">
        <v>4200</v>
      </c>
      <c r="G135" s="230">
        <v>4200</v>
      </c>
      <c r="H135" s="230">
        <v>0</v>
      </c>
    </row>
    <row r="136" spans="1:8">
      <c r="A136" s="230">
        <v>134</v>
      </c>
      <c r="C136" s="1528" t="s">
        <v>2797</v>
      </c>
      <c r="D136" s="230" t="s">
        <v>2798</v>
      </c>
      <c r="E136" s="230">
        <v>1150</v>
      </c>
      <c r="H136" s="230">
        <v>1150</v>
      </c>
    </row>
    <row r="137" spans="1:8">
      <c r="A137" s="230">
        <v>135</v>
      </c>
      <c r="C137" s="1528" t="s">
        <v>2799</v>
      </c>
      <c r="D137" s="230" t="s">
        <v>2800</v>
      </c>
      <c r="E137" s="230">
        <v>1000</v>
      </c>
      <c r="H137" s="230">
        <v>1000</v>
      </c>
    </row>
    <row r="138" spans="1:8">
      <c r="A138" s="230">
        <v>136</v>
      </c>
      <c r="C138" s="1528" t="s">
        <v>2801</v>
      </c>
      <c r="D138" s="230" t="s">
        <v>2802</v>
      </c>
      <c r="E138" s="230">
        <v>500</v>
      </c>
      <c r="H138" s="230">
        <v>500</v>
      </c>
    </row>
    <row r="139" spans="1:8">
      <c r="A139" s="230">
        <v>137</v>
      </c>
      <c r="C139" s="1528" t="s">
        <v>2803</v>
      </c>
      <c r="D139" s="230" t="s">
        <v>2804</v>
      </c>
      <c r="E139" s="230">
        <v>1000</v>
      </c>
      <c r="H139" s="230">
        <v>1000</v>
      </c>
    </row>
    <row r="140" spans="1:8">
      <c r="A140" s="230">
        <v>138</v>
      </c>
      <c r="C140" s="1528" t="s">
        <v>2805</v>
      </c>
      <c r="D140" s="230" t="s">
        <v>2806</v>
      </c>
      <c r="E140" s="230">
        <v>500</v>
      </c>
      <c r="H140" s="230">
        <v>500</v>
      </c>
    </row>
    <row r="141" spans="1:8">
      <c r="A141" s="230">
        <v>139</v>
      </c>
      <c r="C141" s="1528" t="s">
        <v>2807</v>
      </c>
      <c r="D141" s="230" t="s">
        <v>2808</v>
      </c>
      <c r="E141" s="230">
        <v>500</v>
      </c>
      <c r="H141" s="230">
        <v>500</v>
      </c>
    </row>
    <row r="142" spans="1:8">
      <c r="A142" s="230">
        <v>140</v>
      </c>
      <c r="C142" s="1528" t="s">
        <v>2809</v>
      </c>
      <c r="D142" s="230" t="s">
        <v>2810</v>
      </c>
      <c r="E142" s="230">
        <v>1000</v>
      </c>
      <c r="H142" s="230">
        <v>1000</v>
      </c>
    </row>
    <row r="143" spans="1:8">
      <c r="A143" s="230">
        <v>141</v>
      </c>
      <c r="C143" s="1528" t="s">
        <v>2811</v>
      </c>
      <c r="D143" s="230" t="s">
        <v>2812</v>
      </c>
      <c r="E143" s="230">
        <v>500</v>
      </c>
      <c r="H143" s="230">
        <v>500</v>
      </c>
    </row>
    <row r="144" spans="1:8">
      <c r="A144" s="230">
        <v>142</v>
      </c>
      <c r="C144" s="1528" t="s">
        <v>2813</v>
      </c>
      <c r="D144" s="230" t="s">
        <v>2814</v>
      </c>
      <c r="E144" s="230">
        <v>600</v>
      </c>
      <c r="H144" s="230">
        <v>600</v>
      </c>
    </row>
    <row r="145" spans="1:8">
      <c r="A145" s="230">
        <v>143</v>
      </c>
      <c r="C145" s="1528" t="s">
        <v>2815</v>
      </c>
      <c r="D145" s="230" t="s">
        <v>2816</v>
      </c>
      <c r="E145" s="230">
        <v>1000</v>
      </c>
      <c r="H145" s="230">
        <v>1000</v>
      </c>
    </row>
    <row r="146" spans="1:8">
      <c r="A146" s="230">
        <v>144</v>
      </c>
      <c r="C146" s="1528" t="s">
        <v>2817</v>
      </c>
      <c r="D146" s="230" t="s">
        <v>2818</v>
      </c>
      <c r="E146" s="230">
        <v>1000</v>
      </c>
      <c r="H146" s="230">
        <v>1000</v>
      </c>
    </row>
    <row r="147" spans="1:8">
      <c r="A147" s="230">
        <v>145</v>
      </c>
      <c r="C147" s="1528" t="s">
        <v>2819</v>
      </c>
      <c r="D147" s="230" t="s">
        <v>2820</v>
      </c>
      <c r="E147" s="230">
        <v>1700</v>
      </c>
      <c r="H147" s="230">
        <v>1700</v>
      </c>
    </row>
    <row r="148" spans="1:8">
      <c r="A148" s="230">
        <v>146</v>
      </c>
      <c r="C148" s="1528" t="s">
        <v>2821</v>
      </c>
      <c r="D148" s="230" t="s">
        <v>2822</v>
      </c>
      <c r="E148" s="230">
        <v>600</v>
      </c>
      <c r="H148" s="230">
        <v>600</v>
      </c>
    </row>
    <row r="149" spans="1:8">
      <c r="A149" s="230">
        <v>147</v>
      </c>
      <c r="C149" s="1528" t="s">
        <v>2823</v>
      </c>
      <c r="D149" s="230" t="s">
        <v>2824</v>
      </c>
      <c r="E149" s="230">
        <v>500</v>
      </c>
      <c r="H149" s="230">
        <v>500</v>
      </c>
    </row>
    <row r="150" spans="1:8">
      <c r="A150" s="230">
        <v>148</v>
      </c>
      <c r="C150" s="1528" t="s">
        <v>2825</v>
      </c>
      <c r="D150" s="230" t="s">
        <v>2826</v>
      </c>
      <c r="E150" s="230">
        <v>500</v>
      </c>
      <c r="H150" s="230">
        <v>500</v>
      </c>
    </row>
    <row r="151" spans="1:8">
      <c r="A151" s="230">
        <v>149</v>
      </c>
      <c r="C151" s="1528" t="s">
        <v>2827</v>
      </c>
      <c r="D151" s="230" t="s">
        <v>2828</v>
      </c>
      <c r="E151" s="230">
        <v>1000</v>
      </c>
      <c r="H151" s="230">
        <v>1000</v>
      </c>
    </row>
    <row r="152" spans="1:8">
      <c r="A152" s="230">
        <v>150</v>
      </c>
      <c r="C152" s="1528" t="s">
        <v>2829</v>
      </c>
      <c r="D152" s="230" t="s">
        <v>2830</v>
      </c>
      <c r="E152" s="230">
        <v>1000</v>
      </c>
      <c r="H152" s="230">
        <v>1000</v>
      </c>
    </row>
    <row r="153" spans="1:8">
      <c r="A153" s="230">
        <v>151</v>
      </c>
      <c r="C153" s="1528" t="s">
        <v>2831</v>
      </c>
      <c r="D153" s="230" t="s">
        <v>2832</v>
      </c>
      <c r="E153" s="230">
        <v>1000</v>
      </c>
      <c r="H153" s="230">
        <v>1000</v>
      </c>
    </row>
    <row r="154" spans="1:8">
      <c r="A154" s="230">
        <v>152</v>
      </c>
      <c r="C154" s="1528" t="s">
        <v>2833</v>
      </c>
      <c r="D154" s="230" t="s">
        <v>2834</v>
      </c>
      <c r="E154" s="230">
        <v>500</v>
      </c>
      <c r="G154" s="230">
        <v>500</v>
      </c>
      <c r="H154" s="230">
        <v>0</v>
      </c>
    </row>
    <row r="155" spans="1:8">
      <c r="A155" s="230">
        <v>153</v>
      </c>
      <c r="C155" s="1528" t="s">
        <v>2835</v>
      </c>
      <c r="D155" s="230" t="s">
        <v>2836</v>
      </c>
      <c r="E155" s="230">
        <v>4200</v>
      </c>
      <c r="H155" s="230">
        <v>4200</v>
      </c>
    </row>
    <row r="156" spans="1:8">
      <c r="A156" s="230">
        <v>154</v>
      </c>
      <c r="C156" s="1528" t="s">
        <v>2837</v>
      </c>
      <c r="D156" s="230" t="s">
        <v>2838</v>
      </c>
      <c r="E156" s="230">
        <v>1000</v>
      </c>
      <c r="H156" s="230">
        <v>1000</v>
      </c>
    </row>
    <row r="157" spans="1:8">
      <c r="A157" s="230">
        <v>155</v>
      </c>
      <c r="C157" s="1528" t="s">
        <v>2839</v>
      </c>
      <c r="D157" s="230" t="s">
        <v>2840</v>
      </c>
      <c r="E157" s="230">
        <v>500</v>
      </c>
      <c r="H157" s="230">
        <v>500</v>
      </c>
    </row>
    <row r="158" spans="1:8">
      <c r="A158" s="230">
        <v>156</v>
      </c>
      <c r="C158" s="1528" t="s">
        <v>2841</v>
      </c>
      <c r="D158" s="230" t="s">
        <v>2842</v>
      </c>
      <c r="E158" s="230">
        <v>1000</v>
      </c>
      <c r="H158" s="230">
        <v>1000</v>
      </c>
    </row>
    <row r="159" spans="1:8">
      <c r="A159" s="230">
        <v>157</v>
      </c>
      <c r="C159" s="1528" t="s">
        <v>2843</v>
      </c>
      <c r="D159" s="230" t="s">
        <v>2844</v>
      </c>
      <c r="E159" s="230">
        <v>2500</v>
      </c>
      <c r="H159" s="230">
        <v>2500</v>
      </c>
    </row>
    <row r="160" spans="1:8">
      <c r="A160" s="230">
        <v>158</v>
      </c>
      <c r="C160" s="1528" t="s">
        <v>2845</v>
      </c>
      <c r="D160" s="230" t="s">
        <v>2846</v>
      </c>
      <c r="E160" s="230">
        <v>3500</v>
      </c>
      <c r="H160" s="230">
        <v>3500</v>
      </c>
    </row>
    <row r="161" spans="1:8">
      <c r="A161" s="230">
        <v>159</v>
      </c>
      <c r="C161" s="1528" t="s">
        <v>2847</v>
      </c>
      <c r="D161" s="230" t="s">
        <v>2848</v>
      </c>
      <c r="E161" s="230">
        <v>1700</v>
      </c>
      <c r="H161" s="230">
        <v>1700</v>
      </c>
    </row>
    <row r="162" spans="1:8">
      <c r="A162" s="230">
        <v>160</v>
      </c>
      <c r="C162" s="1528" t="s">
        <v>2849</v>
      </c>
      <c r="D162" s="230" t="s">
        <v>2850</v>
      </c>
      <c r="E162" s="230">
        <v>700</v>
      </c>
      <c r="H162" s="230">
        <v>700</v>
      </c>
    </row>
    <row r="163" spans="1:8">
      <c r="A163" s="230">
        <v>161</v>
      </c>
      <c r="C163" s="1528" t="s">
        <v>2851</v>
      </c>
      <c r="D163" s="230" t="s">
        <v>2852</v>
      </c>
      <c r="E163" s="230">
        <v>1000</v>
      </c>
      <c r="H163" s="230">
        <v>1000</v>
      </c>
    </row>
    <row r="164" spans="1:8">
      <c r="A164" s="230">
        <v>162</v>
      </c>
      <c r="C164" s="1528" t="s">
        <v>2853</v>
      </c>
      <c r="D164" s="230" t="s">
        <v>2854</v>
      </c>
      <c r="E164" s="230">
        <v>1000</v>
      </c>
      <c r="H164" s="230">
        <v>1000</v>
      </c>
    </row>
    <row r="165" spans="1:8">
      <c r="A165" s="230">
        <v>163</v>
      </c>
      <c r="C165" s="1528" t="s">
        <v>2855</v>
      </c>
      <c r="D165" s="230" t="s">
        <v>2856</v>
      </c>
      <c r="E165" s="230">
        <v>1000</v>
      </c>
      <c r="H165" s="230">
        <v>1000</v>
      </c>
    </row>
    <row r="166" spans="1:8">
      <c r="A166" s="230">
        <v>164</v>
      </c>
      <c r="C166" s="1528" t="s">
        <v>2857</v>
      </c>
      <c r="D166" s="230" t="s">
        <v>2858</v>
      </c>
      <c r="E166" s="230">
        <v>0</v>
      </c>
      <c r="F166" s="230">
        <v>1000</v>
      </c>
      <c r="H166" s="230">
        <v>1000</v>
      </c>
    </row>
    <row r="167" spans="1:8">
      <c r="A167" s="230">
        <v>165</v>
      </c>
      <c r="C167" s="1528" t="s">
        <v>2859</v>
      </c>
      <c r="D167" s="230" t="s">
        <v>2860</v>
      </c>
      <c r="E167" s="230">
        <v>0</v>
      </c>
      <c r="F167" s="230">
        <v>500</v>
      </c>
      <c r="H167" s="230">
        <v>500</v>
      </c>
    </row>
    <row r="168" spans="1:8">
      <c r="A168" s="230">
        <v>166</v>
      </c>
      <c r="C168" s="1528" t="s">
        <v>2861</v>
      </c>
      <c r="D168" s="230" t="s">
        <v>2862</v>
      </c>
      <c r="E168" s="230">
        <v>4200</v>
      </c>
      <c r="H168" s="230">
        <v>4200</v>
      </c>
    </row>
    <row r="169" spans="1:8">
      <c r="A169" s="230">
        <v>167</v>
      </c>
      <c r="C169" s="1528" t="s">
        <v>2863</v>
      </c>
      <c r="D169" s="230" t="s">
        <v>2864</v>
      </c>
      <c r="E169" s="230">
        <v>4200</v>
      </c>
      <c r="H169" s="230">
        <v>4200</v>
      </c>
    </row>
    <row r="170" spans="1:8">
      <c r="A170" s="230">
        <v>168</v>
      </c>
      <c r="C170" s="1528" t="s">
        <v>2865</v>
      </c>
      <c r="D170" s="230" t="s">
        <v>2866</v>
      </c>
      <c r="E170" s="230">
        <v>1000</v>
      </c>
      <c r="G170" s="230">
        <v>1000</v>
      </c>
      <c r="H170" s="230">
        <v>0</v>
      </c>
    </row>
    <row r="171" spans="1:8">
      <c r="A171" s="230">
        <v>169</v>
      </c>
      <c r="C171" s="1528" t="s">
        <v>2867</v>
      </c>
      <c r="D171" s="230" t="s">
        <v>2868</v>
      </c>
      <c r="E171" s="230">
        <v>1000</v>
      </c>
      <c r="H171" s="230">
        <v>1000</v>
      </c>
    </row>
    <row r="172" spans="1:8">
      <c r="A172" s="230">
        <v>170</v>
      </c>
      <c r="C172" s="1528" t="s">
        <v>2869</v>
      </c>
      <c r="D172" s="230" t="s">
        <v>2870</v>
      </c>
      <c r="E172" s="230">
        <v>1600</v>
      </c>
      <c r="H172" s="230">
        <v>1600</v>
      </c>
    </row>
    <row r="173" spans="1:8">
      <c r="A173" s="230">
        <v>171</v>
      </c>
      <c r="C173" s="1528" t="s">
        <v>2871</v>
      </c>
      <c r="D173" s="230" t="s">
        <v>2872</v>
      </c>
      <c r="E173" s="230">
        <v>0</v>
      </c>
      <c r="F173" s="230">
        <v>200</v>
      </c>
      <c r="H173" s="230">
        <v>200</v>
      </c>
    </row>
    <row r="174" spans="1:8">
      <c r="A174" s="230">
        <v>172</v>
      </c>
      <c r="C174" s="1528" t="s">
        <v>2873</v>
      </c>
      <c r="D174" s="230" t="s">
        <v>2874</v>
      </c>
      <c r="E174" s="230">
        <v>1000</v>
      </c>
      <c r="G174" s="230">
        <v>1000</v>
      </c>
      <c r="H174" s="230">
        <v>0</v>
      </c>
    </row>
    <row r="175" spans="1:8">
      <c r="A175" s="230">
        <v>173</v>
      </c>
      <c r="C175" s="1528" t="s">
        <v>2875</v>
      </c>
      <c r="D175" s="230" t="s">
        <v>2876</v>
      </c>
      <c r="E175" s="230">
        <v>500</v>
      </c>
      <c r="H175" s="230">
        <v>500</v>
      </c>
    </row>
    <row r="176" spans="1:8">
      <c r="A176" s="230">
        <v>174</v>
      </c>
      <c r="C176" s="1528" t="s">
        <v>2877</v>
      </c>
      <c r="D176" s="230" t="s">
        <v>2612</v>
      </c>
      <c r="E176" s="230">
        <v>0</v>
      </c>
      <c r="F176" s="230">
        <v>500</v>
      </c>
      <c r="H176" s="230">
        <v>500</v>
      </c>
    </row>
    <row r="177" spans="1:8">
      <c r="A177" s="230">
        <v>175</v>
      </c>
      <c r="C177" s="1528" t="s">
        <v>2878</v>
      </c>
      <c r="D177" s="230" t="s">
        <v>2879</v>
      </c>
      <c r="E177" s="230">
        <v>500</v>
      </c>
      <c r="H177" s="230">
        <v>500</v>
      </c>
    </row>
    <row r="178" spans="1:8">
      <c r="A178" s="230">
        <v>176</v>
      </c>
      <c r="C178" s="1528" t="s">
        <v>2880</v>
      </c>
      <c r="D178" s="230" t="s">
        <v>2881</v>
      </c>
      <c r="E178" s="230">
        <v>0</v>
      </c>
      <c r="F178" s="230">
        <v>5000</v>
      </c>
      <c r="H178" s="230">
        <v>5000</v>
      </c>
    </row>
    <row r="179" spans="1:8">
      <c r="A179" s="230">
        <v>177</v>
      </c>
      <c r="C179" s="1528" t="s">
        <v>2882</v>
      </c>
      <c r="D179" s="230" t="s">
        <v>2883</v>
      </c>
      <c r="E179" s="230">
        <v>224905</v>
      </c>
      <c r="H179" s="230">
        <v>224905</v>
      </c>
    </row>
    <row r="180" spans="1:8">
      <c r="A180" s="230">
        <v>178</v>
      </c>
      <c r="C180" s="1528" t="s">
        <v>2884</v>
      </c>
      <c r="D180" s="230" t="s">
        <v>2885</v>
      </c>
      <c r="E180" s="230">
        <v>150945</v>
      </c>
      <c r="H180" s="230">
        <v>150945</v>
      </c>
    </row>
    <row r="181" spans="1:8">
      <c r="A181" s="230">
        <v>179</v>
      </c>
      <c r="C181" s="1528" t="s">
        <v>2886</v>
      </c>
      <c r="D181" s="230" t="s">
        <v>2887</v>
      </c>
      <c r="E181" s="230">
        <v>111800</v>
      </c>
      <c r="H181" s="230">
        <v>111800</v>
      </c>
    </row>
    <row r="182" spans="1:8">
      <c r="A182" s="230">
        <v>180</v>
      </c>
      <c r="C182" s="1528" t="s">
        <v>2888</v>
      </c>
      <c r="D182" s="230" t="s">
        <v>2889</v>
      </c>
      <c r="E182" s="230">
        <v>800</v>
      </c>
      <c r="H182" s="230">
        <v>800</v>
      </c>
    </row>
    <row r="183" spans="1:8">
      <c r="A183" s="230">
        <v>181</v>
      </c>
      <c r="C183" s="1528" t="s">
        <v>2890</v>
      </c>
      <c r="D183" s="230" t="s">
        <v>2891</v>
      </c>
      <c r="E183" s="230">
        <v>6000</v>
      </c>
      <c r="H183" s="230">
        <v>6000</v>
      </c>
    </row>
    <row r="184" spans="1:8">
      <c r="A184" s="230">
        <v>182</v>
      </c>
      <c r="C184" s="1528" t="s">
        <v>2892</v>
      </c>
      <c r="D184" s="230" t="s">
        <v>2893</v>
      </c>
      <c r="E184" s="230">
        <v>600</v>
      </c>
      <c r="H184" s="230">
        <v>600</v>
      </c>
    </row>
    <row r="185" spans="1:8">
      <c r="A185" s="230">
        <v>183</v>
      </c>
      <c r="C185" s="1528" t="s">
        <v>2894</v>
      </c>
      <c r="D185" s="230" t="s">
        <v>2895</v>
      </c>
      <c r="E185" s="230">
        <v>0</v>
      </c>
      <c r="F185" s="230">
        <v>500</v>
      </c>
      <c r="H185" s="230">
        <v>500</v>
      </c>
    </row>
    <row r="186" spans="1:8">
      <c r="A186" s="230">
        <v>184</v>
      </c>
      <c r="C186" s="1528" t="s">
        <v>2896</v>
      </c>
      <c r="D186" s="230" t="s">
        <v>2897</v>
      </c>
      <c r="E186" s="230">
        <v>1000</v>
      </c>
      <c r="H186" s="230">
        <v>1000</v>
      </c>
    </row>
    <row r="187" spans="1:8">
      <c r="A187" s="230">
        <v>185</v>
      </c>
      <c r="C187" s="1528" t="s">
        <v>2898</v>
      </c>
      <c r="D187" s="230" t="s">
        <v>2899</v>
      </c>
      <c r="E187" s="230">
        <v>10000</v>
      </c>
      <c r="F187" s="230">
        <v>4200</v>
      </c>
      <c r="H187" s="230">
        <v>14200</v>
      </c>
    </row>
    <row r="188" spans="1:8">
      <c r="A188" s="230">
        <v>186</v>
      </c>
      <c r="C188" s="1528" t="s">
        <v>2900</v>
      </c>
      <c r="D188" s="230" t="s">
        <v>2901</v>
      </c>
      <c r="E188" s="230">
        <v>0</v>
      </c>
      <c r="F188" s="230">
        <v>1700</v>
      </c>
      <c r="H188" s="230">
        <v>1700</v>
      </c>
    </row>
    <row r="189" spans="1:8">
      <c r="A189" s="230">
        <v>187</v>
      </c>
      <c r="C189" s="1528" t="s">
        <v>2902</v>
      </c>
      <c r="D189" s="230" t="s">
        <v>2903</v>
      </c>
      <c r="E189" s="230">
        <v>500</v>
      </c>
      <c r="H189" s="230">
        <v>500</v>
      </c>
    </row>
    <row r="190" spans="1:8">
      <c r="A190" s="230">
        <v>188</v>
      </c>
      <c r="C190" s="1528" t="s">
        <v>2904</v>
      </c>
      <c r="D190" s="230" t="s">
        <v>2905</v>
      </c>
      <c r="E190" s="230">
        <v>10000</v>
      </c>
      <c r="H190" s="230">
        <v>10000</v>
      </c>
    </row>
    <row r="191" spans="1:8">
      <c r="A191" s="230">
        <v>189</v>
      </c>
      <c r="C191" s="1528" t="s">
        <v>2906</v>
      </c>
      <c r="D191" s="230" t="s">
        <v>2907</v>
      </c>
      <c r="E191" s="230">
        <v>35000</v>
      </c>
      <c r="H191" s="230">
        <v>35000</v>
      </c>
    </row>
    <row r="192" spans="1:8">
      <c r="A192" s="230">
        <v>190</v>
      </c>
      <c r="C192" s="1528" t="s">
        <v>2908</v>
      </c>
      <c r="D192" s="230" t="s">
        <v>2909</v>
      </c>
      <c r="E192" s="230">
        <v>5000</v>
      </c>
      <c r="H192" s="230">
        <v>5000</v>
      </c>
    </row>
    <row r="193" spans="1:8">
      <c r="A193" s="230">
        <v>191</v>
      </c>
      <c r="C193" s="1528" t="s">
        <v>2910</v>
      </c>
      <c r="D193" s="230" t="s">
        <v>2905</v>
      </c>
      <c r="E193" s="230">
        <v>2500</v>
      </c>
      <c r="H193" s="230">
        <v>2500</v>
      </c>
    </row>
    <row r="194" spans="1:8">
      <c r="A194" s="230">
        <v>192</v>
      </c>
      <c r="C194" s="1528" t="s">
        <v>2911</v>
      </c>
      <c r="D194" s="230" t="s">
        <v>2905</v>
      </c>
      <c r="E194" s="230">
        <v>2500</v>
      </c>
      <c r="H194" s="230">
        <v>2500</v>
      </c>
    </row>
    <row r="195" spans="1:8">
      <c r="A195" s="230">
        <v>193</v>
      </c>
      <c r="C195" s="1528" t="s">
        <v>2912</v>
      </c>
      <c r="D195" s="230" t="s">
        <v>2907</v>
      </c>
      <c r="E195" s="230">
        <v>1000</v>
      </c>
      <c r="H195" s="230">
        <v>1000</v>
      </c>
    </row>
    <row r="196" spans="1:8">
      <c r="A196" s="230">
        <v>194</v>
      </c>
      <c r="C196" s="1528" t="s">
        <v>2913</v>
      </c>
      <c r="D196" s="230" t="s">
        <v>2914</v>
      </c>
      <c r="E196" s="230">
        <v>3000</v>
      </c>
      <c r="H196" s="230">
        <v>3000</v>
      </c>
    </row>
    <row r="197" spans="1:8">
      <c r="A197" s="230">
        <v>195</v>
      </c>
      <c r="C197" s="1528" t="s">
        <v>2915</v>
      </c>
      <c r="D197" s="230" t="s">
        <v>2916</v>
      </c>
      <c r="E197" s="230">
        <v>1000</v>
      </c>
      <c r="H197" s="230">
        <v>1000</v>
      </c>
    </row>
    <row r="198" spans="1:8">
      <c r="A198" s="230">
        <v>196</v>
      </c>
      <c r="C198" s="1528" t="s">
        <v>2917</v>
      </c>
      <c r="D198" s="230" t="s">
        <v>2918</v>
      </c>
      <c r="E198" s="230">
        <v>3300</v>
      </c>
      <c r="H198" s="230">
        <v>3300</v>
      </c>
    </row>
    <row r="199" spans="1:8">
      <c r="A199" s="230">
        <v>197</v>
      </c>
      <c r="C199" s="1528" t="s">
        <v>2919</v>
      </c>
      <c r="D199" s="230" t="s">
        <v>2920</v>
      </c>
      <c r="E199" s="230">
        <v>1000</v>
      </c>
      <c r="H199" s="230">
        <v>1000</v>
      </c>
    </row>
    <row r="200" spans="1:8">
      <c r="A200" s="230">
        <v>198</v>
      </c>
      <c r="C200" s="1528" t="s">
        <v>2921</v>
      </c>
      <c r="D200" s="230" t="s">
        <v>2922</v>
      </c>
      <c r="E200" s="230">
        <v>1000</v>
      </c>
      <c r="H200" s="230">
        <v>1000</v>
      </c>
    </row>
    <row r="201" spans="1:8">
      <c r="A201" s="230">
        <v>199</v>
      </c>
      <c r="C201" s="1528" t="s">
        <v>2923</v>
      </c>
      <c r="D201" s="230" t="s">
        <v>2924</v>
      </c>
      <c r="E201" s="230">
        <v>500</v>
      </c>
      <c r="H201" s="230">
        <v>500</v>
      </c>
    </row>
    <row r="202" spans="1:8">
      <c r="A202" s="230">
        <v>200</v>
      </c>
      <c r="C202" s="1528" t="s">
        <v>2925</v>
      </c>
      <c r="D202" s="230" t="s">
        <v>2926</v>
      </c>
      <c r="E202" s="230">
        <v>1000</v>
      </c>
      <c r="H202" s="230">
        <v>1000</v>
      </c>
    </row>
    <row r="203" spans="1:8">
      <c r="A203" s="230">
        <v>201</v>
      </c>
      <c r="C203" s="1528" t="s">
        <v>2927</v>
      </c>
      <c r="D203" s="230" t="s">
        <v>2928</v>
      </c>
      <c r="E203" s="230">
        <v>7705</v>
      </c>
      <c r="H203" s="230">
        <v>7705</v>
      </c>
    </row>
    <row r="204" spans="1:8">
      <c r="A204" s="230">
        <v>202</v>
      </c>
      <c r="C204" s="1528" t="s">
        <v>2929</v>
      </c>
      <c r="D204" s="230" t="s">
        <v>2930</v>
      </c>
      <c r="E204" s="230">
        <v>1000</v>
      </c>
      <c r="H204" s="230">
        <v>1000</v>
      </c>
    </row>
    <row r="205" spans="1:8">
      <c r="A205" s="230">
        <v>203</v>
      </c>
      <c r="C205" s="1528" t="s">
        <v>2931</v>
      </c>
      <c r="D205" s="230" t="s">
        <v>2932</v>
      </c>
      <c r="E205" s="230">
        <v>10000</v>
      </c>
      <c r="H205" s="230">
        <v>10000</v>
      </c>
    </row>
    <row r="206" spans="1:8">
      <c r="A206" s="230">
        <v>204</v>
      </c>
      <c r="C206" s="1528" t="s">
        <v>2933</v>
      </c>
      <c r="D206" s="230" t="s">
        <v>2934</v>
      </c>
      <c r="E206" s="230">
        <v>500</v>
      </c>
      <c r="H206" s="230">
        <v>500</v>
      </c>
    </row>
    <row r="207" spans="1:8">
      <c r="A207" s="230">
        <v>205</v>
      </c>
      <c r="C207" s="1528" t="s">
        <v>2935</v>
      </c>
      <c r="D207" s="230" t="s">
        <v>2936</v>
      </c>
      <c r="E207" s="230">
        <v>575</v>
      </c>
      <c r="H207" s="230">
        <v>575</v>
      </c>
    </row>
    <row r="208" spans="1:8">
      <c r="A208" s="230">
        <v>206</v>
      </c>
      <c r="C208" s="1528" t="s">
        <v>2937</v>
      </c>
      <c r="D208" s="230" t="s">
        <v>2938</v>
      </c>
      <c r="E208" s="230">
        <v>17700</v>
      </c>
      <c r="H208" s="230">
        <v>17700</v>
      </c>
    </row>
    <row r="209" spans="1:8">
      <c r="A209" s="230">
        <v>207</v>
      </c>
      <c r="C209" s="1528" t="s">
        <v>2939</v>
      </c>
      <c r="D209" s="230" t="s">
        <v>2940</v>
      </c>
      <c r="E209" s="230">
        <v>1000</v>
      </c>
      <c r="H209" s="230">
        <v>1000</v>
      </c>
    </row>
    <row r="210" spans="1:8">
      <c r="A210" s="230">
        <v>208</v>
      </c>
      <c r="C210" s="1528" t="s">
        <v>2941</v>
      </c>
      <c r="D210" s="230" t="s">
        <v>2942</v>
      </c>
      <c r="E210" s="230">
        <v>2500</v>
      </c>
      <c r="H210" s="230">
        <v>2500</v>
      </c>
    </row>
    <row r="211" spans="1:8">
      <c r="A211" s="230">
        <v>209</v>
      </c>
      <c r="C211" s="1528" t="s">
        <v>2943</v>
      </c>
      <c r="D211" s="230" t="s">
        <v>2932</v>
      </c>
      <c r="E211" s="230">
        <v>3000</v>
      </c>
      <c r="H211" s="230">
        <v>3000</v>
      </c>
    </row>
    <row r="212" spans="1:8">
      <c r="A212" s="230">
        <v>210</v>
      </c>
      <c r="C212" s="1528" t="s">
        <v>2944</v>
      </c>
      <c r="D212" s="230" t="s">
        <v>2945</v>
      </c>
      <c r="E212" s="230">
        <v>5750</v>
      </c>
      <c r="H212" s="230">
        <v>5750</v>
      </c>
    </row>
    <row r="213" spans="1:8">
      <c r="A213" s="230">
        <v>211</v>
      </c>
      <c r="C213" s="1528" t="s">
        <v>2946</v>
      </c>
      <c r="D213" s="230" t="s">
        <v>2947</v>
      </c>
      <c r="E213" s="230">
        <v>6800</v>
      </c>
      <c r="H213" s="230">
        <v>6800</v>
      </c>
    </row>
    <row r="214" spans="1:8">
      <c r="A214" s="230">
        <v>212</v>
      </c>
      <c r="C214" s="1528" t="s">
        <v>2948</v>
      </c>
      <c r="D214" s="230" t="s">
        <v>2942</v>
      </c>
      <c r="E214" s="230">
        <v>6700</v>
      </c>
      <c r="H214" s="230">
        <v>6700</v>
      </c>
    </row>
    <row r="215" spans="1:8">
      <c r="A215" s="230">
        <v>213</v>
      </c>
      <c r="C215" s="1528" t="s">
        <v>2949</v>
      </c>
      <c r="D215" s="230" t="s">
        <v>2950</v>
      </c>
      <c r="E215" s="230">
        <v>1000</v>
      </c>
      <c r="H215" s="230">
        <v>1000</v>
      </c>
    </row>
    <row r="216" spans="1:8">
      <c r="A216" s="230">
        <v>214</v>
      </c>
      <c r="C216" s="1528" t="s">
        <v>2951</v>
      </c>
      <c r="D216" s="230" t="s">
        <v>2952</v>
      </c>
      <c r="E216" s="230">
        <v>4200</v>
      </c>
      <c r="H216" s="230">
        <v>4200</v>
      </c>
    </row>
    <row r="217" spans="1:8">
      <c r="A217" s="230">
        <v>215</v>
      </c>
      <c r="C217" s="1528" t="s">
        <v>2953</v>
      </c>
      <c r="D217" s="230" t="s">
        <v>2954</v>
      </c>
      <c r="E217" s="230">
        <v>500</v>
      </c>
      <c r="H217" s="230">
        <v>500</v>
      </c>
    </row>
    <row r="218" spans="1:8">
      <c r="A218" s="230">
        <v>216</v>
      </c>
      <c r="C218" s="1528" t="s">
        <v>2955</v>
      </c>
      <c r="D218" s="230" t="s">
        <v>2956</v>
      </c>
      <c r="E218" s="230">
        <v>3300</v>
      </c>
      <c r="H218" s="230">
        <v>3300</v>
      </c>
    </row>
    <row r="219" spans="1:8">
      <c r="A219" s="230">
        <v>217</v>
      </c>
      <c r="C219" s="1528" t="s">
        <v>2957</v>
      </c>
      <c r="D219" s="230" t="s">
        <v>2958</v>
      </c>
      <c r="E219" s="230">
        <v>1000</v>
      </c>
      <c r="H219" s="230">
        <v>1000</v>
      </c>
    </row>
    <row r="220" spans="1:8">
      <c r="A220" s="230">
        <v>218</v>
      </c>
      <c r="C220" s="1528" t="s">
        <v>2959</v>
      </c>
      <c r="D220" s="230" t="s">
        <v>2960</v>
      </c>
      <c r="E220" s="230">
        <v>1700</v>
      </c>
      <c r="G220" s="230">
        <v>1700</v>
      </c>
      <c r="H220" s="230">
        <v>0</v>
      </c>
    </row>
    <row r="221" spans="1:8">
      <c r="A221" s="230">
        <v>219</v>
      </c>
      <c r="C221" s="1528" t="s">
        <v>2961</v>
      </c>
      <c r="D221" s="230" t="s">
        <v>2962</v>
      </c>
      <c r="E221" s="230">
        <v>500</v>
      </c>
      <c r="H221" s="230">
        <v>500</v>
      </c>
    </row>
    <row r="222" spans="1:8">
      <c r="A222" s="230">
        <v>220</v>
      </c>
      <c r="C222" s="1528" t="s">
        <v>2963</v>
      </c>
      <c r="D222" s="230" t="s">
        <v>2964</v>
      </c>
      <c r="E222" s="230">
        <v>1000</v>
      </c>
      <c r="H222" s="230">
        <v>1000</v>
      </c>
    </row>
    <row r="223" spans="1:8">
      <c r="A223" s="230">
        <v>221</v>
      </c>
      <c r="C223" s="1528" t="s">
        <v>2965</v>
      </c>
      <c r="D223" s="230" t="s">
        <v>2966</v>
      </c>
      <c r="E223" s="230">
        <v>600</v>
      </c>
      <c r="H223" s="230">
        <v>600</v>
      </c>
    </row>
    <row r="224" spans="1:8">
      <c r="A224" s="230">
        <v>222</v>
      </c>
      <c r="C224" s="1528" t="s">
        <v>2967</v>
      </c>
      <c r="D224" s="230" t="s">
        <v>2968</v>
      </c>
      <c r="E224" s="230">
        <v>600</v>
      </c>
      <c r="H224" s="230">
        <v>600</v>
      </c>
    </row>
    <row r="225" spans="1:8">
      <c r="A225" s="230">
        <v>223</v>
      </c>
      <c r="C225" s="1528" t="s">
        <v>2969</v>
      </c>
      <c r="D225" s="230" t="s">
        <v>2970</v>
      </c>
      <c r="E225" s="230">
        <v>1700</v>
      </c>
      <c r="H225" s="230">
        <v>1700</v>
      </c>
    </row>
    <row r="226" spans="1:8">
      <c r="A226" s="230">
        <v>224</v>
      </c>
      <c r="C226" s="1528" t="s">
        <v>2971</v>
      </c>
      <c r="D226" s="230" t="s">
        <v>2972</v>
      </c>
      <c r="E226" s="230">
        <v>1000</v>
      </c>
      <c r="H226" s="230">
        <v>1000</v>
      </c>
    </row>
    <row r="227" spans="1:8">
      <c r="A227" s="230">
        <v>225</v>
      </c>
      <c r="C227" s="1528" t="s">
        <v>2973</v>
      </c>
      <c r="D227" s="230" t="s">
        <v>2974</v>
      </c>
      <c r="E227" s="230">
        <v>1000</v>
      </c>
      <c r="H227" s="230">
        <v>1000</v>
      </c>
    </row>
    <row r="228" spans="1:8">
      <c r="A228" s="230">
        <v>226</v>
      </c>
      <c r="C228" s="1528" t="s">
        <v>2975</v>
      </c>
      <c r="D228" s="230" t="s">
        <v>2976</v>
      </c>
      <c r="E228" s="230">
        <v>500</v>
      </c>
      <c r="H228" s="230">
        <v>500</v>
      </c>
    </row>
    <row r="229" spans="1:8">
      <c r="A229" s="230">
        <v>227</v>
      </c>
      <c r="C229" s="1528" t="s">
        <v>2977</v>
      </c>
      <c r="D229" s="230" t="s">
        <v>2978</v>
      </c>
      <c r="E229" s="230">
        <v>500</v>
      </c>
      <c r="H229" s="230">
        <v>500</v>
      </c>
    </row>
    <row r="230" spans="1:8">
      <c r="A230" s="230">
        <v>228</v>
      </c>
      <c r="C230" s="1528" t="s">
        <v>2979</v>
      </c>
      <c r="D230" s="230" t="s">
        <v>2980</v>
      </c>
      <c r="E230" s="230">
        <v>500</v>
      </c>
      <c r="H230" s="230">
        <v>500</v>
      </c>
    </row>
    <row r="231" spans="1:8">
      <c r="A231" s="230">
        <v>229</v>
      </c>
      <c r="C231" s="1528" t="s">
        <v>2981</v>
      </c>
      <c r="D231" s="230" t="s">
        <v>2982</v>
      </c>
      <c r="E231" s="230">
        <v>1000</v>
      </c>
      <c r="H231" s="230">
        <v>1000</v>
      </c>
    </row>
    <row r="232" spans="1:8">
      <c r="A232" s="230">
        <v>230</v>
      </c>
      <c r="C232" s="1528" t="s">
        <v>2983</v>
      </c>
      <c r="D232" s="230" t="s">
        <v>2984</v>
      </c>
      <c r="E232" s="230">
        <v>500</v>
      </c>
      <c r="G232" s="230">
        <v>500</v>
      </c>
      <c r="H232" s="230">
        <v>0</v>
      </c>
    </row>
    <row r="233" spans="1:8">
      <c r="A233" s="230">
        <v>231</v>
      </c>
      <c r="C233" s="1528" t="s">
        <v>2985</v>
      </c>
      <c r="D233" s="230" t="s">
        <v>2986</v>
      </c>
      <c r="E233" s="230">
        <v>500</v>
      </c>
      <c r="H233" s="230">
        <v>500</v>
      </c>
    </row>
    <row r="234" spans="1:8">
      <c r="A234" s="230">
        <v>232</v>
      </c>
      <c r="C234" s="1528" t="s">
        <v>2987</v>
      </c>
      <c r="D234" s="230" t="s">
        <v>2988</v>
      </c>
      <c r="E234" s="230">
        <v>1700</v>
      </c>
      <c r="H234" s="230">
        <v>1700</v>
      </c>
    </row>
    <row r="235" spans="1:8">
      <c r="A235" s="230">
        <v>233</v>
      </c>
      <c r="C235" s="1528" t="s">
        <v>2989</v>
      </c>
      <c r="D235" s="230" t="s">
        <v>2990</v>
      </c>
      <c r="E235" s="230">
        <v>1000</v>
      </c>
      <c r="H235" s="230">
        <v>1000</v>
      </c>
    </row>
    <row r="236" spans="1:8">
      <c r="A236" s="230">
        <v>234</v>
      </c>
      <c r="C236" s="1528" t="s">
        <v>2991</v>
      </c>
      <c r="D236" s="230" t="s">
        <v>2992</v>
      </c>
      <c r="E236" s="230">
        <v>100</v>
      </c>
      <c r="H236" s="230">
        <v>100</v>
      </c>
    </row>
    <row r="237" spans="1:8">
      <c r="A237" s="230">
        <v>235</v>
      </c>
      <c r="C237" s="1528" t="s">
        <v>2993</v>
      </c>
      <c r="D237" s="230" t="s">
        <v>2994</v>
      </c>
      <c r="E237" s="230">
        <v>1000</v>
      </c>
      <c r="H237" s="230">
        <v>1000</v>
      </c>
    </row>
    <row r="238" spans="1:8">
      <c r="A238" s="230">
        <v>236</v>
      </c>
      <c r="C238" s="1528" t="s">
        <v>2995</v>
      </c>
      <c r="D238" s="230" t="s">
        <v>2996</v>
      </c>
      <c r="E238" s="230">
        <v>2500</v>
      </c>
      <c r="H238" s="230">
        <v>2500</v>
      </c>
    </row>
    <row r="239" spans="1:8">
      <c r="A239" s="230">
        <v>237</v>
      </c>
      <c r="C239" s="1528" t="s">
        <v>2997</v>
      </c>
      <c r="D239" s="230" t="s">
        <v>2998</v>
      </c>
      <c r="E239" s="230">
        <v>1000</v>
      </c>
      <c r="H239" s="230">
        <v>1000</v>
      </c>
    </row>
    <row r="240" spans="1:8">
      <c r="A240" s="230">
        <v>238</v>
      </c>
      <c r="C240" s="1528" t="s">
        <v>2999</v>
      </c>
      <c r="D240" s="230" t="s">
        <v>3000</v>
      </c>
      <c r="E240" s="230">
        <v>1000</v>
      </c>
      <c r="H240" s="230">
        <v>1000</v>
      </c>
    </row>
    <row r="241" spans="1:8">
      <c r="A241" s="230">
        <v>239</v>
      </c>
      <c r="C241" s="1528" t="s">
        <v>3001</v>
      </c>
      <c r="D241" s="230" t="s">
        <v>3002</v>
      </c>
      <c r="E241" s="230">
        <v>500</v>
      </c>
      <c r="H241" s="230">
        <v>500</v>
      </c>
    </row>
    <row r="242" spans="1:8">
      <c r="A242" s="230">
        <v>240</v>
      </c>
      <c r="C242" s="1528" t="s">
        <v>3003</v>
      </c>
      <c r="D242" s="230" t="s">
        <v>3004</v>
      </c>
      <c r="E242" s="230">
        <v>10750</v>
      </c>
      <c r="H242" s="230">
        <v>10750</v>
      </c>
    </row>
    <row r="243" spans="1:8">
      <c r="A243" s="230">
        <v>241</v>
      </c>
      <c r="C243" s="1528" t="s">
        <v>3005</v>
      </c>
      <c r="D243" s="230" t="s">
        <v>3006</v>
      </c>
      <c r="E243" s="230">
        <v>2500</v>
      </c>
      <c r="H243" s="230">
        <v>2500</v>
      </c>
    </row>
    <row r="244" spans="1:8">
      <c r="A244" s="230">
        <v>242</v>
      </c>
      <c r="C244" s="1528" t="s">
        <v>3007</v>
      </c>
      <c r="D244" s="230" t="s">
        <v>3008</v>
      </c>
      <c r="E244" s="230">
        <v>1000</v>
      </c>
      <c r="H244" s="230">
        <v>1000</v>
      </c>
    </row>
    <row r="245" spans="1:8">
      <c r="A245" s="230">
        <v>243</v>
      </c>
      <c r="C245" s="1528" t="s">
        <v>3009</v>
      </c>
      <c r="D245" s="230" t="s">
        <v>3004</v>
      </c>
      <c r="E245" s="230">
        <v>2500</v>
      </c>
      <c r="H245" s="230">
        <v>2500</v>
      </c>
    </row>
    <row r="246" spans="1:8">
      <c r="A246" s="230">
        <v>244</v>
      </c>
      <c r="C246" s="1528" t="s">
        <v>3010</v>
      </c>
      <c r="D246" s="230" t="s">
        <v>3011</v>
      </c>
      <c r="E246" s="230">
        <v>500</v>
      </c>
      <c r="H246" s="230">
        <v>500</v>
      </c>
    </row>
    <row r="247" spans="1:8">
      <c r="A247" s="230">
        <v>245</v>
      </c>
      <c r="C247" s="1528" t="s">
        <v>3012</v>
      </c>
      <c r="D247" s="230" t="s">
        <v>3013</v>
      </c>
      <c r="E247" s="230">
        <v>500</v>
      </c>
      <c r="H247" s="230">
        <v>500</v>
      </c>
    </row>
    <row r="248" spans="1:8">
      <c r="A248" s="230">
        <v>246</v>
      </c>
      <c r="C248" s="1528" t="s">
        <v>3014</v>
      </c>
      <c r="D248" s="230" t="s">
        <v>3015</v>
      </c>
      <c r="E248" s="230">
        <v>1000</v>
      </c>
      <c r="H248" s="230">
        <v>1000</v>
      </c>
    </row>
    <row r="249" spans="1:8">
      <c r="A249" s="230">
        <v>247</v>
      </c>
      <c r="C249" s="1528" t="s">
        <v>3016</v>
      </c>
      <c r="D249" s="230" t="s">
        <v>3017</v>
      </c>
      <c r="E249" s="230">
        <v>500</v>
      </c>
      <c r="G249" s="230">
        <v>500</v>
      </c>
      <c r="H249" s="230">
        <v>0</v>
      </c>
    </row>
    <row r="250" spans="1:8">
      <c r="A250" s="230">
        <v>248</v>
      </c>
      <c r="C250" s="1528" t="s">
        <v>3018</v>
      </c>
      <c r="D250" s="230" t="s">
        <v>3019</v>
      </c>
      <c r="E250" s="230">
        <v>500</v>
      </c>
      <c r="H250" s="230">
        <v>500</v>
      </c>
    </row>
    <row r="251" spans="1:8">
      <c r="A251" s="230">
        <v>249</v>
      </c>
      <c r="C251" s="1528" t="s">
        <v>3020</v>
      </c>
      <c r="D251" s="230" t="s">
        <v>3021</v>
      </c>
      <c r="E251" s="230">
        <v>300</v>
      </c>
      <c r="H251" s="230">
        <v>300</v>
      </c>
    </row>
    <row r="252" spans="1:8">
      <c r="A252" s="230">
        <v>250</v>
      </c>
      <c r="C252" s="1528" t="s">
        <v>3022</v>
      </c>
      <c r="D252" s="230" t="s">
        <v>3023</v>
      </c>
      <c r="E252" s="230">
        <v>500</v>
      </c>
      <c r="H252" s="230">
        <v>500</v>
      </c>
    </row>
    <row r="253" spans="1:8">
      <c r="A253" s="230">
        <v>251</v>
      </c>
      <c r="C253" s="1528" t="s">
        <v>3024</v>
      </c>
      <c r="D253" s="230" t="s">
        <v>3025</v>
      </c>
      <c r="E253" s="230">
        <v>6700</v>
      </c>
      <c r="H253" s="230">
        <v>6700</v>
      </c>
    </row>
    <row r="254" spans="1:8">
      <c r="A254" s="230">
        <v>252</v>
      </c>
      <c r="C254" s="1528" t="s">
        <v>3026</v>
      </c>
      <c r="D254" s="230" t="s">
        <v>3027</v>
      </c>
      <c r="E254" s="230">
        <v>1000</v>
      </c>
      <c r="H254" s="230">
        <v>1000</v>
      </c>
    </row>
    <row r="255" spans="1:8">
      <c r="A255" s="230">
        <v>253</v>
      </c>
      <c r="C255" s="1528" t="s">
        <v>3028</v>
      </c>
      <c r="D255" s="230" t="s">
        <v>3029</v>
      </c>
      <c r="E255" s="230">
        <v>1000</v>
      </c>
      <c r="H255" s="230">
        <v>1000</v>
      </c>
    </row>
    <row r="256" spans="1:8">
      <c r="A256" s="230">
        <v>254</v>
      </c>
      <c r="C256" s="1528" t="s">
        <v>3030</v>
      </c>
      <c r="D256" s="230" t="s">
        <v>3031</v>
      </c>
      <c r="E256" s="230">
        <v>1000</v>
      </c>
      <c r="H256" s="230">
        <v>1000</v>
      </c>
    </row>
    <row r="257" spans="1:8">
      <c r="A257" s="230">
        <v>255</v>
      </c>
      <c r="C257" s="1528" t="s">
        <v>3032</v>
      </c>
      <c r="D257" s="230" t="s">
        <v>3033</v>
      </c>
      <c r="E257" s="230">
        <v>500</v>
      </c>
      <c r="H257" s="230">
        <v>500</v>
      </c>
    </row>
    <row r="258" spans="1:8">
      <c r="A258" s="230">
        <v>256</v>
      </c>
      <c r="C258" s="1528" t="s">
        <v>3034</v>
      </c>
      <c r="D258" s="230" t="s">
        <v>3035</v>
      </c>
      <c r="E258" s="230">
        <v>500</v>
      </c>
      <c r="H258" s="230">
        <v>500</v>
      </c>
    </row>
    <row r="259" spans="1:8">
      <c r="A259" s="230">
        <v>257</v>
      </c>
      <c r="C259" s="1528" t="s">
        <v>3036</v>
      </c>
      <c r="D259" s="230" t="s">
        <v>3037</v>
      </c>
      <c r="E259" s="230">
        <v>4200</v>
      </c>
      <c r="H259" s="230">
        <v>4200</v>
      </c>
    </row>
    <row r="260" spans="1:8">
      <c r="A260" s="230">
        <v>258</v>
      </c>
      <c r="C260" s="1528" t="s">
        <v>3038</v>
      </c>
      <c r="D260" s="230" t="s">
        <v>3039</v>
      </c>
      <c r="E260" s="230">
        <v>3795</v>
      </c>
      <c r="H260" s="230">
        <v>3795</v>
      </c>
    </row>
    <row r="261" spans="1:8">
      <c r="A261" s="230">
        <v>259</v>
      </c>
      <c r="C261" s="1528" t="s">
        <v>3040</v>
      </c>
      <c r="D261" s="230" t="s">
        <v>3041</v>
      </c>
      <c r="E261" s="230">
        <v>1000</v>
      </c>
      <c r="H261" s="230">
        <v>1000</v>
      </c>
    </row>
    <row r="262" spans="1:8">
      <c r="A262" s="230">
        <v>260</v>
      </c>
      <c r="C262" s="1528" t="s">
        <v>3042</v>
      </c>
      <c r="D262" s="230" t="s">
        <v>3043</v>
      </c>
      <c r="E262" s="230">
        <v>1700</v>
      </c>
      <c r="H262" s="230">
        <v>1700</v>
      </c>
    </row>
    <row r="263" spans="1:8">
      <c r="A263" s="230">
        <v>261</v>
      </c>
      <c r="C263" s="1528" t="s">
        <v>3044</v>
      </c>
      <c r="D263" s="230" t="s">
        <v>3045</v>
      </c>
      <c r="E263" s="230">
        <v>1000</v>
      </c>
      <c r="H263" s="230">
        <v>1000</v>
      </c>
    </row>
    <row r="264" spans="1:8">
      <c r="A264" s="230">
        <v>262</v>
      </c>
      <c r="C264" s="1528" t="s">
        <v>3046</v>
      </c>
      <c r="D264" s="230" t="s">
        <v>3047</v>
      </c>
      <c r="E264" s="230">
        <v>1500</v>
      </c>
      <c r="H264" s="230">
        <v>1500</v>
      </c>
    </row>
    <row r="265" spans="1:8">
      <c r="A265" s="230">
        <v>263</v>
      </c>
      <c r="C265" s="1528" t="s">
        <v>3048</v>
      </c>
      <c r="D265" s="230" t="s">
        <v>3049</v>
      </c>
      <c r="E265" s="230">
        <v>1000</v>
      </c>
      <c r="H265" s="230">
        <v>1000</v>
      </c>
    </row>
    <row r="266" spans="1:8">
      <c r="A266" s="230">
        <v>264</v>
      </c>
      <c r="C266" s="1528" t="s">
        <v>3050</v>
      </c>
      <c r="D266" s="230" t="s">
        <v>3051</v>
      </c>
      <c r="E266" s="230">
        <v>500</v>
      </c>
      <c r="H266" s="230">
        <v>500</v>
      </c>
    </row>
    <row r="267" spans="1:8">
      <c r="A267" s="230">
        <v>265</v>
      </c>
      <c r="C267" s="1528" t="s">
        <v>3052</v>
      </c>
      <c r="D267" s="230" t="s">
        <v>3053</v>
      </c>
      <c r="E267" s="230">
        <v>200</v>
      </c>
      <c r="H267" s="230">
        <v>200</v>
      </c>
    </row>
    <row r="268" spans="1:8">
      <c r="A268" s="230">
        <v>266</v>
      </c>
      <c r="C268" s="1528" t="s">
        <v>3054</v>
      </c>
      <c r="D268" s="230" t="s">
        <v>3055</v>
      </c>
      <c r="E268" s="230">
        <v>500</v>
      </c>
      <c r="H268" s="230">
        <v>500</v>
      </c>
    </row>
    <row r="269" spans="1:8">
      <c r="A269" s="230">
        <v>267</v>
      </c>
      <c r="C269" s="1528" t="s">
        <v>3056</v>
      </c>
      <c r="D269" s="230" t="s">
        <v>3057</v>
      </c>
      <c r="E269" s="230">
        <v>500</v>
      </c>
      <c r="H269" s="230">
        <v>500</v>
      </c>
    </row>
    <row r="270" spans="1:8">
      <c r="A270" s="230">
        <v>268</v>
      </c>
      <c r="C270" s="1528" t="s">
        <v>3058</v>
      </c>
      <c r="D270" s="230" t="s">
        <v>3059</v>
      </c>
      <c r="E270" s="230">
        <v>1700</v>
      </c>
      <c r="H270" s="230">
        <v>1700</v>
      </c>
    </row>
    <row r="271" spans="1:8">
      <c r="A271" s="230">
        <v>269</v>
      </c>
      <c r="C271" s="1528" t="s">
        <v>3060</v>
      </c>
      <c r="D271" s="230" t="s">
        <v>3061</v>
      </c>
      <c r="E271" s="230">
        <v>1000</v>
      </c>
      <c r="H271" s="230">
        <v>1000</v>
      </c>
    </row>
    <row r="272" spans="1:8">
      <c r="A272" s="230">
        <v>270</v>
      </c>
      <c r="C272" s="1528" t="s">
        <v>3062</v>
      </c>
      <c r="D272" s="230" t="s">
        <v>3063</v>
      </c>
      <c r="E272" s="230">
        <v>1000</v>
      </c>
      <c r="H272" s="230">
        <v>1000</v>
      </c>
    </row>
    <row r="273" spans="1:8">
      <c r="A273" s="230">
        <v>271</v>
      </c>
      <c r="C273" s="1528" t="s">
        <v>3064</v>
      </c>
      <c r="D273" s="230" t="s">
        <v>3065</v>
      </c>
      <c r="E273" s="230">
        <v>2500</v>
      </c>
      <c r="H273" s="230">
        <v>2500</v>
      </c>
    </row>
    <row r="274" spans="1:8">
      <c r="A274" s="230">
        <v>272</v>
      </c>
      <c r="C274" s="1528" t="s">
        <v>3066</v>
      </c>
      <c r="D274" s="230" t="s">
        <v>3067</v>
      </c>
      <c r="E274" s="230">
        <v>500</v>
      </c>
      <c r="H274" s="230">
        <v>500</v>
      </c>
    </row>
    <row r="275" spans="1:8">
      <c r="A275" s="230">
        <v>273</v>
      </c>
      <c r="C275" s="1528" t="s">
        <v>3068</v>
      </c>
      <c r="D275" s="230" t="s">
        <v>3069</v>
      </c>
      <c r="E275" s="230">
        <v>500</v>
      </c>
      <c r="H275" s="230">
        <v>500</v>
      </c>
    </row>
    <row r="276" spans="1:8">
      <c r="A276" s="230">
        <v>274</v>
      </c>
      <c r="C276" s="1528" t="s">
        <v>3070</v>
      </c>
      <c r="D276" s="230" t="s">
        <v>3071</v>
      </c>
      <c r="E276" s="230">
        <v>1700</v>
      </c>
      <c r="G276" s="230">
        <v>1700</v>
      </c>
      <c r="H276" s="230">
        <v>0</v>
      </c>
    </row>
    <row r="277" spans="1:8">
      <c r="A277" s="230">
        <v>275</v>
      </c>
      <c r="C277" s="1528" t="s">
        <v>3072</v>
      </c>
      <c r="D277" s="230" t="s">
        <v>3073</v>
      </c>
      <c r="E277" s="230">
        <v>500</v>
      </c>
      <c r="H277" s="230">
        <v>500</v>
      </c>
    </row>
    <row r="278" spans="1:8">
      <c r="A278" s="230">
        <v>276</v>
      </c>
      <c r="C278" s="1528" t="s">
        <v>3074</v>
      </c>
      <c r="D278" s="230" t="s">
        <v>3075</v>
      </c>
      <c r="E278" s="230">
        <v>500</v>
      </c>
      <c r="H278" s="230">
        <v>500</v>
      </c>
    </row>
    <row r="279" spans="1:8">
      <c r="A279" s="230">
        <v>277</v>
      </c>
      <c r="C279" s="1528" t="s">
        <v>3076</v>
      </c>
      <c r="D279" s="230" t="s">
        <v>3077</v>
      </c>
      <c r="E279" s="230">
        <v>500</v>
      </c>
      <c r="H279" s="230">
        <v>500</v>
      </c>
    </row>
    <row r="280" spans="1:8">
      <c r="A280" s="230">
        <v>278</v>
      </c>
      <c r="C280" s="1528" t="s">
        <v>3078</v>
      </c>
      <c r="D280" s="230" t="s">
        <v>3079</v>
      </c>
      <c r="E280" s="230">
        <v>1700</v>
      </c>
      <c r="H280" s="230">
        <v>1700</v>
      </c>
    </row>
    <row r="281" spans="1:8">
      <c r="A281" s="230">
        <v>279</v>
      </c>
      <c r="C281" s="1528" t="s">
        <v>3080</v>
      </c>
      <c r="D281" s="230" t="s">
        <v>3081</v>
      </c>
      <c r="E281" s="230">
        <v>500</v>
      </c>
      <c r="H281" s="230">
        <v>500</v>
      </c>
    </row>
    <row r="282" spans="1:8">
      <c r="A282" s="230">
        <v>280</v>
      </c>
      <c r="C282" s="1528" t="s">
        <v>3082</v>
      </c>
      <c r="D282" s="230" t="s">
        <v>3083</v>
      </c>
      <c r="E282" s="230">
        <v>1000</v>
      </c>
      <c r="H282" s="230">
        <v>1000</v>
      </c>
    </row>
    <row r="283" spans="1:8">
      <c r="A283" s="230">
        <v>281</v>
      </c>
      <c r="C283" s="1528" t="s">
        <v>3084</v>
      </c>
      <c r="D283" s="230" t="s">
        <v>3085</v>
      </c>
      <c r="E283" s="230">
        <v>1000</v>
      </c>
      <c r="H283" s="230">
        <v>1000</v>
      </c>
    </row>
    <row r="284" spans="1:8">
      <c r="A284" s="230">
        <v>282</v>
      </c>
      <c r="C284" s="1528" t="s">
        <v>3086</v>
      </c>
      <c r="D284" s="230" t="s">
        <v>3087</v>
      </c>
      <c r="E284" s="230">
        <v>1000</v>
      </c>
      <c r="H284" s="230">
        <v>1000</v>
      </c>
    </row>
    <row r="285" spans="1:8">
      <c r="A285" s="230">
        <v>283</v>
      </c>
      <c r="C285" s="1528" t="s">
        <v>3088</v>
      </c>
      <c r="D285" s="230" t="s">
        <v>3089</v>
      </c>
      <c r="E285" s="230">
        <v>500</v>
      </c>
      <c r="H285" s="230">
        <v>500</v>
      </c>
    </row>
    <row r="286" spans="1:8">
      <c r="A286" s="230">
        <v>284</v>
      </c>
      <c r="C286" s="1528" t="s">
        <v>3090</v>
      </c>
      <c r="D286" s="230" t="s">
        <v>3091</v>
      </c>
      <c r="E286" s="230">
        <v>500</v>
      </c>
      <c r="H286" s="230">
        <v>500</v>
      </c>
    </row>
    <row r="287" spans="1:8">
      <c r="A287" s="230">
        <v>285</v>
      </c>
      <c r="C287" s="1528" t="s">
        <v>3092</v>
      </c>
      <c r="D287" s="230" t="s">
        <v>3093</v>
      </c>
      <c r="E287" s="230">
        <v>600</v>
      </c>
      <c r="H287" s="230">
        <v>600</v>
      </c>
    </row>
    <row r="288" spans="1:8">
      <c r="A288" s="230">
        <v>286</v>
      </c>
      <c r="C288" s="1528" t="s">
        <v>3094</v>
      </c>
      <c r="D288" s="230" t="s">
        <v>3095</v>
      </c>
      <c r="E288" s="230">
        <v>1000</v>
      </c>
      <c r="H288" s="230">
        <v>1000</v>
      </c>
    </row>
    <row r="289" spans="1:8">
      <c r="A289" s="230">
        <v>287</v>
      </c>
      <c r="C289" s="1528" t="s">
        <v>3096</v>
      </c>
      <c r="D289" s="230" t="s">
        <v>3097</v>
      </c>
      <c r="E289" s="230">
        <v>600</v>
      </c>
      <c r="H289" s="230">
        <v>600</v>
      </c>
    </row>
    <row r="290" spans="1:8">
      <c r="A290" s="230">
        <v>288</v>
      </c>
      <c r="C290" s="1528" t="s">
        <v>3098</v>
      </c>
      <c r="D290" s="230" t="s">
        <v>3099</v>
      </c>
      <c r="E290" s="230">
        <v>1000</v>
      </c>
      <c r="H290" s="230">
        <v>1000</v>
      </c>
    </row>
    <row r="291" spans="1:8">
      <c r="A291" s="230">
        <v>289</v>
      </c>
      <c r="C291" s="1528" t="s">
        <v>3100</v>
      </c>
      <c r="D291" s="230" t="s">
        <v>3101</v>
      </c>
      <c r="E291" s="230">
        <v>500</v>
      </c>
      <c r="H291" s="230">
        <v>500</v>
      </c>
    </row>
    <row r="292" spans="1:8">
      <c r="A292" s="230">
        <v>290</v>
      </c>
      <c r="C292" s="1528" t="s">
        <v>3102</v>
      </c>
      <c r="D292" s="230" t="s">
        <v>3103</v>
      </c>
      <c r="E292" s="230">
        <v>100</v>
      </c>
      <c r="H292" s="230">
        <v>100</v>
      </c>
    </row>
    <row r="293" spans="1:8">
      <c r="A293" s="230">
        <v>291</v>
      </c>
      <c r="C293" s="1528" t="s">
        <v>3104</v>
      </c>
      <c r="D293" s="230" t="s">
        <v>3105</v>
      </c>
      <c r="E293" s="230">
        <v>1000</v>
      </c>
      <c r="H293" s="230">
        <v>1000</v>
      </c>
    </row>
    <row r="294" spans="1:8">
      <c r="A294" s="230">
        <v>292</v>
      </c>
      <c r="C294" s="1528" t="s">
        <v>3106</v>
      </c>
      <c r="D294" s="230" t="s">
        <v>3107</v>
      </c>
      <c r="E294" s="230">
        <v>1000</v>
      </c>
      <c r="H294" s="230">
        <v>1000</v>
      </c>
    </row>
    <row r="295" spans="1:8">
      <c r="A295" s="230">
        <v>293</v>
      </c>
      <c r="C295" s="1528" t="s">
        <v>3108</v>
      </c>
      <c r="D295" s="230" t="s">
        <v>3109</v>
      </c>
      <c r="E295" s="230">
        <v>1000</v>
      </c>
      <c r="H295" s="230">
        <v>1000</v>
      </c>
    </row>
    <row r="296" spans="1:8">
      <c r="A296" s="230">
        <v>294</v>
      </c>
      <c r="C296" s="1528" t="s">
        <v>3110</v>
      </c>
      <c r="D296" s="230" t="s">
        <v>3111</v>
      </c>
      <c r="E296" s="230">
        <v>1000</v>
      </c>
      <c r="G296" s="230">
        <v>1000</v>
      </c>
      <c r="H296" s="230">
        <v>0</v>
      </c>
    </row>
    <row r="297" spans="1:8">
      <c r="A297" s="230">
        <v>295</v>
      </c>
      <c r="C297" s="1528" t="s">
        <v>3112</v>
      </c>
      <c r="D297" s="230" t="s">
        <v>3113</v>
      </c>
      <c r="E297" s="230">
        <v>4200</v>
      </c>
      <c r="G297" s="230">
        <v>4200</v>
      </c>
      <c r="H297" s="230">
        <v>0</v>
      </c>
    </row>
    <row r="298" spans="1:8">
      <c r="A298" s="230">
        <v>296</v>
      </c>
      <c r="C298" s="1528" t="s">
        <v>3114</v>
      </c>
      <c r="D298" s="230" t="s">
        <v>3115</v>
      </c>
      <c r="E298" s="230">
        <v>1500</v>
      </c>
      <c r="H298" s="230">
        <v>1500</v>
      </c>
    </row>
    <row r="299" spans="1:8">
      <c r="A299" s="230">
        <v>297</v>
      </c>
      <c r="C299" s="1528" t="s">
        <v>3116</v>
      </c>
      <c r="D299" s="230" t="s">
        <v>3117</v>
      </c>
      <c r="E299" s="230">
        <v>1000</v>
      </c>
      <c r="H299" s="230">
        <v>1000</v>
      </c>
    </row>
    <row r="300" spans="1:8">
      <c r="A300" s="230">
        <v>298</v>
      </c>
      <c r="C300" s="1528" t="s">
        <v>3118</v>
      </c>
      <c r="D300" s="230" t="s">
        <v>3119</v>
      </c>
      <c r="E300" s="230">
        <v>500</v>
      </c>
      <c r="H300" s="230">
        <v>500</v>
      </c>
    </row>
    <row r="301" spans="1:8">
      <c r="A301" s="230">
        <v>299</v>
      </c>
      <c r="C301" s="1528" t="s">
        <v>3120</v>
      </c>
      <c r="D301" s="230" t="s">
        <v>3121</v>
      </c>
      <c r="E301" s="230">
        <v>1600</v>
      </c>
      <c r="H301" s="230">
        <v>1600</v>
      </c>
    </row>
    <row r="302" spans="1:8">
      <c r="A302" s="230">
        <v>300</v>
      </c>
      <c r="C302" s="1528" t="s">
        <v>3122</v>
      </c>
      <c r="D302" s="230" t="s">
        <v>3123</v>
      </c>
      <c r="E302" s="230">
        <v>500</v>
      </c>
      <c r="H302" s="230">
        <v>500</v>
      </c>
    </row>
    <row r="303" spans="1:8">
      <c r="A303" s="230">
        <v>301</v>
      </c>
      <c r="C303" s="1528" t="s">
        <v>3124</v>
      </c>
      <c r="D303" s="230" t="s">
        <v>3125</v>
      </c>
      <c r="E303" s="230">
        <v>2100</v>
      </c>
      <c r="H303" s="230">
        <v>2100</v>
      </c>
    </row>
    <row r="304" spans="1:8">
      <c r="A304" s="230">
        <v>302</v>
      </c>
      <c r="C304" s="1528" t="s">
        <v>3126</v>
      </c>
      <c r="D304" s="230" t="s">
        <v>3127</v>
      </c>
      <c r="E304" s="230">
        <v>500</v>
      </c>
      <c r="H304" s="230">
        <v>500</v>
      </c>
    </row>
    <row r="305" spans="1:8">
      <c r="A305" s="230">
        <v>303</v>
      </c>
      <c r="C305" s="1528" t="s">
        <v>3128</v>
      </c>
      <c r="D305" s="230" t="s">
        <v>3129</v>
      </c>
      <c r="E305" s="230">
        <v>1000</v>
      </c>
      <c r="H305" s="230">
        <v>1000</v>
      </c>
    </row>
    <row r="306" spans="1:8">
      <c r="A306" s="230">
        <v>304</v>
      </c>
      <c r="C306" s="1528" t="s">
        <v>3130</v>
      </c>
      <c r="D306" s="230" t="s">
        <v>3131</v>
      </c>
      <c r="E306" s="230">
        <v>500</v>
      </c>
      <c r="H306" s="230">
        <v>500</v>
      </c>
    </row>
    <row r="307" spans="1:8">
      <c r="A307" s="230">
        <v>305</v>
      </c>
      <c r="C307" s="1528" t="s">
        <v>3132</v>
      </c>
      <c r="D307" s="230" t="s">
        <v>3133</v>
      </c>
      <c r="E307" s="230">
        <v>1000</v>
      </c>
      <c r="H307" s="230">
        <v>1000</v>
      </c>
    </row>
    <row r="308" spans="1:8">
      <c r="A308" s="230">
        <v>306</v>
      </c>
      <c r="C308" s="1528" t="s">
        <v>3134</v>
      </c>
      <c r="D308" s="230" t="s">
        <v>3135</v>
      </c>
      <c r="E308" s="230">
        <v>1000</v>
      </c>
      <c r="H308" s="230">
        <v>1000</v>
      </c>
    </row>
    <row r="309" spans="1:8">
      <c r="A309" s="230">
        <v>307</v>
      </c>
      <c r="C309" s="1528" t="s">
        <v>3136</v>
      </c>
      <c r="D309" s="230" t="s">
        <v>3137</v>
      </c>
      <c r="E309" s="230">
        <v>500</v>
      </c>
      <c r="H309" s="230">
        <v>500</v>
      </c>
    </row>
    <row r="310" spans="1:8">
      <c r="A310" s="230">
        <v>308</v>
      </c>
      <c r="C310" s="1528" t="s">
        <v>3138</v>
      </c>
      <c r="D310" s="230" t="s">
        <v>3139</v>
      </c>
      <c r="E310" s="230">
        <v>1000</v>
      </c>
      <c r="H310" s="230">
        <v>1000</v>
      </c>
    </row>
    <row r="311" spans="1:8">
      <c r="A311" s="230">
        <v>309</v>
      </c>
      <c r="C311" s="1528" t="s">
        <v>3140</v>
      </c>
      <c r="D311" s="230" t="s">
        <v>3141</v>
      </c>
      <c r="E311" s="230">
        <v>1000</v>
      </c>
      <c r="H311" s="230">
        <v>1000</v>
      </c>
    </row>
    <row r="312" spans="1:8">
      <c r="A312" s="230">
        <v>310</v>
      </c>
      <c r="C312" s="1528" t="s">
        <v>3142</v>
      </c>
      <c r="D312" s="230" t="s">
        <v>3143</v>
      </c>
      <c r="E312" s="230">
        <v>1000</v>
      </c>
      <c r="G312" s="230">
        <v>1000</v>
      </c>
      <c r="H312" s="230">
        <v>0</v>
      </c>
    </row>
    <row r="313" spans="1:8">
      <c r="A313" s="230">
        <v>311</v>
      </c>
      <c r="C313" s="1528" t="s">
        <v>3144</v>
      </c>
      <c r="D313" s="230" t="s">
        <v>3145</v>
      </c>
      <c r="E313" s="230">
        <v>1000</v>
      </c>
      <c r="H313" s="230">
        <v>1000</v>
      </c>
    </row>
    <row r="314" spans="1:8">
      <c r="A314" s="230">
        <v>312</v>
      </c>
      <c r="C314" s="1528" t="s">
        <v>3146</v>
      </c>
      <c r="D314" s="230" t="s">
        <v>3147</v>
      </c>
      <c r="E314" s="230">
        <v>1000</v>
      </c>
      <c r="H314" s="230">
        <v>1000</v>
      </c>
    </row>
    <row r="315" spans="1:8">
      <c r="A315" s="230">
        <v>313</v>
      </c>
      <c r="C315" s="1528" t="s">
        <v>3148</v>
      </c>
      <c r="D315" s="230" t="s">
        <v>3149</v>
      </c>
      <c r="E315" s="230">
        <v>575</v>
      </c>
      <c r="H315" s="230">
        <v>575</v>
      </c>
    </row>
    <row r="316" spans="1:8">
      <c r="A316" s="230">
        <v>314</v>
      </c>
      <c r="C316" s="1528" t="s">
        <v>3150</v>
      </c>
      <c r="D316" s="230" t="s">
        <v>3151</v>
      </c>
      <c r="E316" s="230">
        <v>500</v>
      </c>
      <c r="H316" s="230">
        <v>500</v>
      </c>
    </row>
    <row r="317" spans="1:8">
      <c r="A317" s="230">
        <v>315</v>
      </c>
      <c r="C317" s="1528" t="s">
        <v>3152</v>
      </c>
      <c r="D317" s="230" t="s">
        <v>3153</v>
      </c>
      <c r="E317" s="230">
        <v>600</v>
      </c>
      <c r="H317" s="230">
        <v>600</v>
      </c>
    </row>
    <row r="318" spans="1:8">
      <c r="A318" s="230">
        <v>316</v>
      </c>
      <c r="C318" s="1528" t="s">
        <v>3154</v>
      </c>
      <c r="D318" s="230" t="s">
        <v>3155</v>
      </c>
      <c r="E318" s="230">
        <v>500</v>
      </c>
      <c r="H318" s="230">
        <v>500</v>
      </c>
    </row>
    <row r="319" spans="1:8">
      <c r="A319" s="230">
        <v>317</v>
      </c>
      <c r="C319" s="1528" t="s">
        <v>3156</v>
      </c>
      <c r="D319" s="230" t="s">
        <v>3157</v>
      </c>
      <c r="E319" s="230">
        <v>500</v>
      </c>
      <c r="H319" s="230">
        <v>500</v>
      </c>
    </row>
    <row r="320" spans="1:8">
      <c r="A320" s="230">
        <v>318</v>
      </c>
      <c r="C320" s="1528" t="s">
        <v>3158</v>
      </c>
      <c r="D320" s="230" t="s">
        <v>3159</v>
      </c>
      <c r="E320" s="230">
        <v>500</v>
      </c>
      <c r="H320" s="230">
        <v>500</v>
      </c>
    </row>
    <row r="321" spans="1:8">
      <c r="A321" s="230">
        <v>319</v>
      </c>
      <c r="C321" s="1528" t="s">
        <v>3160</v>
      </c>
      <c r="D321" s="230" t="s">
        <v>3161</v>
      </c>
      <c r="E321" s="230">
        <v>1000</v>
      </c>
      <c r="H321" s="230">
        <v>1000</v>
      </c>
    </row>
    <row r="322" spans="1:8">
      <c r="A322" s="230">
        <v>320</v>
      </c>
      <c r="C322" s="1528" t="s">
        <v>3162</v>
      </c>
      <c r="D322" s="230" t="s">
        <v>3163</v>
      </c>
      <c r="E322" s="230">
        <v>1000</v>
      </c>
      <c r="H322" s="230">
        <v>1000</v>
      </c>
    </row>
    <row r="323" spans="1:8">
      <c r="A323" s="230">
        <v>321</v>
      </c>
      <c r="C323" s="1528" t="s">
        <v>3164</v>
      </c>
      <c r="D323" s="230" t="s">
        <v>3165</v>
      </c>
      <c r="E323" s="230">
        <v>800</v>
      </c>
      <c r="H323" s="230">
        <v>800</v>
      </c>
    </row>
    <row r="324" spans="1:8">
      <c r="A324" s="230">
        <v>322</v>
      </c>
      <c r="C324" s="1528" t="s">
        <v>3166</v>
      </c>
      <c r="D324" s="230" t="s">
        <v>3167</v>
      </c>
      <c r="E324" s="230">
        <v>500</v>
      </c>
      <c r="H324" s="230">
        <v>500</v>
      </c>
    </row>
    <row r="325" spans="1:8">
      <c r="A325" s="230">
        <v>323</v>
      </c>
      <c r="C325" s="1528" t="s">
        <v>3168</v>
      </c>
      <c r="D325" s="230" t="s">
        <v>3169</v>
      </c>
      <c r="E325" s="230">
        <v>1000</v>
      </c>
      <c r="H325" s="230">
        <v>1000</v>
      </c>
    </row>
    <row r="326" spans="1:8">
      <c r="A326" s="230">
        <v>324</v>
      </c>
      <c r="C326" s="1528" t="s">
        <v>3170</v>
      </c>
      <c r="D326" s="230" t="s">
        <v>3171</v>
      </c>
      <c r="E326" s="230">
        <v>1700</v>
      </c>
      <c r="H326" s="230">
        <v>1700</v>
      </c>
    </row>
    <row r="327" spans="1:8">
      <c r="A327" s="230">
        <v>325</v>
      </c>
      <c r="C327" s="1528" t="s">
        <v>3172</v>
      </c>
      <c r="D327" s="230" t="s">
        <v>3173</v>
      </c>
      <c r="E327" s="230">
        <v>1700</v>
      </c>
      <c r="H327" s="230">
        <v>1700</v>
      </c>
    </row>
    <row r="328" spans="1:8">
      <c r="A328" s="230">
        <v>326</v>
      </c>
      <c r="C328" s="1528" t="s">
        <v>3174</v>
      </c>
      <c r="D328" s="230" t="s">
        <v>3175</v>
      </c>
      <c r="E328" s="230">
        <v>1150</v>
      </c>
      <c r="H328" s="230">
        <v>1150</v>
      </c>
    </row>
    <row r="329" spans="1:8">
      <c r="A329" s="230">
        <v>327</v>
      </c>
      <c r="C329" s="1528" t="s">
        <v>3176</v>
      </c>
      <c r="D329" s="230" t="s">
        <v>3177</v>
      </c>
      <c r="E329" s="230">
        <v>1000</v>
      </c>
      <c r="H329" s="230">
        <v>1000</v>
      </c>
    </row>
    <row r="330" spans="1:8">
      <c r="A330" s="230">
        <v>328</v>
      </c>
      <c r="C330" s="1528" t="s">
        <v>3178</v>
      </c>
      <c r="D330" s="230" t="s">
        <v>3179</v>
      </c>
      <c r="E330" s="230">
        <v>2500</v>
      </c>
      <c r="H330" s="230">
        <v>2500</v>
      </c>
    </row>
    <row r="331" spans="1:8">
      <c r="A331" s="230">
        <v>329</v>
      </c>
      <c r="C331" s="1528" t="s">
        <v>3180</v>
      </c>
      <c r="D331" s="230" t="s">
        <v>3181</v>
      </c>
      <c r="E331" s="230">
        <v>500</v>
      </c>
      <c r="H331" s="230">
        <v>500</v>
      </c>
    </row>
    <row r="332" spans="1:8">
      <c r="A332" s="230">
        <v>330</v>
      </c>
      <c r="C332" s="1528" t="s">
        <v>3182</v>
      </c>
      <c r="D332" s="230" t="s">
        <v>3183</v>
      </c>
      <c r="E332" s="230">
        <v>1000</v>
      </c>
      <c r="H332" s="230">
        <v>1000</v>
      </c>
    </row>
    <row r="333" spans="1:8">
      <c r="A333" s="230">
        <v>331</v>
      </c>
      <c r="C333" s="1528" t="s">
        <v>3184</v>
      </c>
      <c r="D333" s="230" t="s">
        <v>3185</v>
      </c>
      <c r="E333" s="230">
        <v>1500</v>
      </c>
      <c r="H333" s="230">
        <v>1500</v>
      </c>
    </row>
    <row r="334" spans="1:8">
      <c r="A334" s="230">
        <v>332</v>
      </c>
      <c r="C334" s="1528" t="s">
        <v>3186</v>
      </c>
      <c r="D334" s="230" t="s">
        <v>3187</v>
      </c>
      <c r="E334" s="230">
        <v>1000</v>
      </c>
      <c r="H334" s="230">
        <v>1000</v>
      </c>
    </row>
    <row r="335" spans="1:8">
      <c r="A335" s="230">
        <v>333</v>
      </c>
      <c r="C335" s="1528" t="s">
        <v>3188</v>
      </c>
      <c r="D335" s="230" t="s">
        <v>3189</v>
      </c>
      <c r="E335" s="230">
        <v>7500</v>
      </c>
      <c r="H335" s="230">
        <v>7500</v>
      </c>
    </row>
    <row r="336" spans="1:8">
      <c r="A336" s="230">
        <v>334</v>
      </c>
      <c r="C336" s="1528" t="s">
        <v>3190</v>
      </c>
      <c r="D336" s="230" t="s">
        <v>3191</v>
      </c>
      <c r="E336" s="230">
        <v>500</v>
      </c>
      <c r="H336" s="230">
        <v>500</v>
      </c>
    </row>
    <row r="337" spans="1:8">
      <c r="A337" s="230">
        <v>335</v>
      </c>
      <c r="C337" s="1528" t="s">
        <v>3192</v>
      </c>
      <c r="D337" s="230" t="s">
        <v>3193</v>
      </c>
      <c r="E337" s="230">
        <v>1000</v>
      </c>
      <c r="H337" s="230">
        <v>1000</v>
      </c>
    </row>
    <row r="338" spans="1:8">
      <c r="A338" s="230">
        <v>336</v>
      </c>
      <c r="C338" s="1528" t="s">
        <v>3194</v>
      </c>
      <c r="D338" s="230" t="s">
        <v>3195</v>
      </c>
      <c r="E338" s="230">
        <v>2500</v>
      </c>
      <c r="H338" s="230">
        <v>2500</v>
      </c>
    </row>
    <row r="339" spans="1:8">
      <c r="A339" s="230">
        <v>337</v>
      </c>
      <c r="C339" s="1528" t="s">
        <v>3196</v>
      </c>
      <c r="D339" s="230" t="s">
        <v>3197</v>
      </c>
      <c r="E339" s="230">
        <v>1500</v>
      </c>
      <c r="H339" s="230">
        <v>1500</v>
      </c>
    </row>
    <row r="340" spans="1:8">
      <c r="A340" s="230">
        <v>338</v>
      </c>
      <c r="C340" s="1528" t="s">
        <v>3198</v>
      </c>
      <c r="D340" s="230" t="s">
        <v>3199</v>
      </c>
      <c r="E340" s="230">
        <v>1500</v>
      </c>
      <c r="H340" s="230">
        <v>1500</v>
      </c>
    </row>
    <row r="341" spans="1:8">
      <c r="A341" s="230">
        <v>339</v>
      </c>
      <c r="C341" s="1528" t="s">
        <v>3200</v>
      </c>
      <c r="D341" s="230" t="s">
        <v>3201</v>
      </c>
      <c r="E341" s="230">
        <v>500</v>
      </c>
      <c r="H341" s="230">
        <v>500</v>
      </c>
    </row>
    <row r="342" spans="1:8">
      <c r="A342" s="230">
        <v>340</v>
      </c>
      <c r="C342" s="1528" t="s">
        <v>3202</v>
      </c>
      <c r="D342" s="230" t="s">
        <v>3203</v>
      </c>
      <c r="E342" s="230">
        <v>1000</v>
      </c>
      <c r="H342" s="230">
        <v>1000</v>
      </c>
    </row>
    <row r="343" spans="1:8">
      <c r="A343" s="230">
        <v>341</v>
      </c>
      <c r="C343" s="1528" t="s">
        <v>3204</v>
      </c>
      <c r="D343" s="230" t="s">
        <v>3205</v>
      </c>
      <c r="E343" s="230">
        <v>2875</v>
      </c>
      <c r="H343" s="230">
        <v>2875</v>
      </c>
    </row>
    <row r="344" spans="1:8">
      <c r="A344" s="230">
        <v>342</v>
      </c>
      <c r="C344" s="1528" t="s">
        <v>3206</v>
      </c>
      <c r="D344" s="230" t="s">
        <v>3207</v>
      </c>
      <c r="E344" s="230">
        <v>1000</v>
      </c>
      <c r="H344" s="230">
        <v>1000</v>
      </c>
    </row>
    <row r="345" spans="1:8">
      <c r="A345" s="230">
        <v>343</v>
      </c>
      <c r="C345" s="1528" t="s">
        <v>3208</v>
      </c>
      <c r="D345" s="230" t="s">
        <v>3209</v>
      </c>
      <c r="E345" s="230">
        <v>1000</v>
      </c>
      <c r="H345" s="230">
        <v>1000</v>
      </c>
    </row>
    <row r="346" spans="1:8">
      <c r="A346" s="230">
        <v>344</v>
      </c>
      <c r="C346" s="1528" t="s">
        <v>3210</v>
      </c>
      <c r="D346" s="230" t="s">
        <v>3211</v>
      </c>
      <c r="E346" s="230">
        <v>500</v>
      </c>
      <c r="H346" s="230">
        <v>500</v>
      </c>
    </row>
    <row r="347" spans="1:8">
      <c r="A347" s="230">
        <v>345</v>
      </c>
      <c r="C347" s="1528" t="s">
        <v>3212</v>
      </c>
      <c r="D347" s="230" t="s">
        <v>3213</v>
      </c>
      <c r="E347" s="230">
        <v>1000</v>
      </c>
      <c r="H347" s="230">
        <v>1000</v>
      </c>
    </row>
    <row r="348" spans="1:8">
      <c r="A348" s="230">
        <v>346</v>
      </c>
      <c r="C348" s="1528" t="s">
        <v>3214</v>
      </c>
      <c r="D348" s="230" t="s">
        <v>3215</v>
      </c>
      <c r="E348" s="230">
        <v>1000</v>
      </c>
      <c r="H348" s="230">
        <v>1000</v>
      </c>
    </row>
    <row r="349" spans="1:8">
      <c r="A349" s="230">
        <v>347</v>
      </c>
      <c r="C349" s="1528" t="s">
        <v>3216</v>
      </c>
      <c r="D349" s="230" t="s">
        <v>3217</v>
      </c>
      <c r="E349" s="230">
        <v>500</v>
      </c>
      <c r="H349" s="230">
        <v>500</v>
      </c>
    </row>
    <row r="350" spans="1:8">
      <c r="A350" s="230">
        <v>348</v>
      </c>
      <c r="C350" s="1528" t="s">
        <v>3218</v>
      </c>
      <c r="D350" s="230" t="s">
        <v>3219</v>
      </c>
      <c r="E350" s="230">
        <v>10000</v>
      </c>
      <c r="H350" s="230">
        <v>10000</v>
      </c>
    </row>
    <row r="351" spans="1:8">
      <c r="A351" s="230">
        <v>349</v>
      </c>
      <c r="C351" s="1528" t="s">
        <v>3220</v>
      </c>
      <c r="D351" s="230" t="s">
        <v>3221</v>
      </c>
      <c r="E351" s="230">
        <v>2500</v>
      </c>
      <c r="H351" s="230">
        <v>2500</v>
      </c>
    </row>
    <row r="352" spans="1:8">
      <c r="A352" s="230">
        <v>350</v>
      </c>
      <c r="C352" s="1528" t="s">
        <v>3222</v>
      </c>
      <c r="D352" s="230" t="s">
        <v>3223</v>
      </c>
      <c r="E352" s="230">
        <v>2500</v>
      </c>
      <c r="H352" s="230">
        <v>2500</v>
      </c>
    </row>
    <row r="353" spans="1:8">
      <c r="A353" s="230">
        <v>351</v>
      </c>
      <c r="C353" s="1528" t="s">
        <v>3224</v>
      </c>
      <c r="D353" s="230" t="s">
        <v>3225</v>
      </c>
      <c r="E353" s="230">
        <v>100</v>
      </c>
      <c r="H353" s="230">
        <v>100</v>
      </c>
    </row>
    <row r="354" spans="1:8">
      <c r="A354" s="230">
        <v>352</v>
      </c>
      <c r="C354" s="1528" t="s">
        <v>3226</v>
      </c>
      <c r="D354" s="230" t="s">
        <v>3219</v>
      </c>
      <c r="E354" s="230">
        <v>2500</v>
      </c>
      <c r="H354" s="230">
        <v>2500</v>
      </c>
    </row>
    <row r="355" spans="1:8">
      <c r="A355" s="230">
        <v>353</v>
      </c>
      <c r="C355" s="1528" t="s">
        <v>3227</v>
      </c>
      <c r="D355" s="230" t="s">
        <v>3228</v>
      </c>
      <c r="E355" s="230">
        <v>800</v>
      </c>
      <c r="H355" s="230">
        <v>800</v>
      </c>
    </row>
    <row r="356" spans="1:8">
      <c r="A356" s="230">
        <v>354</v>
      </c>
      <c r="C356" s="1528" t="s">
        <v>3229</v>
      </c>
      <c r="D356" s="230" t="s">
        <v>3230</v>
      </c>
      <c r="E356" s="230">
        <v>500</v>
      </c>
      <c r="H356" s="230">
        <v>500</v>
      </c>
    </row>
    <row r="357" spans="1:8">
      <c r="A357" s="230">
        <v>355</v>
      </c>
      <c r="C357" s="1528" t="s">
        <v>3231</v>
      </c>
      <c r="D357" s="230" t="s">
        <v>3232</v>
      </c>
      <c r="E357" s="230">
        <v>1000</v>
      </c>
      <c r="H357" s="230">
        <v>1000</v>
      </c>
    </row>
    <row r="358" spans="1:8">
      <c r="A358" s="230">
        <v>356</v>
      </c>
      <c r="C358" s="1528" t="s">
        <v>3233</v>
      </c>
      <c r="D358" s="230" t="s">
        <v>3234</v>
      </c>
      <c r="E358" s="230">
        <v>2100</v>
      </c>
      <c r="H358" s="230">
        <v>2100</v>
      </c>
    </row>
    <row r="359" spans="1:8">
      <c r="A359" s="230">
        <v>357</v>
      </c>
      <c r="C359" s="1528" t="s">
        <v>3235</v>
      </c>
      <c r="D359" s="230" t="s">
        <v>3236</v>
      </c>
      <c r="E359" s="230">
        <v>500</v>
      </c>
      <c r="H359" s="230">
        <v>500</v>
      </c>
    </row>
    <row r="360" spans="1:8">
      <c r="A360" s="230">
        <v>358</v>
      </c>
      <c r="C360" s="1528" t="s">
        <v>3237</v>
      </c>
      <c r="D360" s="230" t="s">
        <v>3238</v>
      </c>
      <c r="E360" s="230">
        <v>500</v>
      </c>
      <c r="H360" s="230">
        <v>500</v>
      </c>
    </row>
    <row r="361" spans="1:8">
      <c r="A361" s="230">
        <v>359</v>
      </c>
      <c r="C361" s="1528" t="s">
        <v>3239</v>
      </c>
      <c r="D361" s="230" t="s">
        <v>3240</v>
      </c>
      <c r="E361" s="230">
        <v>500</v>
      </c>
      <c r="G361" s="230">
        <v>500</v>
      </c>
      <c r="H361" s="230">
        <v>0</v>
      </c>
    </row>
    <row r="362" spans="1:8">
      <c r="A362" s="230">
        <v>360</v>
      </c>
      <c r="C362" s="1528" t="s">
        <v>3241</v>
      </c>
      <c r="D362" s="230" t="s">
        <v>3242</v>
      </c>
      <c r="E362" s="230">
        <v>500</v>
      </c>
      <c r="H362" s="230">
        <v>500</v>
      </c>
    </row>
    <row r="363" spans="1:8">
      <c r="A363" s="230">
        <v>361</v>
      </c>
      <c r="C363" s="1528" t="s">
        <v>3243</v>
      </c>
      <c r="D363" s="230" t="s">
        <v>3244</v>
      </c>
      <c r="E363" s="230">
        <v>1000</v>
      </c>
      <c r="H363" s="230">
        <v>1000</v>
      </c>
    </row>
    <row r="364" spans="1:8">
      <c r="A364" s="230">
        <v>362</v>
      </c>
      <c r="C364" s="1528" t="s">
        <v>3245</v>
      </c>
      <c r="D364" s="230" t="s">
        <v>3246</v>
      </c>
      <c r="E364" s="230">
        <v>1000</v>
      </c>
      <c r="H364" s="230">
        <v>1000</v>
      </c>
    </row>
    <row r="365" spans="1:8">
      <c r="A365" s="230">
        <v>363</v>
      </c>
      <c r="C365" s="1528" t="s">
        <v>3247</v>
      </c>
      <c r="D365" s="230" t="s">
        <v>3248</v>
      </c>
      <c r="E365" s="230">
        <v>1000</v>
      </c>
      <c r="H365" s="230">
        <v>1000</v>
      </c>
    </row>
    <row r="366" spans="1:8">
      <c r="A366" s="230">
        <v>364</v>
      </c>
      <c r="C366" s="1528" t="s">
        <v>3249</v>
      </c>
      <c r="D366" s="230" t="s">
        <v>3250</v>
      </c>
      <c r="E366" s="230">
        <v>1000</v>
      </c>
      <c r="H366" s="230">
        <v>1000</v>
      </c>
    </row>
    <row r="367" spans="1:8">
      <c r="A367" s="230">
        <v>365</v>
      </c>
      <c r="C367" s="1528" t="s">
        <v>3251</v>
      </c>
      <c r="D367" s="230" t="s">
        <v>3252</v>
      </c>
      <c r="E367" s="230">
        <v>800</v>
      </c>
      <c r="H367" s="230">
        <v>800</v>
      </c>
    </row>
    <row r="368" spans="1:8">
      <c r="A368" s="230">
        <v>366</v>
      </c>
      <c r="C368" s="1528" t="s">
        <v>3253</v>
      </c>
      <c r="D368" s="230" t="s">
        <v>3254</v>
      </c>
      <c r="E368" s="230">
        <v>800</v>
      </c>
      <c r="H368" s="230">
        <v>800</v>
      </c>
    </row>
    <row r="369" spans="1:8">
      <c r="A369" s="230">
        <v>367</v>
      </c>
      <c r="C369" s="1528" t="s">
        <v>3255</v>
      </c>
      <c r="D369" s="230" t="s">
        <v>3256</v>
      </c>
      <c r="E369" s="230">
        <v>575</v>
      </c>
      <c r="H369" s="230">
        <v>575</v>
      </c>
    </row>
    <row r="370" spans="1:8">
      <c r="A370" s="230">
        <v>368</v>
      </c>
      <c r="C370" s="1528" t="s">
        <v>3257</v>
      </c>
      <c r="D370" s="230" t="s">
        <v>3258</v>
      </c>
      <c r="E370" s="230">
        <v>1000</v>
      </c>
      <c r="H370" s="230">
        <v>1000</v>
      </c>
    </row>
    <row r="371" spans="1:8">
      <c r="A371" s="230">
        <v>369</v>
      </c>
      <c r="C371" s="1528" t="s">
        <v>3259</v>
      </c>
      <c r="D371" s="230" t="s">
        <v>3260</v>
      </c>
      <c r="E371" s="230">
        <v>600</v>
      </c>
      <c r="H371" s="230">
        <v>600</v>
      </c>
    </row>
    <row r="372" spans="1:8">
      <c r="A372" s="230">
        <v>370</v>
      </c>
      <c r="C372" s="1528" t="s">
        <v>3261</v>
      </c>
      <c r="D372" s="230" t="s">
        <v>3262</v>
      </c>
      <c r="E372" s="230">
        <v>575</v>
      </c>
      <c r="H372" s="230">
        <v>575</v>
      </c>
    </row>
    <row r="373" spans="1:8">
      <c r="A373" s="230">
        <v>371</v>
      </c>
      <c r="C373" s="1528" t="s">
        <v>3263</v>
      </c>
      <c r="D373" s="230" t="s">
        <v>3264</v>
      </c>
      <c r="E373" s="230">
        <v>1700</v>
      </c>
      <c r="H373" s="230">
        <v>1700</v>
      </c>
    </row>
    <row r="374" spans="1:8">
      <c r="A374" s="230">
        <v>372</v>
      </c>
      <c r="C374" s="1528" t="s">
        <v>3265</v>
      </c>
      <c r="D374" s="230" t="s">
        <v>3266</v>
      </c>
      <c r="E374" s="230">
        <v>500</v>
      </c>
      <c r="H374" s="230">
        <v>500</v>
      </c>
    </row>
    <row r="375" spans="1:8">
      <c r="A375" s="230">
        <v>373</v>
      </c>
      <c r="C375" s="1528" t="s">
        <v>3267</v>
      </c>
      <c r="D375" s="230" t="s">
        <v>3268</v>
      </c>
      <c r="E375" s="230">
        <v>500</v>
      </c>
      <c r="H375" s="230">
        <v>500</v>
      </c>
    </row>
    <row r="376" spans="1:8">
      <c r="A376" s="230">
        <v>374</v>
      </c>
      <c r="C376" s="1528" t="s">
        <v>3269</v>
      </c>
      <c r="D376" s="230" t="s">
        <v>3270</v>
      </c>
      <c r="E376" s="230">
        <v>1000</v>
      </c>
      <c r="H376" s="230">
        <v>1000</v>
      </c>
    </row>
    <row r="377" spans="1:8">
      <c r="A377" s="230">
        <v>375</v>
      </c>
      <c r="C377" s="1528" t="s">
        <v>3271</v>
      </c>
      <c r="D377" s="230" t="s">
        <v>3272</v>
      </c>
      <c r="E377" s="230">
        <v>1000</v>
      </c>
      <c r="H377" s="230">
        <v>1000</v>
      </c>
    </row>
    <row r="378" spans="1:8">
      <c r="A378" s="230">
        <v>376</v>
      </c>
      <c r="C378" s="1528" t="s">
        <v>3273</v>
      </c>
      <c r="D378" s="230" t="s">
        <v>3274</v>
      </c>
      <c r="E378" s="230">
        <v>1000</v>
      </c>
      <c r="H378" s="230">
        <v>1000</v>
      </c>
    </row>
    <row r="379" spans="1:8">
      <c r="A379" s="230">
        <v>377</v>
      </c>
      <c r="C379" s="1528" t="s">
        <v>3275</v>
      </c>
      <c r="D379" s="230" t="s">
        <v>3276</v>
      </c>
      <c r="E379" s="230">
        <v>4200</v>
      </c>
      <c r="H379" s="230">
        <v>4200</v>
      </c>
    </row>
    <row r="380" spans="1:8">
      <c r="A380" s="230">
        <v>378</v>
      </c>
      <c r="C380" s="1528" t="s">
        <v>3277</v>
      </c>
      <c r="D380" s="230" t="s">
        <v>3278</v>
      </c>
      <c r="E380" s="230">
        <v>500</v>
      </c>
      <c r="H380" s="230">
        <v>500</v>
      </c>
    </row>
    <row r="381" spans="1:8">
      <c r="A381" s="230">
        <v>379</v>
      </c>
      <c r="C381" s="1528" t="s">
        <v>3279</v>
      </c>
      <c r="D381" s="230" t="s">
        <v>3280</v>
      </c>
      <c r="E381" s="230">
        <v>1000</v>
      </c>
      <c r="H381" s="230">
        <v>1000</v>
      </c>
    </row>
    <row r="382" spans="1:8">
      <c r="A382" s="230">
        <v>380</v>
      </c>
      <c r="C382" s="1528" t="s">
        <v>3281</v>
      </c>
      <c r="D382" s="230" t="s">
        <v>3282</v>
      </c>
      <c r="E382" s="230">
        <v>1700</v>
      </c>
      <c r="H382" s="230">
        <v>1700</v>
      </c>
    </row>
    <row r="383" spans="1:8">
      <c r="A383" s="230">
        <v>381</v>
      </c>
      <c r="C383" s="1528" t="s">
        <v>3283</v>
      </c>
      <c r="D383" s="230" t="s">
        <v>3284</v>
      </c>
      <c r="E383" s="230">
        <v>1000</v>
      </c>
      <c r="H383" s="230">
        <v>1000</v>
      </c>
    </row>
    <row r="384" spans="1:8">
      <c r="A384" s="230">
        <v>382</v>
      </c>
      <c r="C384" s="1528" t="s">
        <v>3285</v>
      </c>
      <c r="D384" s="230" t="s">
        <v>3286</v>
      </c>
      <c r="E384" s="230">
        <v>600</v>
      </c>
      <c r="H384" s="230">
        <v>600</v>
      </c>
    </row>
    <row r="385" spans="1:8">
      <c r="A385" s="230">
        <v>383</v>
      </c>
      <c r="C385" s="1528" t="s">
        <v>3287</v>
      </c>
      <c r="D385" s="230" t="s">
        <v>3288</v>
      </c>
      <c r="E385" s="230">
        <v>1700</v>
      </c>
      <c r="H385" s="230">
        <v>1700</v>
      </c>
    </row>
    <row r="386" spans="1:8">
      <c r="A386" s="230">
        <v>384</v>
      </c>
      <c r="C386" s="1528" t="s">
        <v>3289</v>
      </c>
      <c r="D386" s="230" t="s">
        <v>3290</v>
      </c>
      <c r="E386" s="230">
        <v>1000</v>
      </c>
      <c r="H386" s="230">
        <v>1000</v>
      </c>
    </row>
    <row r="387" spans="1:8">
      <c r="A387" s="230">
        <v>385</v>
      </c>
      <c r="C387" s="1528" t="s">
        <v>3291</v>
      </c>
      <c r="D387" s="230" t="s">
        <v>3292</v>
      </c>
      <c r="E387" s="230">
        <v>1000</v>
      </c>
      <c r="H387" s="230">
        <v>1000</v>
      </c>
    </row>
    <row r="388" spans="1:8">
      <c r="A388" s="230">
        <v>386</v>
      </c>
      <c r="C388" s="1528" t="s">
        <v>3293</v>
      </c>
      <c r="D388" s="230" t="s">
        <v>3294</v>
      </c>
      <c r="E388" s="230">
        <v>1700</v>
      </c>
      <c r="H388" s="230">
        <v>1700</v>
      </c>
    </row>
    <row r="389" spans="1:8">
      <c r="A389" s="230">
        <v>387</v>
      </c>
      <c r="C389" s="1528" t="s">
        <v>3295</v>
      </c>
      <c r="D389" s="230" t="s">
        <v>3296</v>
      </c>
      <c r="E389" s="230">
        <v>500</v>
      </c>
      <c r="H389" s="230">
        <v>500</v>
      </c>
    </row>
    <row r="390" spans="1:8">
      <c r="A390" s="230">
        <v>388</v>
      </c>
      <c r="C390" s="1528" t="s">
        <v>3297</v>
      </c>
      <c r="D390" s="230" t="s">
        <v>3298</v>
      </c>
      <c r="E390" s="230">
        <v>1000</v>
      </c>
      <c r="H390" s="230">
        <v>1000</v>
      </c>
    </row>
    <row r="391" spans="1:8">
      <c r="A391" s="230">
        <v>389</v>
      </c>
      <c r="C391" s="1528" t="s">
        <v>3299</v>
      </c>
      <c r="D391" s="230" t="s">
        <v>3300</v>
      </c>
      <c r="E391" s="230">
        <v>4200</v>
      </c>
      <c r="H391" s="230">
        <v>4200</v>
      </c>
    </row>
    <row r="392" spans="1:8">
      <c r="A392" s="230">
        <v>390</v>
      </c>
      <c r="C392" s="1528" t="s">
        <v>3301</v>
      </c>
      <c r="D392" s="230" t="s">
        <v>3302</v>
      </c>
      <c r="E392" s="230">
        <v>500</v>
      </c>
      <c r="H392" s="230">
        <v>500</v>
      </c>
    </row>
    <row r="393" spans="1:8">
      <c r="A393" s="230">
        <v>391</v>
      </c>
      <c r="C393" s="1528" t="s">
        <v>3303</v>
      </c>
      <c r="D393" s="230" t="s">
        <v>3304</v>
      </c>
      <c r="E393" s="230">
        <v>500</v>
      </c>
      <c r="H393" s="230">
        <v>500</v>
      </c>
    </row>
    <row r="394" spans="1:8">
      <c r="A394" s="230">
        <v>392</v>
      </c>
      <c r="C394" s="1528" t="s">
        <v>3305</v>
      </c>
      <c r="D394" s="230" t="s">
        <v>3306</v>
      </c>
      <c r="E394" s="230">
        <v>2500</v>
      </c>
      <c r="H394" s="230">
        <v>2500</v>
      </c>
    </row>
    <row r="395" spans="1:8">
      <c r="A395" s="230">
        <v>393</v>
      </c>
      <c r="C395" s="1528" t="s">
        <v>3307</v>
      </c>
      <c r="D395" s="230" t="s">
        <v>3308</v>
      </c>
      <c r="E395" s="230">
        <v>1000</v>
      </c>
      <c r="H395" s="230">
        <v>1000</v>
      </c>
    </row>
    <row r="396" spans="1:8">
      <c r="A396" s="230">
        <v>394</v>
      </c>
      <c r="C396" s="1528" t="s">
        <v>3309</v>
      </c>
      <c r="D396" s="230" t="s">
        <v>3310</v>
      </c>
      <c r="E396" s="230">
        <v>1000</v>
      </c>
      <c r="H396" s="230">
        <v>1000</v>
      </c>
    </row>
    <row r="397" spans="1:8">
      <c r="A397" s="230">
        <v>395</v>
      </c>
      <c r="C397" s="1528" t="s">
        <v>3311</v>
      </c>
      <c r="D397" s="230" t="s">
        <v>3312</v>
      </c>
      <c r="E397" s="230">
        <v>1000</v>
      </c>
      <c r="H397" s="230">
        <v>1000</v>
      </c>
    </row>
    <row r="398" spans="1:8">
      <c r="A398" s="230">
        <v>396</v>
      </c>
      <c r="C398" s="1528" t="s">
        <v>3313</v>
      </c>
      <c r="D398" s="230" t="s">
        <v>3314</v>
      </c>
      <c r="E398" s="230">
        <v>1000</v>
      </c>
      <c r="H398" s="230">
        <v>1000</v>
      </c>
    </row>
    <row r="399" spans="1:8">
      <c r="A399" s="230">
        <v>397</v>
      </c>
      <c r="C399" s="1528" t="s">
        <v>3315</v>
      </c>
      <c r="D399" s="230" t="s">
        <v>3316</v>
      </c>
      <c r="E399" s="230">
        <v>500</v>
      </c>
      <c r="H399" s="230">
        <v>500</v>
      </c>
    </row>
    <row r="400" spans="1:8">
      <c r="A400" s="230">
        <v>398</v>
      </c>
      <c r="C400" s="1528" t="s">
        <v>3317</v>
      </c>
      <c r="D400" s="230" t="s">
        <v>3318</v>
      </c>
      <c r="E400" s="230">
        <v>1000</v>
      </c>
      <c r="H400" s="230">
        <v>1000</v>
      </c>
    </row>
    <row r="401" spans="1:8">
      <c r="A401" s="230">
        <v>399</v>
      </c>
      <c r="C401" s="1528" t="s">
        <v>3319</v>
      </c>
      <c r="D401" s="230" t="s">
        <v>3320</v>
      </c>
      <c r="E401" s="230">
        <v>1000</v>
      </c>
      <c r="H401" s="230">
        <v>1000</v>
      </c>
    </row>
    <row r="402" spans="1:8">
      <c r="A402" s="230">
        <v>400</v>
      </c>
      <c r="C402" s="1528" t="s">
        <v>3321</v>
      </c>
      <c r="D402" s="230" t="s">
        <v>3322</v>
      </c>
      <c r="E402" s="230">
        <v>1700</v>
      </c>
      <c r="G402" s="230">
        <v>1700</v>
      </c>
      <c r="H402" s="230">
        <v>0</v>
      </c>
    </row>
    <row r="403" spans="1:8">
      <c r="A403" s="230">
        <v>401</v>
      </c>
      <c r="C403" s="1528" t="s">
        <v>3323</v>
      </c>
      <c r="D403" s="230" t="s">
        <v>3324</v>
      </c>
      <c r="E403" s="230">
        <v>500</v>
      </c>
      <c r="H403" s="230">
        <v>500</v>
      </c>
    </row>
    <row r="404" spans="1:8">
      <c r="A404" s="230">
        <v>402</v>
      </c>
      <c r="C404" s="1528" t="s">
        <v>3325</v>
      </c>
      <c r="D404" s="230" t="s">
        <v>3326</v>
      </c>
      <c r="E404" s="230">
        <v>1000</v>
      </c>
      <c r="H404" s="230">
        <v>1000</v>
      </c>
    </row>
    <row r="405" spans="1:8">
      <c r="A405" s="230">
        <v>403</v>
      </c>
      <c r="C405" s="1528" t="s">
        <v>3327</v>
      </c>
      <c r="D405" s="230" t="s">
        <v>3328</v>
      </c>
      <c r="E405" s="230">
        <v>1000</v>
      </c>
      <c r="H405" s="230">
        <v>1000</v>
      </c>
    </row>
    <row r="406" spans="1:8">
      <c r="A406" s="230">
        <v>404</v>
      </c>
      <c r="C406" s="1528" t="s">
        <v>3329</v>
      </c>
      <c r="D406" s="230" t="s">
        <v>3330</v>
      </c>
      <c r="E406" s="230">
        <v>1000</v>
      </c>
      <c r="H406" s="230">
        <v>1000</v>
      </c>
    </row>
    <row r="407" spans="1:8">
      <c r="A407" s="230">
        <v>405</v>
      </c>
      <c r="C407" s="1528" t="s">
        <v>3331</v>
      </c>
      <c r="D407" s="230" t="s">
        <v>3332</v>
      </c>
      <c r="E407" s="230">
        <v>500</v>
      </c>
      <c r="H407" s="230">
        <v>500</v>
      </c>
    </row>
    <row r="408" spans="1:8">
      <c r="A408" s="230">
        <v>406</v>
      </c>
      <c r="C408" s="1528" t="s">
        <v>3333</v>
      </c>
      <c r="D408" s="230" t="s">
        <v>3334</v>
      </c>
      <c r="E408" s="230">
        <v>500</v>
      </c>
      <c r="H408" s="230">
        <v>500</v>
      </c>
    </row>
    <row r="409" spans="1:8">
      <c r="A409" s="230">
        <v>407</v>
      </c>
      <c r="C409" s="1528" t="s">
        <v>3335</v>
      </c>
      <c r="D409" s="230" t="s">
        <v>3336</v>
      </c>
      <c r="E409" s="230">
        <v>900</v>
      </c>
      <c r="H409" s="230">
        <v>900</v>
      </c>
    </row>
    <row r="410" spans="1:8">
      <c r="A410" s="230">
        <v>408</v>
      </c>
      <c r="C410" s="1528" t="s">
        <v>3337</v>
      </c>
      <c r="D410" s="230" t="s">
        <v>3338</v>
      </c>
      <c r="E410" s="230">
        <v>1000</v>
      </c>
      <c r="H410" s="230">
        <v>1000</v>
      </c>
    </row>
    <row r="411" spans="1:8">
      <c r="A411" s="230">
        <v>409</v>
      </c>
      <c r="C411" s="1528" t="s">
        <v>3339</v>
      </c>
      <c r="D411" s="230" t="s">
        <v>3340</v>
      </c>
      <c r="E411" s="230">
        <v>800</v>
      </c>
      <c r="H411" s="230">
        <v>800</v>
      </c>
    </row>
    <row r="412" spans="1:8">
      <c r="A412" s="230">
        <v>410</v>
      </c>
      <c r="C412" s="1528" t="s">
        <v>3341</v>
      </c>
      <c r="D412" s="230" t="s">
        <v>3342</v>
      </c>
      <c r="E412" s="230">
        <v>3300</v>
      </c>
      <c r="H412" s="230">
        <v>3300</v>
      </c>
    </row>
    <row r="413" spans="1:8">
      <c r="A413" s="230">
        <v>411</v>
      </c>
      <c r="C413" s="1528" t="s">
        <v>3343</v>
      </c>
      <c r="D413" s="230" t="s">
        <v>3344</v>
      </c>
      <c r="E413" s="230">
        <v>500</v>
      </c>
      <c r="H413" s="230">
        <v>500</v>
      </c>
    </row>
    <row r="414" spans="1:8">
      <c r="A414" s="230">
        <v>412</v>
      </c>
      <c r="C414" s="1528" t="s">
        <v>3345</v>
      </c>
      <c r="D414" s="230" t="s">
        <v>3346</v>
      </c>
      <c r="E414" s="230">
        <v>600</v>
      </c>
      <c r="H414" s="230">
        <v>600</v>
      </c>
    </row>
    <row r="415" spans="1:8">
      <c r="A415" s="230">
        <v>413</v>
      </c>
      <c r="C415" s="1528" t="s">
        <v>3347</v>
      </c>
      <c r="D415" s="230" t="s">
        <v>3348</v>
      </c>
      <c r="E415" s="230">
        <v>115</v>
      </c>
      <c r="H415" s="230">
        <v>115</v>
      </c>
    </row>
    <row r="416" spans="1:8">
      <c r="A416" s="230">
        <v>414</v>
      </c>
      <c r="C416" s="1528" t="s">
        <v>3349</v>
      </c>
      <c r="D416" s="230" t="s">
        <v>3350</v>
      </c>
      <c r="E416" s="230">
        <v>500</v>
      </c>
      <c r="H416" s="230">
        <v>500</v>
      </c>
    </row>
    <row r="417" spans="1:8">
      <c r="A417" s="230">
        <v>415</v>
      </c>
      <c r="C417" s="1528" t="s">
        <v>3351</v>
      </c>
      <c r="D417" s="230" t="s">
        <v>3352</v>
      </c>
      <c r="E417" s="230">
        <v>1000</v>
      </c>
      <c r="H417" s="230">
        <v>1000</v>
      </c>
    </row>
    <row r="418" spans="1:8">
      <c r="A418" s="230">
        <v>416</v>
      </c>
      <c r="C418" s="1528" t="s">
        <v>3353</v>
      </c>
      <c r="D418" s="230" t="s">
        <v>3354</v>
      </c>
      <c r="E418" s="230">
        <v>7705</v>
      </c>
      <c r="H418" s="230">
        <v>7705</v>
      </c>
    </row>
    <row r="419" spans="1:8">
      <c r="A419" s="230">
        <v>417</v>
      </c>
      <c r="C419" s="1528" t="s">
        <v>3355</v>
      </c>
      <c r="D419" s="230" t="s">
        <v>3356</v>
      </c>
      <c r="E419" s="230">
        <v>1700</v>
      </c>
      <c r="H419" s="230">
        <v>1700</v>
      </c>
    </row>
    <row r="420" spans="1:8">
      <c r="A420" s="230">
        <v>418</v>
      </c>
      <c r="C420" s="1528" t="s">
        <v>3357</v>
      </c>
      <c r="D420" s="230" t="s">
        <v>3358</v>
      </c>
      <c r="E420" s="230">
        <v>2500</v>
      </c>
      <c r="H420" s="230">
        <v>2500</v>
      </c>
    </row>
    <row r="421" spans="1:8">
      <c r="A421" s="230">
        <v>419</v>
      </c>
      <c r="C421" s="1528" t="s">
        <v>3359</v>
      </c>
      <c r="D421" s="230" t="s">
        <v>3360</v>
      </c>
      <c r="E421" s="230">
        <v>500</v>
      </c>
      <c r="H421" s="230">
        <v>500</v>
      </c>
    </row>
    <row r="422" spans="1:8">
      <c r="A422" s="230">
        <v>420</v>
      </c>
      <c r="C422" s="1528" t="s">
        <v>3361</v>
      </c>
      <c r="D422" s="230" t="s">
        <v>3362</v>
      </c>
      <c r="E422" s="230">
        <v>1000</v>
      </c>
      <c r="H422" s="230">
        <v>1000</v>
      </c>
    </row>
    <row r="423" spans="1:8">
      <c r="A423" s="230">
        <v>421</v>
      </c>
      <c r="C423" s="1528" t="s">
        <v>3363</v>
      </c>
      <c r="D423" s="230" t="s">
        <v>3364</v>
      </c>
      <c r="E423" s="230">
        <v>500</v>
      </c>
      <c r="H423" s="230">
        <v>500</v>
      </c>
    </row>
    <row r="424" spans="1:8">
      <c r="A424" s="230">
        <v>422</v>
      </c>
      <c r="C424" s="1528" t="s">
        <v>3365</v>
      </c>
      <c r="D424" s="230" t="s">
        <v>3366</v>
      </c>
      <c r="E424" s="230">
        <v>1000</v>
      </c>
      <c r="H424" s="230">
        <v>1000</v>
      </c>
    </row>
    <row r="425" spans="1:8">
      <c r="A425" s="230">
        <v>423</v>
      </c>
      <c r="C425" s="1528" t="s">
        <v>3367</v>
      </c>
      <c r="D425" s="230" t="s">
        <v>3368</v>
      </c>
      <c r="E425" s="230">
        <v>1000</v>
      </c>
      <c r="H425" s="230">
        <v>1000</v>
      </c>
    </row>
    <row r="427" spans="1:8">
      <c r="E427" s="393">
        <v>2692265</v>
      </c>
      <c r="F427" s="393">
        <v>60900</v>
      </c>
      <c r="G427" s="393">
        <v>60900</v>
      </c>
      <c r="H427" s="393">
        <v>2692265</v>
      </c>
    </row>
  </sheetData>
  <autoFilter ref="A2:H425"/>
  <mergeCells count="1">
    <mergeCell ref="A1:H1"/>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O50"/>
  <sheetViews>
    <sheetView topLeftCell="B17" workbookViewId="0">
      <selection activeCell="G35" sqref="G35"/>
    </sheetView>
  </sheetViews>
  <sheetFormatPr defaultRowHeight="15"/>
  <cols>
    <col min="1" max="1" width="9.140625" style="230"/>
    <col min="2" max="2" width="34.5703125" style="230" bestFit="1" customWidth="1"/>
    <col min="3" max="3" width="29.28515625" style="230" bestFit="1" customWidth="1"/>
    <col min="4" max="4" width="13.42578125" style="230" bestFit="1" customWidth="1"/>
    <col min="5" max="5" width="12.42578125" style="230" bestFit="1" customWidth="1"/>
    <col min="6" max="6" width="11.42578125" style="230" bestFit="1" customWidth="1"/>
    <col min="7" max="7" width="18.42578125" style="230" bestFit="1" customWidth="1"/>
    <col min="8" max="8" width="16.5703125" style="230" bestFit="1" customWidth="1"/>
    <col min="9" max="9" width="16.7109375" style="230" bestFit="1" customWidth="1"/>
    <col min="10" max="14" width="9.140625" style="230"/>
    <col min="15" max="15" width="10" style="230" bestFit="1" customWidth="1"/>
    <col min="16" max="16384" width="9.140625" style="230"/>
  </cols>
  <sheetData>
    <row r="1" spans="2:15">
      <c r="G1" s="2"/>
      <c r="I1" s="2"/>
    </row>
    <row r="2" spans="2:15">
      <c r="G2" s="2"/>
      <c r="I2" s="2"/>
    </row>
    <row r="3" spans="2:15">
      <c r="B3" s="2342" t="s">
        <v>1907</v>
      </c>
      <c r="C3" s="2342"/>
      <c r="D3" s="2342"/>
      <c r="E3" s="2342"/>
      <c r="F3" s="2342"/>
      <c r="G3" s="2342"/>
      <c r="I3" s="2"/>
    </row>
    <row r="4" spans="2:15">
      <c r="B4" s="460"/>
      <c r="C4" s="460"/>
      <c r="D4" s="460"/>
      <c r="E4" s="460"/>
      <c r="F4" s="460"/>
      <c r="G4" s="461"/>
      <c r="I4" s="462"/>
    </row>
    <row r="5" spans="2:15">
      <c r="B5" s="2342" t="s">
        <v>1926</v>
      </c>
      <c r="C5" s="2342"/>
      <c r="D5" s="2342"/>
      <c r="E5" s="2342"/>
      <c r="F5" s="2342"/>
      <c r="G5" s="2342"/>
      <c r="I5" s="2"/>
    </row>
    <row r="6" spans="2:15">
      <c r="B6" s="463" t="s">
        <v>1908</v>
      </c>
      <c r="C6" s="464"/>
      <c r="D6" s="464"/>
      <c r="E6" s="465" t="s">
        <v>1626</v>
      </c>
      <c r="F6" s="464"/>
      <c r="G6" s="466" t="s">
        <v>1626</v>
      </c>
      <c r="H6" s="230" t="s">
        <v>2457</v>
      </c>
      <c r="I6" s="2" t="s">
        <v>1257</v>
      </c>
      <c r="N6" s="230" t="s">
        <v>1953</v>
      </c>
    </row>
    <row r="7" spans="2:15">
      <c r="B7" s="467" t="s">
        <v>1909</v>
      </c>
      <c r="C7" s="468"/>
      <c r="D7" s="469"/>
      <c r="E7" s="470"/>
      <c r="F7" s="471" t="s">
        <v>1910</v>
      </c>
      <c r="G7" s="472">
        <v>32626.841</v>
      </c>
      <c r="H7" s="473">
        <v>8204.357</v>
      </c>
      <c r="I7" s="473">
        <v>32919.506999999998</v>
      </c>
      <c r="N7" s="230" t="s">
        <v>1534</v>
      </c>
      <c r="O7" s="230">
        <f>2385259+37470996+2927083</f>
        <v>42783338</v>
      </c>
    </row>
    <row r="8" spans="2:15">
      <c r="B8" s="474" t="s">
        <v>1911</v>
      </c>
      <c r="C8" s="475"/>
      <c r="D8" s="476"/>
      <c r="E8" s="477" t="s">
        <v>1628</v>
      </c>
      <c r="F8" s="478"/>
      <c r="G8" s="479" t="s">
        <v>1628</v>
      </c>
      <c r="H8" s="479" t="s">
        <v>1628</v>
      </c>
      <c r="I8" s="479" t="s">
        <v>1628</v>
      </c>
      <c r="N8" s="230" t="s">
        <v>1954</v>
      </c>
      <c r="O8" s="230">
        <f>12902845+38522473+172209946</f>
        <v>223635264</v>
      </c>
    </row>
    <row r="9" spans="2:15">
      <c r="B9" s="480" t="s">
        <v>1912</v>
      </c>
      <c r="C9" s="481"/>
      <c r="D9" s="482"/>
      <c r="E9" s="483">
        <f>+BSPL!H82</f>
        <v>866942160.29999995</v>
      </c>
      <c r="F9" s="484"/>
      <c r="G9" s="485">
        <f>E9-F9</f>
        <v>866942160.29999995</v>
      </c>
      <c r="H9" s="1086">
        <f>+[71]Sheet4!G9</f>
        <v>242919738</v>
      </c>
      <c r="I9" s="491">
        <f>+BSPL!I82</f>
        <v>552919696.88999999</v>
      </c>
      <c r="N9" s="230" t="s">
        <v>1535</v>
      </c>
      <c r="O9" s="230">
        <f>6473641+14050975+2975248</f>
        <v>23499864</v>
      </c>
    </row>
    <row r="10" spans="2:15">
      <c r="B10" s="486" t="s">
        <v>1913</v>
      </c>
      <c r="C10" s="1087"/>
      <c r="D10" s="487"/>
      <c r="E10" s="488">
        <f>+BSPL!H494</f>
        <v>21904975</v>
      </c>
      <c r="F10" s="489"/>
      <c r="G10" s="490">
        <f t="shared" ref="G10:G26" si="0">E10-F10</f>
        <v>21904975</v>
      </c>
      <c r="H10" s="1086">
        <f>+[71]Sheet4!G10</f>
        <v>5616260</v>
      </c>
      <c r="I10" s="491">
        <f>+BSPL!I494</f>
        <v>19178887</v>
      </c>
      <c r="O10" s="230">
        <f>+O7+O8-O9</f>
        <v>242918738</v>
      </c>
    </row>
    <row r="11" spans="2:15">
      <c r="B11" s="486" t="s">
        <v>1530</v>
      </c>
      <c r="C11" s="1087"/>
      <c r="D11" s="487"/>
      <c r="E11" s="488">
        <f>+BSPL!H511</f>
        <v>140580439.34</v>
      </c>
      <c r="F11" s="489"/>
      <c r="G11" s="490">
        <f t="shared" si="0"/>
        <v>140580439.34</v>
      </c>
      <c r="H11" s="1086">
        <f>+[71]Sheet4!G11</f>
        <v>37328784</v>
      </c>
      <c r="I11" s="491">
        <f>+BSPL!I511</f>
        <v>123939401.44</v>
      </c>
    </row>
    <row r="12" spans="2:15">
      <c r="B12" s="486" t="s">
        <v>1914</v>
      </c>
      <c r="C12" s="1087"/>
      <c r="D12" s="487"/>
      <c r="E12" s="488">
        <v>0</v>
      </c>
      <c r="F12" s="489"/>
      <c r="G12" s="490">
        <f t="shared" si="0"/>
        <v>0</v>
      </c>
      <c r="H12" s="1086">
        <f>+[71]Sheet4!G12</f>
        <v>0</v>
      </c>
      <c r="I12" s="491">
        <v>0</v>
      </c>
    </row>
    <row r="13" spans="2:15">
      <c r="B13" s="486" t="s">
        <v>1915</v>
      </c>
      <c r="C13" s="1087"/>
      <c r="D13" s="487"/>
      <c r="E13" s="488">
        <f>+BSPL!H516</f>
        <v>783594</v>
      </c>
      <c r="F13" s="489"/>
      <c r="G13" s="490">
        <f t="shared" si="0"/>
        <v>783594</v>
      </c>
      <c r="H13" s="1086">
        <f>+[71]Sheet4!G13</f>
        <v>198221</v>
      </c>
      <c r="I13" s="491">
        <f>+BSPL!I516</f>
        <v>703243</v>
      </c>
    </row>
    <row r="14" spans="2:15">
      <c r="B14" s="486" t="s">
        <v>1916</v>
      </c>
      <c r="C14" s="1087"/>
      <c r="D14" s="487"/>
      <c r="E14" s="488">
        <f>+BSPL!H517</f>
        <v>17105048.670000002</v>
      </c>
      <c r="F14" s="489"/>
      <c r="G14" s="490">
        <f t="shared" si="0"/>
        <v>17105048.670000002</v>
      </c>
      <c r="H14" s="1086">
        <f>+[71]Sheet4!G14</f>
        <v>5669003.9800000004</v>
      </c>
      <c r="I14" s="491">
        <f>+BSPL!I517</f>
        <v>8205875.8399999999</v>
      </c>
    </row>
    <row r="15" spans="2:15">
      <c r="B15" s="486" t="s">
        <v>1917</v>
      </c>
      <c r="C15" s="1087"/>
      <c r="D15" s="487"/>
      <c r="E15" s="488">
        <f>+BSPL!H510</f>
        <v>9075854.2200000007</v>
      </c>
      <c r="F15" s="489"/>
      <c r="G15" s="490">
        <f t="shared" si="0"/>
        <v>9075854.2200000007</v>
      </c>
      <c r="H15" s="1086">
        <f>+[71]Sheet4!G15</f>
        <v>2604770</v>
      </c>
      <c r="I15" s="491">
        <f>+BSPL!I510</f>
        <v>6875832.8200000003</v>
      </c>
    </row>
    <row r="16" spans="2:15">
      <c r="B16" s="486" t="s">
        <v>1918</v>
      </c>
      <c r="C16" s="1087"/>
      <c r="D16" s="487"/>
      <c r="E16" s="488">
        <f>+BSPL!H514</f>
        <v>6320421.9900000002</v>
      </c>
      <c r="F16" s="489"/>
      <c r="G16" s="490">
        <f t="shared" si="0"/>
        <v>6320421.9900000002</v>
      </c>
      <c r="H16" s="1086">
        <f>+[71]Sheet4!G16</f>
        <v>1110425</v>
      </c>
      <c r="I16" s="491">
        <f>+BSPL!I514</f>
        <v>10661532.07</v>
      </c>
    </row>
    <row r="17" spans="2:9">
      <c r="B17" s="486" t="s">
        <v>1919</v>
      </c>
      <c r="C17" s="1087"/>
      <c r="D17" s="487"/>
      <c r="E17" s="488">
        <f>+BSPL!H508</f>
        <v>5119183</v>
      </c>
      <c r="F17" s="489"/>
      <c r="G17" s="490">
        <f t="shared" si="0"/>
        <v>5119183</v>
      </c>
      <c r="H17" s="1086">
        <f>+[71]Sheet4!G17</f>
        <v>1348244</v>
      </c>
      <c r="I17" s="491">
        <f>+BSPL!I508</f>
        <v>4250954.5</v>
      </c>
    </row>
    <row r="18" spans="2:9">
      <c r="B18" s="486" t="str">
        <f>'[72]Balance Sheet'!B538</f>
        <v>Raw Material Sorting Charges</v>
      </c>
      <c r="C18" s="1087"/>
      <c r="D18" s="487"/>
      <c r="E18" s="488">
        <f>+BSPL!H512</f>
        <v>4044390</v>
      </c>
      <c r="F18" s="489"/>
      <c r="G18" s="490">
        <f t="shared" si="0"/>
        <v>4044390</v>
      </c>
      <c r="H18" s="1086">
        <f>+[71]Sheet4!G18</f>
        <v>1142565</v>
      </c>
      <c r="I18" s="491">
        <f>+BSPL!I512</f>
        <v>3861148</v>
      </c>
    </row>
    <row r="19" spans="2:9">
      <c r="B19" s="486" t="str">
        <f>'[72]Balance Sheet'!B541</f>
        <v>Finished Goods Packing and Allied Charges</v>
      </c>
      <c r="C19" s="1088"/>
      <c r="D19" s="492"/>
      <c r="E19" s="488">
        <f>+BSPL!H509</f>
        <v>3282001</v>
      </c>
      <c r="F19" s="493"/>
      <c r="G19" s="490">
        <f t="shared" si="0"/>
        <v>3282001</v>
      </c>
      <c r="H19" s="1086">
        <f>+[71]Sheet4!G19</f>
        <v>948898</v>
      </c>
      <c r="I19" s="491">
        <f>+BSPL!I509</f>
        <v>2854617</v>
      </c>
    </row>
    <row r="20" spans="2:9">
      <c r="B20" s="486" t="s">
        <v>1920</v>
      </c>
      <c r="C20" s="1088"/>
      <c r="D20" s="492"/>
      <c r="E20" s="488">
        <f>+BSPL!H518</f>
        <v>6303933</v>
      </c>
      <c r="F20" s="493"/>
      <c r="G20" s="490">
        <f t="shared" si="0"/>
        <v>6303933</v>
      </c>
      <c r="H20" s="1086">
        <f>+[71]Sheet4!G20</f>
        <v>1568832</v>
      </c>
      <c r="I20" s="491">
        <f>+BSPL!I518</f>
        <v>6129998</v>
      </c>
    </row>
    <row r="21" spans="2:9">
      <c r="B21" s="486" t="s">
        <v>610</v>
      </c>
      <c r="C21" s="1087"/>
      <c r="D21" s="487"/>
      <c r="E21" s="488">
        <f>+BSPL!H87</f>
        <v>17957748.491325565</v>
      </c>
      <c r="F21" s="489"/>
      <c r="G21" s="490">
        <f t="shared" si="0"/>
        <v>17957748.491325565</v>
      </c>
      <c r="H21" s="1086">
        <f>+G21/12*3</f>
        <v>4489437.1228313912</v>
      </c>
      <c r="I21" s="491">
        <f>+BSPL!I87</f>
        <v>17727982</v>
      </c>
    </row>
    <row r="22" spans="2:9">
      <c r="B22" s="494" t="s">
        <v>1921</v>
      </c>
      <c r="C22" s="1088"/>
      <c r="D22" s="492"/>
      <c r="E22" s="488"/>
      <c r="F22" s="493"/>
      <c r="G22" s="490">
        <f t="shared" si="0"/>
        <v>0</v>
      </c>
      <c r="H22" s="1086">
        <f>+[71]Sheet4!G22</f>
        <v>0</v>
      </c>
      <c r="I22" s="491"/>
    </row>
    <row r="23" spans="2:9">
      <c r="B23" s="486" t="str">
        <f>'[72]Balance Sheet'!B519</f>
        <v>Contribution to Funds</v>
      </c>
      <c r="C23" s="1088"/>
      <c r="D23" s="492"/>
      <c r="E23" s="488">
        <f>+BSPL!H495</f>
        <v>2430498</v>
      </c>
      <c r="F23" s="493"/>
      <c r="G23" s="490">
        <f t="shared" si="0"/>
        <v>2430498</v>
      </c>
      <c r="H23" s="1086">
        <f>+[71]Sheet4!G23</f>
        <v>645097</v>
      </c>
      <c r="I23" s="491">
        <f>+BSPL!I495</f>
        <v>2155531</v>
      </c>
    </row>
    <row r="24" spans="2:9">
      <c r="B24" s="486" t="s">
        <v>742</v>
      </c>
      <c r="C24" s="1088"/>
      <c r="D24" s="492"/>
      <c r="E24" s="488">
        <f>+BSPL!H496</f>
        <v>198462</v>
      </c>
      <c r="F24" s="493"/>
      <c r="G24" s="490">
        <f t="shared" si="0"/>
        <v>198462</v>
      </c>
      <c r="H24" s="1086">
        <f>+[71]Sheet4!G24</f>
        <v>120156</v>
      </c>
      <c r="I24" s="491">
        <f>+BSPL!I496</f>
        <v>306631</v>
      </c>
    </row>
    <row r="25" spans="2:9">
      <c r="B25" s="486" t="s">
        <v>1442</v>
      </c>
      <c r="C25" s="1088"/>
      <c r="D25" s="492"/>
      <c r="E25" s="488"/>
      <c r="F25" s="493"/>
      <c r="G25" s="490">
        <f t="shared" si="0"/>
        <v>0</v>
      </c>
      <c r="H25" s="1086">
        <f>+[71]Sheet4!G25</f>
        <v>0</v>
      </c>
      <c r="I25" s="490"/>
    </row>
    <row r="26" spans="2:9">
      <c r="B26" s="486" t="s">
        <v>1554</v>
      </c>
      <c r="C26" s="1088"/>
      <c r="D26" s="492"/>
      <c r="E26" s="488">
        <f>-BSPL!H474</f>
        <v>-9433000</v>
      </c>
      <c r="F26" s="493"/>
      <c r="G26" s="490">
        <f t="shared" si="0"/>
        <v>-9433000</v>
      </c>
      <c r="H26" s="1086">
        <f>+[71]Sheet4!G26</f>
        <v>-2358250</v>
      </c>
      <c r="I26" s="490">
        <f>-BSPL!I474</f>
        <v>-18856500</v>
      </c>
    </row>
    <row r="27" spans="2:9">
      <c r="B27" s="486"/>
      <c r="C27" s="1088"/>
      <c r="D27" s="492"/>
      <c r="E27" s="488"/>
      <c r="F27" s="493"/>
      <c r="G27" s="490"/>
      <c r="H27" s="446"/>
      <c r="I27" s="490"/>
    </row>
    <row r="28" spans="2:9" ht="15.75" thickBot="1">
      <c r="B28" s="495" t="s">
        <v>1249</v>
      </c>
      <c r="C28" s="496"/>
      <c r="D28" s="497"/>
      <c r="E28" s="498"/>
      <c r="F28" s="498"/>
      <c r="G28" s="499">
        <f>SUM(G9:G26)</f>
        <v>1092615709.0113256</v>
      </c>
      <c r="H28" s="499">
        <f>SUM(H9:H26)</f>
        <v>303352181.10283142</v>
      </c>
      <c r="I28" s="499">
        <f>SUM(I9:I26)</f>
        <v>740914830.56000006</v>
      </c>
    </row>
    <row r="29" spans="2:9" ht="15.75" thickTop="1">
      <c r="B29" s="464"/>
      <c r="C29" s="500" t="s">
        <v>1922</v>
      </c>
      <c r="D29" s="464"/>
      <c r="E29" s="464"/>
      <c r="F29" s="464"/>
      <c r="G29" s="501">
        <f>G28/G7</f>
        <v>33488.246962411271</v>
      </c>
      <c r="H29" s="501">
        <f>ROUND(H28/H7,0)</f>
        <v>36975</v>
      </c>
      <c r="I29" s="501">
        <f>I28/I7</f>
        <v>22506.862893177597</v>
      </c>
    </row>
    <row r="30" spans="2:9">
      <c r="B30" s="464"/>
      <c r="C30" s="464"/>
      <c r="D30" s="464"/>
      <c r="E30" s="464"/>
      <c r="F30" s="464"/>
      <c r="G30" s="466"/>
      <c r="I30" s="2"/>
    </row>
    <row r="31" spans="2:9">
      <c r="B31" s="464"/>
      <c r="C31" s="464"/>
      <c r="D31" s="464"/>
      <c r="E31" s="464"/>
      <c r="F31" s="464"/>
      <c r="G31" s="466">
        <v>0</v>
      </c>
      <c r="I31" s="2"/>
    </row>
    <row r="32" spans="2:9">
      <c r="B32" s="464"/>
      <c r="C32" s="464"/>
      <c r="D32" s="500" t="s">
        <v>1923</v>
      </c>
      <c r="E32" s="500"/>
      <c r="F32" s="464"/>
      <c r="G32" s="501">
        <f>+H29</f>
        <v>36975</v>
      </c>
      <c r="I32" s="501">
        <f>SUM(I29:I31)</f>
        <v>22506.862893177597</v>
      </c>
    </row>
    <row r="33" spans="2:9">
      <c r="B33" s="464"/>
      <c r="C33" s="500" t="s">
        <v>1924</v>
      </c>
      <c r="D33" s="464"/>
      <c r="E33" s="464">
        <f>+'[67]CLOSING STOCK AS ON 31-03-21'!N47</f>
        <v>349.31700000000001</v>
      </c>
      <c r="F33" s="464"/>
      <c r="G33" s="502">
        <f>+'[73]CLOSING STOCK21-22'!$N$40</f>
        <v>462.15800000000002</v>
      </c>
      <c r="I33" s="501">
        <f>+'[67]CLOSING STOCK AS ON 31-03-21'!D46</f>
        <v>416.44099999999997</v>
      </c>
    </row>
    <row r="34" spans="2:9">
      <c r="B34" s="464"/>
      <c r="C34" s="464"/>
      <c r="D34" s="464"/>
      <c r="E34" s="464">
        <f>+'[67]CLOSING STOCK AS ON 31-03-21'!N46</f>
        <v>366.012</v>
      </c>
      <c r="F34" s="464"/>
      <c r="G34" s="466"/>
      <c r="I34" s="466"/>
    </row>
    <row r="35" spans="2:9">
      <c r="B35" s="464"/>
      <c r="C35" s="500" t="s">
        <v>1925</v>
      </c>
      <c r="D35" s="464"/>
      <c r="E35" s="464"/>
      <c r="F35" s="464"/>
      <c r="G35" s="501">
        <f>ROUND(G32*G33,0)</f>
        <v>17088292</v>
      </c>
      <c r="I35" s="501">
        <f>I32*I33</f>
        <v>9372780.4900977705</v>
      </c>
    </row>
    <row r="36" spans="2:9">
      <c r="B36" s="464"/>
      <c r="C36" s="464"/>
      <c r="D36" s="464"/>
      <c r="E36" s="464"/>
      <c r="F36" s="464"/>
      <c r="G36" s="466"/>
      <c r="I36" s="2"/>
    </row>
    <row r="37" spans="2:9">
      <c r="B37" s="464"/>
      <c r="C37" s="464"/>
      <c r="D37" s="464"/>
      <c r="E37" s="464"/>
      <c r="F37" s="464"/>
      <c r="G37" s="466"/>
      <c r="I37" s="2"/>
    </row>
    <row r="38" spans="2:9">
      <c r="B38" s="464"/>
      <c r="C38" s="464"/>
      <c r="D38" s="464"/>
      <c r="E38" s="464"/>
      <c r="F38" s="464"/>
      <c r="G38" s="466"/>
      <c r="I38" s="2"/>
    </row>
    <row r="39" spans="2:9">
      <c r="B39" s="464"/>
      <c r="C39" s="500"/>
      <c r="D39" s="464"/>
      <c r="E39" s="464"/>
      <c r="F39" s="464"/>
      <c r="G39" s="501"/>
      <c r="I39" s="2"/>
    </row>
    <row r="40" spans="2:9">
      <c r="G40" s="2"/>
      <c r="I40" s="2"/>
    </row>
    <row r="41" spans="2:9">
      <c r="G41" s="2"/>
    </row>
    <row r="42" spans="2:9">
      <c r="G42" s="2"/>
    </row>
    <row r="43" spans="2:9">
      <c r="G43" s="2"/>
    </row>
    <row r="44" spans="2:9">
      <c r="G44" s="2"/>
    </row>
    <row r="45" spans="2:9">
      <c r="G45" s="2"/>
    </row>
    <row r="46" spans="2:9">
      <c r="G46" s="2"/>
    </row>
    <row r="47" spans="2:9">
      <c r="G47" s="2"/>
    </row>
    <row r="48" spans="2:9">
      <c r="G48" s="2"/>
    </row>
    <row r="49" spans="5:7">
      <c r="G49" s="2"/>
    </row>
    <row r="50" spans="5:7">
      <c r="E50" s="393"/>
      <c r="G50" s="1"/>
    </row>
  </sheetData>
  <mergeCells count="2">
    <mergeCell ref="B3:G3"/>
    <mergeCell ref="B5:G5"/>
  </mergeCells>
  <pageMargins left="0.7" right="0.7" top="0.75" bottom="0.75" header="0.3" footer="0.3"/>
  <pageSetup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60"/>
  <sheetViews>
    <sheetView zoomScale="85" zoomScaleNormal="85" workbookViewId="0">
      <pane ySplit="5" topLeftCell="A6" activePane="bottomLeft" state="frozen"/>
      <selection pane="bottomLeft" activeCell="I461" sqref="I461"/>
    </sheetView>
  </sheetViews>
  <sheetFormatPr defaultRowHeight="16.5"/>
  <cols>
    <col min="1" max="1" width="12.42578125" style="1306" customWidth="1"/>
    <col min="2" max="2" width="36.28515625" style="1307" bestFit="1" customWidth="1"/>
    <col min="3" max="3" width="31.28515625" style="1307" customWidth="1"/>
    <col min="4" max="4" width="18.140625" style="1307" bestFit="1" customWidth="1"/>
    <col min="5" max="5" width="19.42578125" style="1309" bestFit="1" customWidth="1"/>
    <col min="6" max="6" width="9.85546875" style="1307" customWidth="1"/>
    <col min="7" max="7" width="11" style="1307" hidden="1" customWidth="1"/>
    <col min="8" max="8" width="9.140625" style="1307" hidden="1" customWidth="1"/>
    <col min="9" max="9" width="17.28515625" style="1309" customWidth="1"/>
    <col min="10" max="11" width="16.28515625" style="1309" customWidth="1"/>
    <col min="12" max="12" width="16.28515625" style="1309" bestFit="1" customWidth="1"/>
    <col min="13" max="13" width="13.42578125" style="1309" bestFit="1" customWidth="1"/>
    <col min="14" max="14" width="12.7109375" style="1307" bestFit="1" customWidth="1"/>
    <col min="15" max="16384" width="9.140625" style="1307"/>
  </cols>
  <sheetData>
    <row r="1" spans="1:14">
      <c r="D1" s="1308">
        <v>44651</v>
      </c>
      <c r="J1" s="1309">
        <f>SUBTOTAL(9,J6:J459)/2</f>
        <v>17545003.5</v>
      </c>
      <c r="K1" s="1309">
        <f>SUBTOTAL(9,K6:K459)/3</f>
        <v>1280486</v>
      </c>
      <c r="L1" s="1309">
        <f>SUBTOTAL(9,L6:L459)/2</f>
        <v>289777.5</v>
      </c>
      <c r="M1" s="1309">
        <f>SUBTOTAL(9,M6:M459)/3</f>
        <v>0</v>
      </c>
    </row>
    <row r="2" spans="1:14">
      <c r="A2" s="1310" t="s">
        <v>2464</v>
      </c>
      <c r="D2" s="1308"/>
      <c r="I2" s="1311">
        <v>0</v>
      </c>
      <c r="J2" s="1311">
        <v>46</v>
      </c>
      <c r="K2" s="1311">
        <v>61</v>
      </c>
      <c r="L2" s="1311">
        <v>91</v>
      </c>
      <c r="M2" s="1311">
        <v>121</v>
      </c>
    </row>
    <row r="3" spans="1:14">
      <c r="A3" s="1310" t="s">
        <v>2501</v>
      </c>
      <c r="D3" s="1308"/>
      <c r="I3" s="1311">
        <v>45</v>
      </c>
      <c r="J3" s="1311">
        <v>60</v>
      </c>
      <c r="K3" s="1311">
        <v>90</v>
      </c>
      <c r="L3" s="1311">
        <v>120</v>
      </c>
      <c r="M3" s="1311">
        <v>180</v>
      </c>
    </row>
    <row r="4" spans="1:14" ht="36.75" customHeight="1">
      <c r="A4" s="1312" t="s">
        <v>1935</v>
      </c>
      <c r="B4" s="1312" t="s">
        <v>9</v>
      </c>
      <c r="C4" s="1312" t="s">
        <v>2502</v>
      </c>
      <c r="D4" s="1313" t="s">
        <v>1689</v>
      </c>
      <c r="E4" s="1314" t="s">
        <v>2503</v>
      </c>
      <c r="F4" s="1315" t="s">
        <v>2504</v>
      </c>
      <c r="G4" s="1313" t="s">
        <v>2505</v>
      </c>
      <c r="H4" s="1313" t="s">
        <v>2506</v>
      </c>
      <c r="I4" s="1314" t="s">
        <v>1690</v>
      </c>
      <c r="J4" s="1314" t="s">
        <v>1690</v>
      </c>
      <c r="K4" s="1314" t="s">
        <v>1690</v>
      </c>
      <c r="L4" s="1314" t="s">
        <v>1690</v>
      </c>
      <c r="M4" s="1314" t="s">
        <v>1690</v>
      </c>
      <c r="N4" s="1316"/>
    </row>
    <row r="5" spans="1:14" ht="55.5" customHeight="1">
      <c r="A5" s="1317"/>
      <c r="B5" s="1318"/>
      <c r="C5" s="1317"/>
      <c r="D5" s="1319"/>
      <c r="E5" s="1320"/>
      <c r="F5" s="1321"/>
      <c r="G5" s="1319"/>
      <c r="H5" s="1319"/>
      <c r="I5" s="1320" t="s">
        <v>2507</v>
      </c>
      <c r="J5" s="1322" t="s">
        <v>2508</v>
      </c>
      <c r="K5" s="1320" t="s">
        <v>2509</v>
      </c>
      <c r="L5" s="1320" t="s">
        <v>2510</v>
      </c>
      <c r="M5" s="1320" t="s">
        <v>2511</v>
      </c>
      <c r="N5" s="1316"/>
    </row>
    <row r="6" spans="1:14">
      <c r="A6" s="1323"/>
      <c r="B6" s="1324"/>
      <c r="C6" s="1325"/>
      <c r="D6" s="1326"/>
      <c r="E6" s="1327"/>
      <c r="F6" s="1328"/>
      <c r="G6" s="1326"/>
      <c r="H6" s="1329"/>
      <c r="I6" s="1330"/>
      <c r="J6" s="1330"/>
      <c r="K6" s="1330"/>
      <c r="L6" s="1330"/>
      <c r="M6" s="1330"/>
      <c r="N6" s="1331"/>
    </row>
    <row r="7" spans="1:14">
      <c r="A7" s="1323">
        <v>1</v>
      </c>
      <c r="B7" s="1332" t="s">
        <v>15</v>
      </c>
      <c r="C7" s="1333">
        <v>2779</v>
      </c>
      <c r="D7" s="1334">
        <v>44647</v>
      </c>
      <c r="E7" s="1335">
        <v>473362</v>
      </c>
      <c r="F7" s="1328">
        <f t="shared" ref="F7:F11" si="0">$D$1-D7</f>
        <v>4</v>
      </c>
      <c r="G7" s="1326">
        <f>D7+F7</f>
        <v>44651</v>
      </c>
      <c r="H7" s="1329" t="e">
        <f>#REF!-G7</f>
        <v>#REF!</v>
      </c>
      <c r="I7" s="1330">
        <f t="shared" ref="I7:M11" si="1">IF(AND($F7&gt;=I$2,$F7&lt;=I$3),$E7,0)</f>
        <v>473362</v>
      </c>
      <c r="J7" s="1330">
        <f t="shared" si="1"/>
        <v>0</v>
      </c>
      <c r="K7" s="1330">
        <f t="shared" si="1"/>
        <v>0</v>
      </c>
      <c r="L7" s="1330">
        <f t="shared" si="1"/>
        <v>0</v>
      </c>
      <c r="M7" s="1330">
        <f t="shared" si="1"/>
        <v>0</v>
      </c>
      <c r="N7" s="1331"/>
    </row>
    <row r="8" spans="1:14">
      <c r="A8" s="1323"/>
      <c r="B8" s="1336"/>
      <c r="C8" s="1333" t="s">
        <v>2512</v>
      </c>
      <c r="D8" s="1334">
        <v>44561</v>
      </c>
      <c r="E8" s="1335">
        <v>-1294</v>
      </c>
      <c r="F8" s="1328">
        <f t="shared" si="0"/>
        <v>90</v>
      </c>
      <c r="G8" s="1326">
        <f t="shared" ref="G8:G10" si="2">D8+F8</f>
        <v>44651</v>
      </c>
      <c r="H8" s="1329" t="e">
        <f>#REF!-G8</f>
        <v>#REF!</v>
      </c>
      <c r="I8" s="1330">
        <v>-1294</v>
      </c>
      <c r="J8" s="1330">
        <f t="shared" si="1"/>
        <v>0</v>
      </c>
      <c r="K8" s="1330">
        <v>0</v>
      </c>
      <c r="L8" s="1330">
        <f t="shared" si="1"/>
        <v>0</v>
      </c>
      <c r="M8" s="1330">
        <f t="shared" si="1"/>
        <v>0</v>
      </c>
      <c r="N8" s="1331"/>
    </row>
    <row r="9" spans="1:14">
      <c r="A9" s="1323"/>
      <c r="B9" s="1336"/>
      <c r="C9" s="1333" t="s">
        <v>2513</v>
      </c>
      <c r="D9" s="1334">
        <v>44592</v>
      </c>
      <c r="E9" s="1335">
        <v>-7745</v>
      </c>
      <c r="F9" s="1328">
        <f t="shared" si="0"/>
        <v>59</v>
      </c>
      <c r="G9" s="1326">
        <f t="shared" si="2"/>
        <v>44651</v>
      </c>
      <c r="H9" s="1329" t="e">
        <f>#REF!-G9</f>
        <v>#REF!</v>
      </c>
      <c r="I9" s="1330">
        <v>-7745</v>
      </c>
      <c r="J9" s="1330">
        <v>0</v>
      </c>
      <c r="K9" s="1330">
        <f t="shared" si="1"/>
        <v>0</v>
      </c>
      <c r="L9" s="1330">
        <f t="shared" si="1"/>
        <v>0</v>
      </c>
      <c r="M9" s="1330">
        <f t="shared" si="1"/>
        <v>0</v>
      </c>
      <c r="N9" s="1331"/>
    </row>
    <row r="10" spans="1:14">
      <c r="A10" s="1323"/>
      <c r="B10" s="1336"/>
      <c r="C10" s="1333" t="s">
        <v>2514</v>
      </c>
      <c r="D10" s="1334">
        <v>44620</v>
      </c>
      <c r="E10" s="1335">
        <v>-8362</v>
      </c>
      <c r="F10" s="1328">
        <f t="shared" si="0"/>
        <v>31</v>
      </c>
      <c r="G10" s="1326">
        <f t="shared" si="2"/>
        <v>44651</v>
      </c>
      <c r="H10" s="1329" t="e">
        <f>#REF!-G10</f>
        <v>#REF!</v>
      </c>
      <c r="I10" s="1330">
        <f t="shared" si="1"/>
        <v>-8362</v>
      </c>
      <c r="J10" s="1330">
        <f t="shared" si="1"/>
        <v>0</v>
      </c>
      <c r="K10" s="1330">
        <f t="shared" si="1"/>
        <v>0</v>
      </c>
      <c r="L10" s="1330">
        <f t="shared" si="1"/>
        <v>0</v>
      </c>
      <c r="M10" s="1330">
        <f t="shared" si="1"/>
        <v>0</v>
      </c>
      <c r="N10" s="1331"/>
    </row>
    <row r="11" spans="1:14">
      <c r="A11" s="1323"/>
      <c r="B11" s="1336"/>
      <c r="C11" s="1333" t="s">
        <v>2515</v>
      </c>
      <c r="D11" s="1334">
        <v>44651</v>
      </c>
      <c r="E11" s="1335">
        <v>-4325</v>
      </c>
      <c r="F11" s="1328">
        <f t="shared" si="0"/>
        <v>0</v>
      </c>
      <c r="G11" s="1326"/>
      <c r="H11" s="1329"/>
      <c r="I11" s="1330">
        <f t="shared" si="1"/>
        <v>-4325</v>
      </c>
      <c r="J11" s="1330">
        <f t="shared" si="1"/>
        <v>0</v>
      </c>
      <c r="K11" s="1330">
        <f t="shared" si="1"/>
        <v>0</v>
      </c>
      <c r="L11" s="1330">
        <f t="shared" si="1"/>
        <v>0</v>
      </c>
      <c r="M11" s="1330">
        <f t="shared" si="1"/>
        <v>0</v>
      </c>
      <c r="N11" s="1331"/>
    </row>
    <row r="12" spans="1:14">
      <c r="A12" s="1323"/>
      <c r="B12" s="1324"/>
      <c r="C12" s="1329"/>
      <c r="D12" s="1326"/>
      <c r="E12" s="1337">
        <v>-5</v>
      </c>
      <c r="F12" s="1328"/>
      <c r="G12" s="1326"/>
      <c r="H12" s="1329"/>
      <c r="I12" s="1330">
        <v>-5</v>
      </c>
      <c r="J12" s="1330"/>
      <c r="K12" s="1330"/>
      <c r="L12" s="1330"/>
      <c r="M12" s="1330"/>
      <c r="N12" s="1331"/>
    </row>
    <row r="13" spans="1:14" s="1343" customFormat="1">
      <c r="A13" s="1338"/>
      <c r="B13" s="1339"/>
      <c r="C13" s="1340" t="s">
        <v>1724</v>
      </c>
      <c r="D13" s="1341"/>
      <c r="E13" s="1342">
        <f>SUM(E7:E12)</f>
        <v>451631</v>
      </c>
      <c r="F13" s="1342"/>
      <c r="G13" s="1341"/>
      <c r="H13" s="1341"/>
      <c r="I13" s="1342">
        <f>SUM(I7:I12)</f>
        <v>451631</v>
      </c>
      <c r="J13" s="1342">
        <f>SUM(J7:J12)</f>
        <v>0</v>
      </c>
      <c r="K13" s="1342">
        <f>SUM(K7:K12)</f>
        <v>0</v>
      </c>
      <c r="L13" s="1342">
        <f>SUM(L7:L12)</f>
        <v>0</v>
      </c>
      <c r="M13" s="1342">
        <f>SUM(M7:M12)</f>
        <v>0</v>
      </c>
    </row>
    <row r="14" spans="1:14">
      <c r="A14" s="1323"/>
      <c r="B14" s="1324"/>
      <c r="C14" s="1325"/>
      <c r="D14" s="1326"/>
      <c r="E14" s="1327"/>
      <c r="F14" s="1328"/>
      <c r="G14" s="1326"/>
      <c r="H14" s="1329"/>
      <c r="I14" s="1330"/>
      <c r="J14" s="1330"/>
      <c r="K14" s="1330"/>
      <c r="L14" s="1330"/>
      <c r="M14" s="1330"/>
      <c r="N14" s="1331"/>
    </row>
    <row r="15" spans="1:14">
      <c r="A15" s="1323">
        <v>2</v>
      </c>
      <c r="B15" s="1332" t="s">
        <v>20</v>
      </c>
      <c r="C15" s="1333">
        <v>2628</v>
      </c>
      <c r="D15" s="1334">
        <v>44627</v>
      </c>
      <c r="E15" s="1344">
        <v>759657</v>
      </c>
      <c r="F15" s="1328">
        <f t="shared" ref="F15:F16" si="3">$D$1-D15</f>
        <v>24</v>
      </c>
      <c r="G15" s="1326"/>
      <c r="H15" s="1329"/>
      <c r="I15" s="1330">
        <f t="shared" ref="I15:M16" si="4">IF(AND($F15&gt;=I$2,$F15&lt;=I$3),$E15,0)</f>
        <v>759657</v>
      </c>
      <c r="J15" s="1330">
        <f t="shared" si="4"/>
        <v>0</v>
      </c>
      <c r="K15" s="1330">
        <f t="shared" si="4"/>
        <v>0</v>
      </c>
      <c r="L15" s="1330">
        <f t="shared" si="4"/>
        <v>0</v>
      </c>
      <c r="M15" s="1330">
        <f t="shared" si="4"/>
        <v>0</v>
      </c>
      <c r="N15" s="1331"/>
    </row>
    <row r="16" spans="1:14">
      <c r="A16" s="1323"/>
      <c r="B16" s="1324"/>
      <c r="C16" s="1333">
        <v>2658</v>
      </c>
      <c r="D16" s="1334">
        <v>44630</v>
      </c>
      <c r="E16" s="1344">
        <v>761454</v>
      </c>
      <c r="F16" s="1328">
        <f t="shared" si="3"/>
        <v>21</v>
      </c>
      <c r="G16" s="1326"/>
      <c r="H16" s="1329"/>
      <c r="I16" s="1330">
        <f t="shared" si="4"/>
        <v>761454</v>
      </c>
      <c r="J16" s="1330">
        <f t="shared" si="4"/>
        <v>0</v>
      </c>
      <c r="K16" s="1330">
        <f t="shared" si="4"/>
        <v>0</v>
      </c>
      <c r="L16" s="1330">
        <f t="shared" si="4"/>
        <v>0</v>
      </c>
      <c r="M16" s="1330">
        <f t="shared" si="4"/>
        <v>0</v>
      </c>
      <c r="N16" s="1331"/>
    </row>
    <row r="17" spans="1:14">
      <c r="A17" s="1323"/>
      <c r="B17" s="1324"/>
      <c r="C17" s="1333" t="s">
        <v>1499</v>
      </c>
      <c r="D17" s="1334"/>
      <c r="E17" s="1344">
        <v>-1521</v>
      </c>
      <c r="F17" s="1328"/>
      <c r="G17" s="1326"/>
      <c r="H17" s="1329"/>
      <c r="I17" s="1330">
        <v>-1521</v>
      </c>
      <c r="J17" s="1330"/>
      <c r="K17" s="1330"/>
      <c r="L17" s="1330"/>
      <c r="M17" s="1330"/>
      <c r="N17" s="1331"/>
    </row>
    <row r="18" spans="1:14">
      <c r="A18" s="1323"/>
      <c r="B18" s="1324"/>
      <c r="C18" s="1329"/>
      <c r="D18" s="1326"/>
      <c r="E18" s="1337"/>
      <c r="F18" s="1328"/>
      <c r="G18" s="1326"/>
      <c r="H18" s="1329"/>
      <c r="I18" s="1330"/>
      <c r="J18" s="1330"/>
      <c r="K18" s="1330"/>
      <c r="L18" s="1330"/>
      <c r="M18" s="1330"/>
    </row>
    <row r="19" spans="1:14" s="1343" customFormat="1">
      <c r="A19" s="1338"/>
      <c r="B19" s="1339"/>
      <c r="C19" s="1340" t="s">
        <v>1724</v>
      </c>
      <c r="D19" s="1341"/>
      <c r="E19" s="1342">
        <f>SUM(E14:E18)</f>
        <v>1519590</v>
      </c>
      <c r="F19" s="1342"/>
      <c r="G19" s="1341"/>
      <c r="H19" s="1341"/>
      <c r="I19" s="1342">
        <f>SUM(I14:I18)</f>
        <v>1519590</v>
      </c>
      <c r="J19" s="1342">
        <f>SUM(J14:J18)</f>
        <v>0</v>
      </c>
      <c r="K19" s="1342">
        <f>SUM(K14:K18)</f>
        <v>0</v>
      </c>
      <c r="L19" s="1342">
        <f>SUM(L14:L18)</f>
        <v>0</v>
      </c>
      <c r="M19" s="1342">
        <f>SUM(M14:M18)</f>
        <v>0</v>
      </c>
    </row>
    <row r="20" spans="1:14">
      <c r="A20" s="1323"/>
      <c r="B20" s="1324"/>
      <c r="C20" s="1325"/>
      <c r="D20" s="1326"/>
      <c r="E20" s="1345"/>
      <c r="F20" s="1328"/>
      <c r="G20" s="1326"/>
      <c r="H20" s="1329"/>
      <c r="I20" s="1346">
        <f t="shared" ref="I20:M26" si="5">IF(AND($F20&gt;=I$2,$F20&lt;=I$3),$E20,0)</f>
        <v>0</v>
      </c>
      <c r="J20" s="1346">
        <f t="shared" si="5"/>
        <v>0</v>
      </c>
      <c r="K20" s="1346">
        <f t="shared" si="5"/>
        <v>0</v>
      </c>
      <c r="L20" s="1346">
        <f t="shared" si="5"/>
        <v>0</v>
      </c>
      <c r="M20" s="1346">
        <f t="shared" si="5"/>
        <v>0</v>
      </c>
    </row>
    <row r="21" spans="1:14">
      <c r="A21" s="1323">
        <v>3</v>
      </c>
      <c r="B21" s="1332" t="s">
        <v>22</v>
      </c>
      <c r="C21" s="1333">
        <v>2587</v>
      </c>
      <c r="D21" s="1334">
        <v>44622</v>
      </c>
      <c r="E21" s="1344">
        <v>741316</v>
      </c>
      <c r="F21" s="1328">
        <f t="shared" ref="F21:F26" si="6">$D$1-D21</f>
        <v>29</v>
      </c>
      <c r="G21" s="1326"/>
      <c r="H21" s="1329"/>
      <c r="I21" s="1346">
        <f t="shared" si="5"/>
        <v>741316</v>
      </c>
      <c r="J21" s="1346">
        <f t="shared" si="5"/>
        <v>0</v>
      </c>
      <c r="K21" s="1346">
        <f t="shared" si="5"/>
        <v>0</v>
      </c>
      <c r="L21" s="1346">
        <f t="shared" si="5"/>
        <v>0</v>
      </c>
      <c r="M21" s="1346">
        <f t="shared" si="5"/>
        <v>0</v>
      </c>
    </row>
    <row r="22" spans="1:14">
      <c r="A22" s="1323"/>
      <c r="B22" s="1324"/>
      <c r="C22" s="1333">
        <v>2623</v>
      </c>
      <c r="D22" s="1334">
        <v>44626</v>
      </c>
      <c r="E22" s="1344">
        <v>874274</v>
      </c>
      <c r="F22" s="1328">
        <f t="shared" si="6"/>
        <v>25</v>
      </c>
      <c r="G22" s="1326"/>
      <c r="H22" s="1329"/>
      <c r="I22" s="1346">
        <f t="shared" si="5"/>
        <v>874274</v>
      </c>
      <c r="J22" s="1346">
        <f t="shared" si="5"/>
        <v>0</v>
      </c>
      <c r="K22" s="1346">
        <f t="shared" si="5"/>
        <v>0</v>
      </c>
      <c r="L22" s="1346">
        <f t="shared" si="5"/>
        <v>0</v>
      </c>
      <c r="M22" s="1346">
        <f t="shared" si="5"/>
        <v>0</v>
      </c>
    </row>
    <row r="23" spans="1:14">
      <c r="A23" s="1323"/>
      <c r="B23" s="1324"/>
      <c r="C23" s="1333">
        <v>2670</v>
      </c>
      <c r="D23" s="1334">
        <v>44632</v>
      </c>
      <c r="E23" s="1344">
        <v>967879</v>
      </c>
      <c r="F23" s="1328">
        <f t="shared" si="6"/>
        <v>19</v>
      </c>
      <c r="G23" s="1326"/>
      <c r="H23" s="1329"/>
      <c r="I23" s="1346">
        <f t="shared" si="5"/>
        <v>967879</v>
      </c>
      <c r="J23" s="1346">
        <f t="shared" si="5"/>
        <v>0</v>
      </c>
      <c r="K23" s="1346">
        <f t="shared" si="5"/>
        <v>0</v>
      </c>
      <c r="L23" s="1346">
        <f t="shared" si="5"/>
        <v>0</v>
      </c>
      <c r="M23" s="1346">
        <f t="shared" si="5"/>
        <v>0</v>
      </c>
    </row>
    <row r="24" spans="1:14">
      <c r="A24" s="1323"/>
      <c r="B24" s="1324"/>
      <c r="C24" s="1333">
        <v>2695</v>
      </c>
      <c r="D24" s="1334">
        <v>44635</v>
      </c>
      <c r="E24" s="1344">
        <v>787398</v>
      </c>
      <c r="F24" s="1328">
        <f t="shared" si="6"/>
        <v>16</v>
      </c>
      <c r="G24" s="1326"/>
      <c r="H24" s="1329"/>
      <c r="I24" s="1346">
        <f t="shared" si="5"/>
        <v>787398</v>
      </c>
      <c r="J24" s="1346">
        <f t="shared" si="5"/>
        <v>0</v>
      </c>
      <c r="K24" s="1346">
        <f t="shared" si="5"/>
        <v>0</v>
      </c>
      <c r="L24" s="1346">
        <f t="shared" si="5"/>
        <v>0</v>
      </c>
      <c r="M24" s="1346">
        <f t="shared" si="5"/>
        <v>0</v>
      </c>
    </row>
    <row r="25" spans="1:14">
      <c r="A25" s="1323"/>
      <c r="B25" s="1324"/>
      <c r="C25" s="1333">
        <v>2718</v>
      </c>
      <c r="D25" s="1334">
        <v>44640</v>
      </c>
      <c r="E25" s="1344">
        <v>982103</v>
      </c>
      <c r="F25" s="1328">
        <f t="shared" si="6"/>
        <v>11</v>
      </c>
      <c r="G25" s="1326"/>
      <c r="H25" s="1329"/>
      <c r="I25" s="1346">
        <f t="shared" si="5"/>
        <v>982103</v>
      </c>
      <c r="J25" s="1346">
        <f t="shared" si="5"/>
        <v>0</v>
      </c>
      <c r="K25" s="1346">
        <f t="shared" si="5"/>
        <v>0</v>
      </c>
      <c r="L25" s="1346">
        <f t="shared" si="5"/>
        <v>0</v>
      </c>
      <c r="M25" s="1346">
        <f t="shared" si="5"/>
        <v>0</v>
      </c>
    </row>
    <row r="26" spans="1:14">
      <c r="A26" s="1323"/>
      <c r="B26" s="1324"/>
      <c r="C26" s="1333">
        <v>2740</v>
      </c>
      <c r="D26" s="1334">
        <v>44643</v>
      </c>
      <c r="E26" s="1344">
        <v>1010411</v>
      </c>
      <c r="F26" s="1328">
        <f t="shared" si="6"/>
        <v>8</v>
      </c>
      <c r="G26" s="1326"/>
      <c r="H26" s="1329"/>
      <c r="I26" s="1346">
        <f t="shared" si="5"/>
        <v>1010411</v>
      </c>
      <c r="J26" s="1346"/>
      <c r="K26" s="1346"/>
      <c r="L26" s="1346"/>
      <c r="M26" s="1346"/>
    </row>
    <row r="27" spans="1:14">
      <c r="A27" s="1323"/>
      <c r="B27" s="1324"/>
      <c r="C27" s="1325"/>
      <c r="D27" s="1326"/>
      <c r="E27" s="1347">
        <v>2</v>
      </c>
      <c r="F27" s="1328"/>
      <c r="G27" s="1326"/>
      <c r="H27" s="1329"/>
      <c r="I27" s="1347">
        <v>2</v>
      </c>
      <c r="J27" s="1330"/>
      <c r="K27" s="1330"/>
      <c r="L27" s="1330"/>
      <c r="M27" s="1330"/>
    </row>
    <row r="28" spans="1:14" s="1343" customFormat="1">
      <c r="A28" s="1338"/>
      <c r="B28" s="1339"/>
      <c r="C28" s="1340" t="s">
        <v>1724</v>
      </c>
      <c r="D28" s="1341"/>
      <c r="E28" s="1342">
        <f>SUM(E20:E27)</f>
        <v>5363383</v>
      </c>
      <c r="F28" s="1342"/>
      <c r="G28" s="1341"/>
      <c r="H28" s="1341"/>
      <c r="I28" s="1342">
        <f>SUM(I20:I27)</f>
        <v>5363383</v>
      </c>
      <c r="J28" s="1342">
        <f>SUM(J20:J27)</f>
        <v>0</v>
      </c>
      <c r="K28" s="1342">
        <f>SUM(K20:K27)</f>
        <v>0</v>
      </c>
      <c r="L28" s="1342">
        <f>SUM(L20:L27)</f>
        <v>0</v>
      </c>
      <c r="M28" s="1342">
        <f>SUM(M20:M27)</f>
        <v>0</v>
      </c>
    </row>
    <row r="29" spans="1:14">
      <c r="A29" s="1323"/>
      <c r="B29" s="1324"/>
      <c r="C29" s="1325"/>
      <c r="D29" s="1326"/>
      <c r="E29" s="1327"/>
      <c r="F29" s="1328"/>
      <c r="G29" s="1326"/>
      <c r="H29" s="1329"/>
      <c r="I29" s="1330"/>
      <c r="J29" s="1330"/>
      <c r="K29" s="1330"/>
      <c r="L29" s="1330"/>
      <c r="M29" s="1330"/>
      <c r="N29" s="1331"/>
    </row>
    <row r="30" spans="1:14">
      <c r="A30" s="1323">
        <v>4</v>
      </c>
      <c r="B30" s="1332" t="s">
        <v>24</v>
      </c>
      <c r="C30" s="1333">
        <v>2428</v>
      </c>
      <c r="D30" s="1334">
        <v>44602</v>
      </c>
      <c r="E30" s="1344">
        <v>410171</v>
      </c>
      <c r="F30" s="1328">
        <f t="shared" ref="F30:F66" si="7">$D$1-D30</f>
        <v>49</v>
      </c>
      <c r="G30" s="1326"/>
      <c r="H30" s="1329"/>
      <c r="I30" s="1346">
        <f t="shared" ref="I30:M66" si="8">IF(AND($F30&gt;=I$2,$F30&lt;=I$3),$E30,0)</f>
        <v>0</v>
      </c>
      <c r="J30" s="1346">
        <f t="shared" si="8"/>
        <v>410171</v>
      </c>
      <c r="K30" s="1346">
        <f t="shared" si="8"/>
        <v>0</v>
      </c>
      <c r="L30" s="1346">
        <f t="shared" si="8"/>
        <v>0</v>
      </c>
      <c r="M30" s="1346">
        <f t="shared" si="8"/>
        <v>0</v>
      </c>
      <c r="N30" s="1331"/>
    </row>
    <row r="31" spans="1:14">
      <c r="A31" s="1323"/>
      <c r="B31" s="1324"/>
      <c r="C31" s="1333">
        <v>2443</v>
      </c>
      <c r="D31" s="1334">
        <v>44603</v>
      </c>
      <c r="E31" s="1344">
        <v>381876</v>
      </c>
      <c r="F31" s="1328">
        <f t="shared" si="7"/>
        <v>48</v>
      </c>
      <c r="G31" s="1326"/>
      <c r="H31" s="1329"/>
      <c r="I31" s="1346">
        <f t="shared" si="8"/>
        <v>0</v>
      </c>
      <c r="J31" s="1346">
        <f t="shared" si="8"/>
        <v>381876</v>
      </c>
      <c r="K31" s="1346">
        <f t="shared" si="8"/>
        <v>0</v>
      </c>
      <c r="L31" s="1346">
        <f t="shared" si="8"/>
        <v>0</v>
      </c>
      <c r="M31" s="1346">
        <f t="shared" si="8"/>
        <v>0</v>
      </c>
      <c r="N31" s="1331"/>
    </row>
    <row r="32" spans="1:14">
      <c r="A32" s="1323"/>
      <c r="B32" s="1324"/>
      <c r="C32" s="1333">
        <v>2445</v>
      </c>
      <c r="D32" s="1334">
        <v>44603</v>
      </c>
      <c r="E32" s="1344">
        <v>287894</v>
      </c>
      <c r="F32" s="1328">
        <f t="shared" si="7"/>
        <v>48</v>
      </c>
      <c r="G32" s="1326"/>
      <c r="H32" s="1329"/>
      <c r="I32" s="1346">
        <f t="shared" si="8"/>
        <v>0</v>
      </c>
      <c r="J32" s="1346">
        <f t="shared" si="8"/>
        <v>287894</v>
      </c>
      <c r="K32" s="1346">
        <f t="shared" si="8"/>
        <v>0</v>
      </c>
      <c r="L32" s="1346">
        <f t="shared" si="8"/>
        <v>0</v>
      </c>
      <c r="M32" s="1346">
        <f t="shared" si="8"/>
        <v>0</v>
      </c>
      <c r="N32" s="1331"/>
    </row>
    <row r="33" spans="1:14">
      <c r="A33" s="1323"/>
      <c r="B33" s="1324"/>
      <c r="C33" s="1333">
        <v>2447</v>
      </c>
      <c r="D33" s="1334">
        <v>44603</v>
      </c>
      <c r="E33" s="1344">
        <v>248800</v>
      </c>
      <c r="F33" s="1328">
        <f t="shared" si="7"/>
        <v>48</v>
      </c>
      <c r="G33" s="1326"/>
      <c r="H33" s="1329"/>
      <c r="I33" s="1346">
        <f t="shared" si="8"/>
        <v>0</v>
      </c>
      <c r="J33" s="1346">
        <f t="shared" si="8"/>
        <v>248800</v>
      </c>
      <c r="K33" s="1346">
        <f t="shared" si="8"/>
        <v>0</v>
      </c>
      <c r="L33" s="1346">
        <f t="shared" si="8"/>
        <v>0</v>
      </c>
      <c r="M33" s="1346">
        <f t="shared" si="8"/>
        <v>0</v>
      </c>
      <c r="N33" s="1331"/>
    </row>
    <row r="34" spans="1:14">
      <c r="A34" s="1323"/>
      <c r="B34" s="1324"/>
      <c r="C34" s="1333">
        <v>2454</v>
      </c>
      <c r="D34" s="1334">
        <v>44605</v>
      </c>
      <c r="E34" s="1344">
        <v>276154</v>
      </c>
      <c r="F34" s="1328">
        <f t="shared" si="7"/>
        <v>46</v>
      </c>
      <c r="G34" s="1326"/>
      <c r="H34" s="1329"/>
      <c r="I34" s="1346">
        <f t="shared" si="8"/>
        <v>0</v>
      </c>
      <c r="J34" s="1346">
        <f t="shared" si="8"/>
        <v>276154</v>
      </c>
      <c r="K34" s="1346">
        <f t="shared" si="8"/>
        <v>0</v>
      </c>
      <c r="L34" s="1346">
        <f t="shared" si="8"/>
        <v>0</v>
      </c>
      <c r="M34" s="1346">
        <f t="shared" si="8"/>
        <v>0</v>
      </c>
      <c r="N34" s="1331"/>
    </row>
    <row r="35" spans="1:14">
      <c r="A35" s="1323"/>
      <c r="B35" s="1324"/>
      <c r="C35" s="1333">
        <v>2455</v>
      </c>
      <c r="D35" s="1334">
        <v>44605</v>
      </c>
      <c r="E35" s="1344">
        <v>358947</v>
      </c>
      <c r="F35" s="1328">
        <f t="shared" si="7"/>
        <v>46</v>
      </c>
      <c r="G35" s="1326"/>
      <c r="H35" s="1329"/>
      <c r="I35" s="1346">
        <f t="shared" si="8"/>
        <v>0</v>
      </c>
      <c r="J35" s="1346">
        <f t="shared" si="8"/>
        <v>358947</v>
      </c>
      <c r="K35" s="1330"/>
      <c r="L35" s="1330"/>
      <c r="M35" s="1330"/>
      <c r="N35" s="1331"/>
    </row>
    <row r="36" spans="1:14">
      <c r="A36" s="1323"/>
      <c r="B36" s="1324"/>
      <c r="C36" s="1333">
        <v>2460</v>
      </c>
      <c r="D36" s="1334">
        <v>44606</v>
      </c>
      <c r="E36" s="1344">
        <v>272259</v>
      </c>
      <c r="F36" s="1328">
        <f t="shared" si="7"/>
        <v>45</v>
      </c>
      <c r="G36" s="1326"/>
      <c r="H36" s="1329"/>
      <c r="I36" s="1346">
        <f t="shared" si="8"/>
        <v>272259</v>
      </c>
      <c r="J36" s="1346">
        <f t="shared" si="8"/>
        <v>0</v>
      </c>
      <c r="K36" s="1330"/>
      <c r="L36" s="1330"/>
      <c r="M36" s="1330"/>
      <c r="N36" s="1331"/>
    </row>
    <row r="37" spans="1:14">
      <c r="A37" s="1323"/>
      <c r="B37" s="1324"/>
      <c r="C37" s="1333">
        <v>2466</v>
      </c>
      <c r="D37" s="1334">
        <v>44606</v>
      </c>
      <c r="E37" s="1344">
        <v>280697</v>
      </c>
      <c r="F37" s="1328">
        <f t="shared" si="7"/>
        <v>45</v>
      </c>
      <c r="G37" s="1326"/>
      <c r="H37" s="1329"/>
      <c r="I37" s="1346">
        <f t="shared" si="8"/>
        <v>280697</v>
      </c>
      <c r="J37" s="1346">
        <f t="shared" si="8"/>
        <v>0</v>
      </c>
      <c r="K37" s="1330"/>
      <c r="L37" s="1330"/>
      <c r="M37" s="1330"/>
      <c r="N37" s="1331"/>
    </row>
    <row r="38" spans="1:14">
      <c r="A38" s="1323"/>
      <c r="B38" s="1324"/>
      <c r="C38" s="1333">
        <v>2467</v>
      </c>
      <c r="D38" s="1334">
        <v>44606</v>
      </c>
      <c r="E38" s="1344">
        <v>278570</v>
      </c>
      <c r="F38" s="1328">
        <f t="shared" si="7"/>
        <v>45</v>
      </c>
      <c r="G38" s="1326"/>
      <c r="H38" s="1329"/>
      <c r="I38" s="1346">
        <f t="shared" si="8"/>
        <v>278570</v>
      </c>
      <c r="J38" s="1346">
        <f t="shared" si="8"/>
        <v>0</v>
      </c>
      <c r="K38" s="1330"/>
      <c r="L38" s="1330"/>
      <c r="M38" s="1330"/>
      <c r="N38" s="1331"/>
    </row>
    <row r="39" spans="1:14">
      <c r="A39" s="1323"/>
      <c r="B39" s="1324"/>
      <c r="C39" s="1333">
        <v>2476</v>
      </c>
      <c r="D39" s="1334">
        <v>44607</v>
      </c>
      <c r="E39" s="1344">
        <v>343208</v>
      </c>
      <c r="F39" s="1328">
        <f t="shared" si="7"/>
        <v>44</v>
      </c>
      <c r="G39" s="1326"/>
      <c r="H39" s="1329"/>
      <c r="I39" s="1346">
        <f t="shared" si="8"/>
        <v>343208</v>
      </c>
      <c r="J39" s="1346">
        <f t="shared" si="8"/>
        <v>0</v>
      </c>
      <c r="K39" s="1330"/>
      <c r="L39" s="1330"/>
      <c r="M39" s="1330"/>
      <c r="N39" s="1331"/>
    </row>
    <row r="40" spans="1:14">
      <c r="A40" s="1323"/>
      <c r="B40" s="1324"/>
      <c r="C40" s="1333">
        <v>2481</v>
      </c>
      <c r="D40" s="1334">
        <v>44608</v>
      </c>
      <c r="E40" s="1344">
        <v>208011</v>
      </c>
      <c r="F40" s="1328">
        <f t="shared" si="7"/>
        <v>43</v>
      </c>
      <c r="G40" s="1326"/>
      <c r="H40" s="1329"/>
      <c r="I40" s="1346">
        <f t="shared" si="8"/>
        <v>208011</v>
      </c>
      <c r="J40" s="1346">
        <f t="shared" si="8"/>
        <v>0</v>
      </c>
      <c r="K40" s="1330"/>
      <c r="L40" s="1330"/>
      <c r="M40" s="1330"/>
      <c r="N40" s="1331"/>
    </row>
    <row r="41" spans="1:14">
      <c r="A41" s="1323"/>
      <c r="B41" s="1324"/>
      <c r="C41" s="1333">
        <v>2483</v>
      </c>
      <c r="D41" s="1334">
        <v>44608</v>
      </c>
      <c r="E41" s="1344">
        <v>270467</v>
      </c>
      <c r="F41" s="1328">
        <f t="shared" si="7"/>
        <v>43</v>
      </c>
      <c r="G41" s="1326"/>
      <c r="H41" s="1329"/>
      <c r="I41" s="1346">
        <f t="shared" si="8"/>
        <v>270467</v>
      </c>
      <c r="J41" s="1346">
        <f t="shared" si="8"/>
        <v>0</v>
      </c>
      <c r="K41" s="1330"/>
      <c r="L41" s="1330"/>
      <c r="M41" s="1330"/>
      <c r="N41" s="1331"/>
    </row>
    <row r="42" spans="1:14">
      <c r="A42" s="1323"/>
      <c r="B42" s="1324"/>
      <c r="C42" s="1333">
        <v>2485</v>
      </c>
      <c r="D42" s="1334">
        <v>44608</v>
      </c>
      <c r="E42" s="1344">
        <v>257065</v>
      </c>
      <c r="F42" s="1328">
        <f t="shared" si="7"/>
        <v>43</v>
      </c>
      <c r="G42" s="1326"/>
      <c r="H42" s="1329"/>
      <c r="I42" s="1346">
        <f t="shared" si="8"/>
        <v>257065</v>
      </c>
      <c r="J42" s="1346">
        <f t="shared" si="8"/>
        <v>0</v>
      </c>
      <c r="K42" s="1330"/>
      <c r="L42" s="1330"/>
      <c r="M42" s="1330"/>
      <c r="N42" s="1331"/>
    </row>
    <row r="43" spans="1:14">
      <c r="A43" s="1323"/>
      <c r="B43" s="1324"/>
      <c r="C43" s="1333">
        <v>2491</v>
      </c>
      <c r="D43" s="1334">
        <v>44609</v>
      </c>
      <c r="E43" s="1344">
        <v>353882</v>
      </c>
      <c r="F43" s="1328">
        <f t="shared" si="7"/>
        <v>42</v>
      </c>
      <c r="G43" s="1326"/>
      <c r="H43" s="1329"/>
      <c r="I43" s="1346">
        <f t="shared" si="8"/>
        <v>353882</v>
      </c>
      <c r="J43" s="1346">
        <f t="shared" si="8"/>
        <v>0</v>
      </c>
      <c r="K43" s="1330"/>
      <c r="L43" s="1330"/>
      <c r="M43" s="1330"/>
      <c r="N43" s="1331"/>
    </row>
    <row r="44" spans="1:14">
      <c r="A44" s="1323"/>
      <c r="B44" s="1324"/>
      <c r="C44" s="1333">
        <v>2506</v>
      </c>
      <c r="D44" s="1334">
        <v>44611</v>
      </c>
      <c r="E44" s="1344">
        <v>280442</v>
      </c>
      <c r="F44" s="1328">
        <f t="shared" si="7"/>
        <v>40</v>
      </c>
      <c r="G44" s="1326"/>
      <c r="H44" s="1329"/>
      <c r="I44" s="1346">
        <f t="shared" si="8"/>
        <v>280442</v>
      </c>
      <c r="J44" s="1346">
        <f t="shared" si="8"/>
        <v>0</v>
      </c>
      <c r="K44" s="1330"/>
      <c r="L44" s="1330"/>
      <c r="M44" s="1330"/>
      <c r="N44" s="1331"/>
    </row>
    <row r="45" spans="1:14">
      <c r="A45" s="1323"/>
      <c r="B45" s="1324"/>
      <c r="C45" s="1333">
        <v>2507</v>
      </c>
      <c r="D45" s="1334">
        <v>44611</v>
      </c>
      <c r="E45" s="1344">
        <v>275960</v>
      </c>
      <c r="F45" s="1328">
        <f t="shared" si="7"/>
        <v>40</v>
      </c>
      <c r="G45" s="1326"/>
      <c r="H45" s="1329"/>
      <c r="I45" s="1346">
        <f t="shared" si="8"/>
        <v>275960</v>
      </c>
      <c r="J45" s="1346">
        <f t="shared" si="8"/>
        <v>0</v>
      </c>
      <c r="K45" s="1330"/>
      <c r="L45" s="1330"/>
      <c r="M45" s="1330"/>
      <c r="N45" s="1331"/>
    </row>
    <row r="46" spans="1:14">
      <c r="A46" s="1323"/>
      <c r="B46" s="1324"/>
      <c r="C46" s="1333">
        <v>2508</v>
      </c>
      <c r="D46" s="1334">
        <v>44611</v>
      </c>
      <c r="E46" s="1344">
        <v>266533</v>
      </c>
      <c r="F46" s="1328">
        <f t="shared" si="7"/>
        <v>40</v>
      </c>
      <c r="G46" s="1326"/>
      <c r="H46" s="1329"/>
      <c r="I46" s="1346">
        <f t="shared" si="8"/>
        <v>266533</v>
      </c>
      <c r="J46" s="1346">
        <f t="shared" si="8"/>
        <v>0</v>
      </c>
      <c r="K46" s="1330"/>
      <c r="L46" s="1330"/>
      <c r="M46" s="1330"/>
      <c r="N46" s="1331"/>
    </row>
    <row r="47" spans="1:14">
      <c r="A47" s="1323"/>
      <c r="B47" s="1324"/>
      <c r="C47" s="1333">
        <v>2511</v>
      </c>
      <c r="D47" s="1334">
        <v>44612</v>
      </c>
      <c r="E47" s="1344">
        <v>213389</v>
      </c>
      <c r="F47" s="1328">
        <f t="shared" si="7"/>
        <v>39</v>
      </c>
      <c r="G47" s="1326"/>
      <c r="H47" s="1329"/>
      <c r="I47" s="1346">
        <f t="shared" si="8"/>
        <v>213389</v>
      </c>
      <c r="J47" s="1346">
        <f t="shared" si="8"/>
        <v>0</v>
      </c>
      <c r="K47" s="1330"/>
      <c r="L47" s="1330"/>
      <c r="M47" s="1330"/>
      <c r="N47" s="1331"/>
    </row>
    <row r="48" spans="1:14">
      <c r="A48" s="1323"/>
      <c r="B48" s="1324"/>
      <c r="C48" s="1333">
        <v>2527</v>
      </c>
      <c r="D48" s="1334">
        <v>44614</v>
      </c>
      <c r="E48" s="1344">
        <v>240436</v>
      </c>
      <c r="F48" s="1328">
        <f t="shared" si="7"/>
        <v>37</v>
      </c>
      <c r="G48" s="1326"/>
      <c r="H48" s="1329"/>
      <c r="I48" s="1346">
        <f t="shared" si="8"/>
        <v>240436</v>
      </c>
      <c r="J48" s="1346">
        <f t="shared" si="8"/>
        <v>0</v>
      </c>
      <c r="K48" s="1330"/>
      <c r="L48" s="1330"/>
      <c r="M48" s="1330"/>
      <c r="N48" s="1331"/>
    </row>
    <row r="49" spans="1:14">
      <c r="A49" s="1323"/>
      <c r="B49" s="1324"/>
      <c r="C49" s="1333">
        <v>2529</v>
      </c>
      <c r="D49" s="1334">
        <v>44614</v>
      </c>
      <c r="E49" s="1344">
        <v>272143</v>
      </c>
      <c r="F49" s="1328">
        <f t="shared" si="7"/>
        <v>37</v>
      </c>
      <c r="G49" s="1326"/>
      <c r="H49" s="1329"/>
      <c r="I49" s="1346">
        <f t="shared" si="8"/>
        <v>272143</v>
      </c>
      <c r="J49" s="1346">
        <f t="shared" si="8"/>
        <v>0</v>
      </c>
      <c r="K49" s="1330"/>
      <c r="L49" s="1330"/>
      <c r="M49" s="1330"/>
      <c r="N49" s="1331"/>
    </row>
    <row r="50" spans="1:14">
      <c r="A50" s="1323"/>
      <c r="B50" s="1324"/>
      <c r="C50" s="1333">
        <v>2562</v>
      </c>
      <c r="D50" s="1334">
        <v>44618</v>
      </c>
      <c r="E50" s="1344">
        <v>241515</v>
      </c>
      <c r="F50" s="1328">
        <f t="shared" si="7"/>
        <v>33</v>
      </c>
      <c r="G50" s="1326"/>
      <c r="H50" s="1329"/>
      <c r="I50" s="1346">
        <f t="shared" si="8"/>
        <v>241515</v>
      </c>
      <c r="J50" s="1346">
        <f t="shared" si="8"/>
        <v>0</v>
      </c>
      <c r="K50" s="1330"/>
      <c r="L50" s="1330"/>
      <c r="M50" s="1330"/>
      <c r="N50" s="1331"/>
    </row>
    <row r="51" spans="1:14">
      <c r="A51" s="1323"/>
      <c r="B51" s="1324"/>
      <c r="C51" s="1333"/>
      <c r="D51" s="1334"/>
      <c r="E51" s="1344"/>
      <c r="F51" s="1328"/>
      <c r="G51" s="1326"/>
      <c r="H51" s="1329"/>
      <c r="I51" s="1346">
        <f>15708-261</f>
        <v>15447</v>
      </c>
      <c r="J51" s="1346"/>
      <c r="K51" s="1330"/>
      <c r="L51" s="1330"/>
      <c r="M51" s="1330"/>
      <c r="N51" s="1331"/>
    </row>
    <row r="52" spans="1:14">
      <c r="A52" s="1323"/>
      <c r="B52" s="1324"/>
      <c r="C52" s="1333">
        <v>2608</v>
      </c>
      <c r="D52" s="1334">
        <v>44625</v>
      </c>
      <c r="E52" s="1344">
        <v>316068</v>
      </c>
      <c r="F52" s="1328">
        <f t="shared" si="7"/>
        <v>26</v>
      </c>
      <c r="G52" s="1326"/>
      <c r="H52" s="1329"/>
      <c r="I52" s="1346">
        <f t="shared" si="8"/>
        <v>316068</v>
      </c>
      <c r="J52" s="1346">
        <f t="shared" si="8"/>
        <v>0</v>
      </c>
      <c r="K52" s="1330"/>
      <c r="L52" s="1330"/>
      <c r="M52" s="1330"/>
      <c r="N52" s="1331"/>
    </row>
    <row r="53" spans="1:14">
      <c r="A53" s="1323"/>
      <c r="B53" s="1324"/>
      <c r="C53" s="1333">
        <v>2609</v>
      </c>
      <c r="D53" s="1334">
        <v>44625</v>
      </c>
      <c r="E53" s="1344">
        <v>308988</v>
      </c>
      <c r="F53" s="1328">
        <f t="shared" si="7"/>
        <v>26</v>
      </c>
      <c r="G53" s="1326"/>
      <c r="H53" s="1329"/>
      <c r="I53" s="1346">
        <f t="shared" si="8"/>
        <v>308988</v>
      </c>
      <c r="J53" s="1346">
        <f t="shared" si="8"/>
        <v>0</v>
      </c>
      <c r="K53" s="1330"/>
      <c r="L53" s="1330"/>
      <c r="M53" s="1330"/>
      <c r="N53" s="1331"/>
    </row>
    <row r="54" spans="1:14">
      <c r="A54" s="1323"/>
      <c r="B54" s="1324"/>
      <c r="C54" s="1333">
        <v>2610</v>
      </c>
      <c r="D54" s="1334">
        <v>44625</v>
      </c>
      <c r="E54" s="1344">
        <v>311463</v>
      </c>
      <c r="F54" s="1328">
        <f t="shared" si="7"/>
        <v>26</v>
      </c>
      <c r="G54" s="1326"/>
      <c r="H54" s="1329"/>
      <c r="I54" s="1346">
        <f t="shared" si="8"/>
        <v>311463</v>
      </c>
      <c r="J54" s="1346">
        <f t="shared" si="8"/>
        <v>0</v>
      </c>
      <c r="K54" s="1330"/>
      <c r="L54" s="1330"/>
      <c r="M54" s="1330"/>
      <c r="N54" s="1331"/>
    </row>
    <row r="55" spans="1:14">
      <c r="A55" s="1323"/>
      <c r="B55" s="1324"/>
      <c r="C55" s="1333">
        <v>2625</v>
      </c>
      <c r="D55" s="1334">
        <v>44626</v>
      </c>
      <c r="E55" s="1344">
        <v>217577</v>
      </c>
      <c r="F55" s="1328">
        <f t="shared" si="7"/>
        <v>25</v>
      </c>
      <c r="G55" s="1326"/>
      <c r="H55" s="1329"/>
      <c r="I55" s="1346">
        <f t="shared" si="8"/>
        <v>217577</v>
      </c>
      <c r="J55" s="1346">
        <f t="shared" si="8"/>
        <v>0</v>
      </c>
      <c r="K55" s="1330"/>
      <c r="L55" s="1330"/>
      <c r="M55" s="1330"/>
      <c r="N55" s="1331"/>
    </row>
    <row r="56" spans="1:14">
      <c r="A56" s="1323"/>
      <c r="B56" s="1324"/>
      <c r="C56" s="1333">
        <v>2626</v>
      </c>
      <c r="D56" s="1334">
        <v>44626</v>
      </c>
      <c r="E56" s="1344">
        <v>310725</v>
      </c>
      <c r="F56" s="1328">
        <f t="shared" si="7"/>
        <v>25</v>
      </c>
      <c r="G56" s="1326"/>
      <c r="H56" s="1329"/>
      <c r="I56" s="1346">
        <f t="shared" si="8"/>
        <v>310725</v>
      </c>
      <c r="J56" s="1346">
        <f t="shared" si="8"/>
        <v>0</v>
      </c>
      <c r="K56" s="1330"/>
      <c r="L56" s="1330"/>
      <c r="M56" s="1330"/>
      <c r="N56" s="1331"/>
    </row>
    <row r="57" spans="1:14">
      <c r="A57" s="1323"/>
      <c r="B57" s="1324"/>
      <c r="C57" s="1333">
        <v>2639</v>
      </c>
      <c r="D57" s="1334">
        <v>44628</v>
      </c>
      <c r="E57" s="1344">
        <v>299429</v>
      </c>
      <c r="F57" s="1328">
        <f t="shared" si="7"/>
        <v>23</v>
      </c>
      <c r="G57" s="1326"/>
      <c r="H57" s="1329"/>
      <c r="I57" s="1346">
        <f t="shared" si="8"/>
        <v>299429</v>
      </c>
      <c r="J57" s="1346">
        <f t="shared" si="8"/>
        <v>0</v>
      </c>
      <c r="K57" s="1330"/>
      <c r="L57" s="1330"/>
      <c r="M57" s="1330"/>
      <c r="N57" s="1331"/>
    </row>
    <row r="58" spans="1:14">
      <c r="A58" s="1323"/>
      <c r="B58" s="1324"/>
      <c r="C58" s="1333">
        <v>2640</v>
      </c>
      <c r="D58" s="1334">
        <v>44628</v>
      </c>
      <c r="E58" s="1344">
        <v>315982</v>
      </c>
      <c r="F58" s="1328">
        <f t="shared" si="7"/>
        <v>23</v>
      </c>
      <c r="G58" s="1326"/>
      <c r="H58" s="1329"/>
      <c r="I58" s="1346">
        <f t="shared" si="8"/>
        <v>315982</v>
      </c>
      <c r="J58" s="1346">
        <f t="shared" si="8"/>
        <v>0</v>
      </c>
      <c r="K58" s="1330"/>
      <c r="L58" s="1330"/>
      <c r="M58" s="1330"/>
      <c r="N58" s="1331"/>
    </row>
    <row r="59" spans="1:14">
      <c r="A59" s="1323"/>
      <c r="B59" s="1324"/>
      <c r="C59" s="1333">
        <v>2646</v>
      </c>
      <c r="D59" s="1334">
        <v>44629</v>
      </c>
      <c r="E59" s="1344">
        <v>290955</v>
      </c>
      <c r="F59" s="1328">
        <f t="shared" si="7"/>
        <v>22</v>
      </c>
      <c r="G59" s="1326"/>
      <c r="H59" s="1329"/>
      <c r="I59" s="1346">
        <f t="shared" si="8"/>
        <v>290955</v>
      </c>
      <c r="J59" s="1346">
        <f t="shared" si="8"/>
        <v>0</v>
      </c>
      <c r="K59" s="1330"/>
      <c r="L59" s="1330"/>
      <c r="M59" s="1330"/>
      <c r="N59" s="1331"/>
    </row>
    <row r="60" spans="1:14">
      <c r="A60" s="1323"/>
      <c r="B60" s="1324"/>
      <c r="C60" s="1333">
        <v>2647</v>
      </c>
      <c r="D60" s="1334">
        <v>44629</v>
      </c>
      <c r="E60" s="1344">
        <v>222530</v>
      </c>
      <c r="F60" s="1328">
        <f t="shared" si="7"/>
        <v>22</v>
      </c>
      <c r="G60" s="1326"/>
      <c r="H60" s="1329"/>
      <c r="I60" s="1346">
        <f t="shared" si="8"/>
        <v>222530</v>
      </c>
      <c r="J60" s="1346">
        <f t="shared" si="8"/>
        <v>0</v>
      </c>
      <c r="K60" s="1330"/>
      <c r="L60" s="1330"/>
      <c r="M60" s="1330"/>
      <c r="N60" s="1331"/>
    </row>
    <row r="61" spans="1:14">
      <c r="A61" s="1323"/>
      <c r="B61" s="1324"/>
      <c r="C61" s="1333">
        <v>2660</v>
      </c>
      <c r="D61" s="1334">
        <v>44631</v>
      </c>
      <c r="E61" s="1344">
        <v>393880</v>
      </c>
      <c r="F61" s="1328">
        <f t="shared" si="7"/>
        <v>20</v>
      </c>
      <c r="G61" s="1326"/>
      <c r="H61" s="1329"/>
      <c r="I61" s="1346">
        <f t="shared" si="8"/>
        <v>393880</v>
      </c>
      <c r="J61" s="1346">
        <f t="shared" si="8"/>
        <v>0</v>
      </c>
      <c r="K61" s="1330"/>
      <c r="L61" s="1330"/>
      <c r="M61" s="1330"/>
      <c r="N61" s="1331"/>
    </row>
    <row r="62" spans="1:14">
      <c r="A62" s="1323"/>
      <c r="B62" s="1324"/>
      <c r="C62" s="1333">
        <v>2662</v>
      </c>
      <c r="D62" s="1334">
        <v>44631</v>
      </c>
      <c r="E62" s="1344">
        <v>319587</v>
      </c>
      <c r="F62" s="1328">
        <f t="shared" si="7"/>
        <v>20</v>
      </c>
      <c r="G62" s="1326"/>
      <c r="H62" s="1329"/>
      <c r="I62" s="1346">
        <f t="shared" si="8"/>
        <v>319587</v>
      </c>
      <c r="J62" s="1346">
        <f t="shared" si="8"/>
        <v>0</v>
      </c>
      <c r="K62" s="1330"/>
      <c r="L62" s="1330"/>
      <c r="M62" s="1330"/>
      <c r="N62" s="1331"/>
    </row>
    <row r="63" spans="1:14">
      <c r="A63" s="1323"/>
      <c r="B63" s="1324"/>
      <c r="C63" s="1333">
        <v>2668</v>
      </c>
      <c r="D63" s="1334">
        <v>44631</v>
      </c>
      <c r="E63" s="1344">
        <v>288046</v>
      </c>
      <c r="F63" s="1328">
        <f t="shared" si="7"/>
        <v>20</v>
      </c>
      <c r="G63" s="1326"/>
      <c r="H63" s="1329"/>
      <c r="I63" s="1346">
        <f t="shared" si="8"/>
        <v>288046</v>
      </c>
      <c r="J63" s="1346">
        <f t="shared" si="8"/>
        <v>0</v>
      </c>
      <c r="K63" s="1330"/>
      <c r="L63" s="1330"/>
      <c r="M63" s="1330"/>
      <c r="N63" s="1331"/>
    </row>
    <row r="64" spans="1:14">
      <c r="A64" s="1323"/>
      <c r="B64" s="1324"/>
      <c r="C64" s="1333">
        <v>2677</v>
      </c>
      <c r="D64" s="1334">
        <v>44633</v>
      </c>
      <c r="E64" s="1344">
        <v>221183</v>
      </c>
      <c r="F64" s="1328">
        <f t="shared" si="7"/>
        <v>18</v>
      </c>
      <c r="G64" s="1326"/>
      <c r="H64" s="1329"/>
      <c r="I64" s="1346">
        <f t="shared" si="8"/>
        <v>221183</v>
      </c>
      <c r="J64" s="1346">
        <f t="shared" si="8"/>
        <v>0</v>
      </c>
      <c r="K64" s="1330"/>
      <c r="L64" s="1330"/>
      <c r="M64" s="1330"/>
      <c r="N64" s="1331"/>
    </row>
    <row r="65" spans="1:14">
      <c r="A65" s="1323"/>
      <c r="B65" s="1324"/>
      <c r="C65" s="1333">
        <v>2690</v>
      </c>
      <c r="D65" s="1334">
        <v>44635</v>
      </c>
      <c r="E65" s="1344">
        <v>326018</v>
      </c>
      <c r="F65" s="1328">
        <f t="shared" si="7"/>
        <v>16</v>
      </c>
      <c r="G65" s="1326"/>
      <c r="H65" s="1329"/>
      <c r="I65" s="1346">
        <f t="shared" si="8"/>
        <v>326018</v>
      </c>
      <c r="J65" s="1346">
        <f t="shared" si="8"/>
        <v>0</v>
      </c>
      <c r="K65" s="1330"/>
      <c r="L65" s="1330"/>
      <c r="M65" s="1330"/>
      <c r="N65" s="1331"/>
    </row>
    <row r="66" spans="1:14">
      <c r="A66" s="1323"/>
      <c r="B66" s="1324"/>
      <c r="C66" s="1325"/>
      <c r="D66" s="1326"/>
      <c r="E66" s="1327">
        <f>15708-261</f>
        <v>15447</v>
      </c>
      <c r="F66" s="1328">
        <f t="shared" si="7"/>
        <v>44651</v>
      </c>
      <c r="G66" s="1326"/>
      <c r="H66" s="1329"/>
      <c r="I66" s="1330">
        <f t="shared" si="8"/>
        <v>0</v>
      </c>
      <c r="J66" s="1330">
        <f t="shared" si="8"/>
        <v>0</v>
      </c>
      <c r="K66" s="1330"/>
      <c r="L66" s="1330"/>
      <c r="M66" s="1330"/>
      <c r="N66" s="1331"/>
    </row>
    <row r="67" spans="1:14">
      <c r="A67" s="1323"/>
      <c r="B67" s="1324"/>
      <c r="C67" s="1329"/>
      <c r="D67" s="1326"/>
      <c r="E67" s="1337"/>
      <c r="F67" s="1328"/>
      <c r="G67" s="1326"/>
      <c r="H67" s="1329"/>
      <c r="I67" s="1330"/>
      <c r="J67" s="1330"/>
      <c r="K67" s="1330"/>
      <c r="L67" s="1330"/>
      <c r="M67" s="1330"/>
    </row>
    <row r="68" spans="1:14" s="1343" customFormat="1">
      <c r="A68" s="1338"/>
      <c r="B68" s="1339"/>
      <c r="C68" s="1340" t="s">
        <v>1724</v>
      </c>
      <c r="D68" s="1341"/>
      <c r="E68" s="1342">
        <f>SUM(E29:E67)</f>
        <v>10176297</v>
      </c>
      <c r="F68" s="1342"/>
      <c r="G68" s="1341"/>
      <c r="H68" s="1341"/>
      <c r="I68" s="1342">
        <f>SUM(I29:I67)</f>
        <v>8212455</v>
      </c>
      <c r="J68" s="1342">
        <f>SUM(J29:J67)</f>
        <v>1963842</v>
      </c>
      <c r="K68" s="1342">
        <f>SUM(K29:K67)</f>
        <v>0</v>
      </c>
      <c r="L68" s="1342">
        <f>SUM(L29:L67)</f>
        <v>0</v>
      </c>
      <c r="M68" s="1342">
        <f>SUM(M29:M67)</f>
        <v>0</v>
      </c>
    </row>
    <row r="69" spans="1:14">
      <c r="A69" s="1323" t="str">
        <f>IF(B69&gt;0,A68+1,"")</f>
        <v/>
      </c>
      <c r="B69" s="1324"/>
      <c r="C69" s="1325"/>
      <c r="D69" s="1326"/>
      <c r="E69" s="1327"/>
      <c r="F69" s="1328">
        <f t="shared" ref="F69:F73" si="9">$D$1-D69</f>
        <v>44651</v>
      </c>
      <c r="G69" s="1326">
        <f>D69+F69</f>
        <v>44651</v>
      </c>
      <c r="H69" s="1329" t="e">
        <f>#REF!-G69</f>
        <v>#REF!</v>
      </c>
      <c r="I69" s="1330">
        <f t="shared" ref="I69:M72" si="10">IF(AND($F69&gt;=I$2,$F69&lt;=I$3),$E69,0)</f>
        <v>0</v>
      </c>
      <c r="J69" s="1330">
        <f t="shared" si="10"/>
        <v>0</v>
      </c>
      <c r="K69" s="1330">
        <f t="shared" si="10"/>
        <v>0</v>
      </c>
      <c r="L69" s="1330">
        <f t="shared" si="10"/>
        <v>0</v>
      </c>
      <c r="M69" s="1330">
        <f t="shared" si="10"/>
        <v>0</v>
      </c>
      <c r="N69" s="1331"/>
    </row>
    <row r="70" spans="1:14">
      <c r="A70" s="1323">
        <v>5</v>
      </c>
      <c r="B70" s="1332" t="s">
        <v>26</v>
      </c>
      <c r="C70" s="1333">
        <v>2537</v>
      </c>
      <c r="D70" s="1334">
        <v>44615</v>
      </c>
      <c r="E70" s="1344">
        <v>917584</v>
      </c>
      <c r="F70" s="1328">
        <f t="shared" si="9"/>
        <v>36</v>
      </c>
      <c r="G70" s="1326"/>
      <c r="H70" s="1329"/>
      <c r="I70" s="1346">
        <f t="shared" si="10"/>
        <v>917584</v>
      </c>
      <c r="J70" s="1346">
        <f t="shared" si="10"/>
        <v>0</v>
      </c>
      <c r="K70" s="1330"/>
      <c r="L70" s="1330"/>
      <c r="M70" s="1330"/>
      <c r="N70" s="1331"/>
    </row>
    <row r="71" spans="1:14">
      <c r="A71" s="1323"/>
      <c r="B71" s="1324"/>
      <c r="C71" s="1333">
        <v>2585</v>
      </c>
      <c r="D71" s="1334">
        <v>44622</v>
      </c>
      <c r="E71" s="1344">
        <v>1026610</v>
      </c>
      <c r="F71" s="1328">
        <f t="shared" si="9"/>
        <v>29</v>
      </c>
      <c r="G71" s="1326"/>
      <c r="H71" s="1329"/>
      <c r="I71" s="1346">
        <f t="shared" si="10"/>
        <v>1026610</v>
      </c>
      <c r="J71" s="1346">
        <f t="shared" si="10"/>
        <v>0</v>
      </c>
      <c r="K71" s="1330"/>
      <c r="L71" s="1330"/>
      <c r="M71" s="1330"/>
      <c r="N71" s="1331"/>
    </row>
    <row r="72" spans="1:14">
      <c r="A72" s="1323"/>
      <c r="B72" s="1324"/>
      <c r="C72" s="1333">
        <v>2674</v>
      </c>
      <c r="D72" s="1334">
        <v>44633</v>
      </c>
      <c r="E72" s="1344">
        <v>957875</v>
      </c>
      <c r="F72" s="1328">
        <f t="shared" si="9"/>
        <v>18</v>
      </c>
      <c r="G72" s="1326"/>
      <c r="H72" s="1329"/>
      <c r="I72" s="1346">
        <f t="shared" si="10"/>
        <v>957875</v>
      </c>
      <c r="J72" s="1346">
        <f t="shared" si="10"/>
        <v>0</v>
      </c>
      <c r="K72" s="1330"/>
      <c r="L72" s="1330"/>
      <c r="M72" s="1330"/>
      <c r="N72" s="1331"/>
    </row>
    <row r="73" spans="1:14">
      <c r="A73" s="1323"/>
      <c r="B73" s="1324"/>
      <c r="C73" s="1325"/>
      <c r="D73" s="1326"/>
      <c r="E73" s="1327"/>
      <c r="F73" s="1328">
        <f t="shared" si="9"/>
        <v>44651</v>
      </c>
      <c r="G73" s="1326"/>
      <c r="H73" s="1329"/>
      <c r="I73" s="1330"/>
      <c r="J73" s="1330"/>
      <c r="K73" s="1330"/>
      <c r="L73" s="1330"/>
      <c r="M73" s="1330"/>
      <c r="N73" s="1331"/>
    </row>
    <row r="74" spans="1:14">
      <c r="A74" s="1323"/>
      <c r="B74" s="1348"/>
      <c r="C74" s="1325"/>
      <c r="D74" s="1326"/>
      <c r="E74" s="1347"/>
      <c r="F74" s="1328"/>
      <c r="G74" s="1326"/>
      <c r="H74" s="1329"/>
      <c r="I74" s="1330"/>
      <c r="J74" s="1330"/>
      <c r="K74" s="1330"/>
      <c r="L74" s="1330"/>
      <c r="M74" s="1330"/>
    </row>
    <row r="75" spans="1:14" s="1343" customFormat="1">
      <c r="A75" s="1338"/>
      <c r="B75" s="1339"/>
      <c r="C75" s="1340" t="s">
        <v>1724</v>
      </c>
      <c r="D75" s="1341"/>
      <c r="E75" s="1342">
        <f>SUM(E69:E74)</f>
        <v>2902069</v>
      </c>
      <c r="F75" s="1349"/>
      <c r="G75" s="1341"/>
      <c r="H75" s="1341"/>
      <c r="I75" s="1342">
        <f>SUM(I69:I74)</f>
        <v>2902069</v>
      </c>
      <c r="J75" s="1342">
        <f>SUM(J69:J74)</f>
        <v>0</v>
      </c>
      <c r="K75" s="1342">
        <f>SUM(K69:K74)</f>
        <v>0</v>
      </c>
      <c r="L75" s="1342">
        <f>SUM(L69:L74)</f>
        <v>0</v>
      </c>
      <c r="M75" s="1342">
        <f>SUM(M69:M74)</f>
        <v>0</v>
      </c>
    </row>
    <row r="76" spans="1:14">
      <c r="A76" s="1323"/>
      <c r="B76" s="1324"/>
      <c r="C76" s="1325"/>
      <c r="D76" s="1326"/>
      <c r="E76" s="1327"/>
      <c r="F76" s="1328"/>
      <c r="G76" s="1326"/>
      <c r="H76" s="1329"/>
      <c r="I76" s="1330"/>
      <c r="J76" s="1330"/>
      <c r="K76" s="1330"/>
      <c r="L76" s="1330"/>
      <c r="M76" s="1330"/>
      <c r="N76" s="1331"/>
    </row>
    <row r="77" spans="1:14">
      <c r="A77" s="1323">
        <v>6</v>
      </c>
      <c r="B77" s="1332" t="s">
        <v>32</v>
      </c>
      <c r="C77" s="1333">
        <v>2552</v>
      </c>
      <c r="D77" s="1334">
        <v>44617</v>
      </c>
      <c r="E77" s="1344">
        <v>876095</v>
      </c>
      <c r="F77" s="1328">
        <f t="shared" ref="F77:F78" si="11">$D$1-D77</f>
        <v>34</v>
      </c>
      <c r="G77" s="1326"/>
      <c r="H77" s="1329"/>
      <c r="I77" s="1346">
        <f t="shared" ref="I77:J77" si="12">IF(AND($F77&gt;=I$2,$F77&lt;=I$3),$E77,0)</f>
        <v>876095</v>
      </c>
      <c r="J77" s="1346">
        <f t="shared" si="12"/>
        <v>0</v>
      </c>
      <c r="K77" s="1330"/>
      <c r="L77" s="1330"/>
      <c r="M77" s="1330"/>
      <c r="N77" s="1331"/>
    </row>
    <row r="78" spans="1:14">
      <c r="A78" s="1323"/>
      <c r="B78" s="1324"/>
      <c r="C78" s="1325"/>
      <c r="D78" s="1326"/>
      <c r="E78" s="1327"/>
      <c r="F78" s="1328">
        <f t="shared" si="11"/>
        <v>44651</v>
      </c>
      <c r="G78" s="1326"/>
      <c r="H78" s="1329"/>
      <c r="I78" s="1330"/>
      <c r="J78" s="1330"/>
      <c r="K78" s="1330"/>
      <c r="L78" s="1330"/>
      <c r="M78" s="1330"/>
      <c r="N78" s="1331"/>
    </row>
    <row r="79" spans="1:14">
      <c r="A79" s="1323"/>
      <c r="B79" s="1348"/>
      <c r="C79" s="1325"/>
      <c r="D79" s="1326"/>
      <c r="E79" s="1347"/>
      <c r="F79" s="1328"/>
      <c r="G79" s="1326"/>
      <c r="H79" s="1329"/>
      <c r="I79" s="1330"/>
      <c r="J79" s="1330"/>
      <c r="K79" s="1330"/>
      <c r="L79" s="1330"/>
      <c r="M79" s="1330"/>
    </row>
    <row r="80" spans="1:14" s="1343" customFormat="1">
      <c r="A80" s="1338"/>
      <c r="B80" s="1350"/>
      <c r="C80" s="1340" t="s">
        <v>1724</v>
      </c>
      <c r="D80" s="1341"/>
      <c r="E80" s="1342">
        <f>SUM(E76:E79)</f>
        <v>876095</v>
      </c>
      <c r="F80" s="1349"/>
      <c r="G80" s="1341"/>
      <c r="H80" s="1341"/>
      <c r="I80" s="1342">
        <f>SUM(I76:I79)</f>
        <v>876095</v>
      </c>
      <c r="J80" s="1342">
        <f>SUM(J76:J79)</f>
        <v>0</v>
      </c>
      <c r="K80" s="1342">
        <f>SUM(K76:K79)</f>
        <v>0</v>
      </c>
      <c r="L80" s="1342">
        <f>SUM(L76:L79)</f>
        <v>0</v>
      </c>
      <c r="M80" s="1342">
        <f>SUM(M76:M79)</f>
        <v>0</v>
      </c>
    </row>
    <row r="81" spans="1:13">
      <c r="A81" s="1323"/>
      <c r="B81" s="1348"/>
      <c r="C81" s="1325"/>
      <c r="D81" s="1326"/>
      <c r="E81" s="1327"/>
      <c r="F81" s="1328">
        <f t="shared" ref="F81:F109" si="13">$D$1-D81</f>
        <v>44651</v>
      </c>
      <c r="G81" s="1326"/>
      <c r="H81" s="1329"/>
      <c r="I81" s="1330">
        <f t="shared" ref="I81:M96" si="14">IF(AND($F81&gt;=I$2,$F81&lt;=I$3),$E81,0)</f>
        <v>0</v>
      </c>
      <c r="J81" s="1330">
        <f t="shared" si="14"/>
        <v>0</v>
      </c>
      <c r="K81" s="1330">
        <f t="shared" si="14"/>
        <v>0</v>
      </c>
      <c r="L81" s="1330">
        <f t="shared" si="14"/>
        <v>0</v>
      </c>
      <c r="M81" s="1330">
        <f t="shared" si="14"/>
        <v>0</v>
      </c>
    </row>
    <row r="82" spans="1:13">
      <c r="A82" s="1323">
        <v>7</v>
      </c>
      <c r="B82" s="1332" t="s">
        <v>61</v>
      </c>
      <c r="C82" s="1333">
        <v>2475</v>
      </c>
      <c r="D82" s="1334">
        <v>44607</v>
      </c>
      <c r="E82" s="1344">
        <v>205847</v>
      </c>
      <c r="F82" s="1328">
        <f t="shared" si="13"/>
        <v>44</v>
      </c>
      <c r="G82" s="1326"/>
      <c r="H82" s="1329"/>
      <c r="I82" s="1330">
        <f t="shared" si="14"/>
        <v>205847</v>
      </c>
      <c r="J82" s="1330">
        <f t="shared" si="14"/>
        <v>0</v>
      </c>
      <c r="K82" s="1330">
        <f t="shared" si="14"/>
        <v>0</v>
      </c>
      <c r="L82" s="1330">
        <f t="shared" si="14"/>
        <v>0</v>
      </c>
      <c r="M82" s="1330">
        <f t="shared" si="14"/>
        <v>0</v>
      </c>
    </row>
    <row r="83" spans="1:13">
      <c r="A83" s="1323"/>
      <c r="B83" s="1348"/>
      <c r="C83" s="1333">
        <v>2477</v>
      </c>
      <c r="D83" s="1334">
        <v>44607</v>
      </c>
      <c r="E83" s="1344">
        <v>370171</v>
      </c>
      <c r="F83" s="1328">
        <f t="shared" si="13"/>
        <v>44</v>
      </c>
      <c r="G83" s="1326"/>
      <c r="H83" s="1329"/>
      <c r="I83" s="1330">
        <f t="shared" si="14"/>
        <v>370171</v>
      </c>
      <c r="J83" s="1330">
        <f t="shared" si="14"/>
        <v>0</v>
      </c>
      <c r="K83" s="1330">
        <f t="shared" si="14"/>
        <v>0</v>
      </c>
      <c r="L83" s="1330">
        <f t="shared" si="14"/>
        <v>0</v>
      </c>
      <c r="M83" s="1330">
        <f t="shared" si="14"/>
        <v>0</v>
      </c>
    </row>
    <row r="84" spans="1:13">
      <c r="A84" s="1323"/>
      <c r="B84" s="1348"/>
      <c r="C84" s="1333">
        <v>2536</v>
      </c>
      <c r="D84" s="1334">
        <v>44615</v>
      </c>
      <c r="E84" s="1344">
        <v>510961</v>
      </c>
      <c r="F84" s="1328">
        <f t="shared" si="13"/>
        <v>36</v>
      </c>
      <c r="G84" s="1326"/>
      <c r="H84" s="1329"/>
      <c r="I84" s="1330">
        <f t="shared" si="14"/>
        <v>510961</v>
      </c>
      <c r="J84" s="1330">
        <f t="shared" si="14"/>
        <v>0</v>
      </c>
      <c r="K84" s="1330">
        <f t="shared" si="14"/>
        <v>0</v>
      </c>
      <c r="L84" s="1330">
        <f t="shared" si="14"/>
        <v>0</v>
      </c>
      <c r="M84" s="1330">
        <f t="shared" si="14"/>
        <v>0</v>
      </c>
    </row>
    <row r="85" spans="1:13">
      <c r="A85" s="1323"/>
      <c r="B85" s="1348"/>
      <c r="C85" s="1333">
        <v>2581</v>
      </c>
      <c r="D85" s="1334">
        <v>44621</v>
      </c>
      <c r="E85" s="1344">
        <v>272891</v>
      </c>
      <c r="F85" s="1328">
        <f t="shared" si="13"/>
        <v>30</v>
      </c>
      <c r="G85" s="1326"/>
      <c r="H85" s="1329"/>
      <c r="I85" s="1330">
        <f t="shared" si="14"/>
        <v>272891</v>
      </c>
      <c r="J85" s="1330">
        <f t="shared" si="14"/>
        <v>0</v>
      </c>
      <c r="K85" s="1330">
        <f t="shared" si="14"/>
        <v>0</v>
      </c>
      <c r="L85" s="1330">
        <f t="shared" si="14"/>
        <v>0</v>
      </c>
      <c r="M85" s="1330">
        <f t="shared" si="14"/>
        <v>0</v>
      </c>
    </row>
    <row r="86" spans="1:13">
      <c r="A86" s="1323"/>
      <c r="B86" s="1348"/>
      <c r="C86" s="1333">
        <v>2584</v>
      </c>
      <c r="D86" s="1334">
        <v>44622</v>
      </c>
      <c r="E86" s="1344">
        <v>227575</v>
      </c>
      <c r="F86" s="1328">
        <f t="shared" si="13"/>
        <v>29</v>
      </c>
      <c r="G86" s="1326"/>
      <c r="H86" s="1329"/>
      <c r="I86" s="1330">
        <f t="shared" si="14"/>
        <v>227575</v>
      </c>
      <c r="J86" s="1330">
        <f t="shared" si="14"/>
        <v>0</v>
      </c>
      <c r="K86" s="1330">
        <f t="shared" si="14"/>
        <v>0</v>
      </c>
      <c r="L86" s="1330">
        <f t="shared" si="14"/>
        <v>0</v>
      </c>
      <c r="M86" s="1330">
        <f t="shared" si="14"/>
        <v>0</v>
      </c>
    </row>
    <row r="87" spans="1:13">
      <c r="A87" s="1323"/>
      <c r="B87" s="1348"/>
      <c r="C87" s="1333">
        <v>2723</v>
      </c>
      <c r="D87" s="1334">
        <v>44641</v>
      </c>
      <c r="E87" s="1344">
        <v>358321</v>
      </c>
      <c r="F87" s="1328">
        <f t="shared" si="13"/>
        <v>10</v>
      </c>
      <c r="G87" s="1326"/>
      <c r="H87" s="1329"/>
      <c r="I87" s="1330">
        <f t="shared" si="14"/>
        <v>358321</v>
      </c>
      <c r="J87" s="1330">
        <f t="shared" si="14"/>
        <v>0</v>
      </c>
      <c r="K87" s="1330">
        <f t="shared" si="14"/>
        <v>0</v>
      </c>
      <c r="L87" s="1330">
        <f t="shared" si="14"/>
        <v>0</v>
      </c>
      <c r="M87" s="1330">
        <f t="shared" si="14"/>
        <v>0</v>
      </c>
    </row>
    <row r="88" spans="1:13">
      <c r="A88" s="1323"/>
      <c r="B88" s="1348"/>
      <c r="C88" s="1333">
        <v>2724</v>
      </c>
      <c r="D88" s="1334">
        <v>44641</v>
      </c>
      <c r="E88" s="1344">
        <v>439585</v>
      </c>
      <c r="F88" s="1328">
        <f t="shared" si="13"/>
        <v>10</v>
      </c>
      <c r="G88" s="1326"/>
      <c r="H88" s="1329"/>
      <c r="I88" s="1330">
        <f t="shared" si="14"/>
        <v>439585</v>
      </c>
      <c r="J88" s="1330">
        <f t="shared" si="14"/>
        <v>0</v>
      </c>
      <c r="K88" s="1330">
        <f t="shared" si="14"/>
        <v>0</v>
      </c>
      <c r="L88" s="1330">
        <f t="shared" si="14"/>
        <v>0</v>
      </c>
      <c r="M88" s="1330">
        <f t="shared" si="14"/>
        <v>0</v>
      </c>
    </row>
    <row r="89" spans="1:13">
      <c r="A89" s="1323"/>
      <c r="B89" s="1348"/>
      <c r="C89" s="1333">
        <v>2726</v>
      </c>
      <c r="D89" s="1334">
        <v>44641</v>
      </c>
      <c r="E89" s="1344">
        <v>357727</v>
      </c>
      <c r="F89" s="1328">
        <f t="shared" si="13"/>
        <v>10</v>
      </c>
      <c r="G89" s="1326"/>
      <c r="H89" s="1329"/>
      <c r="I89" s="1330">
        <f t="shared" si="14"/>
        <v>357727</v>
      </c>
      <c r="J89" s="1330">
        <f t="shared" si="14"/>
        <v>0</v>
      </c>
      <c r="K89" s="1330">
        <f t="shared" si="14"/>
        <v>0</v>
      </c>
      <c r="L89" s="1330">
        <f t="shared" si="14"/>
        <v>0</v>
      </c>
      <c r="M89" s="1330">
        <f t="shared" si="14"/>
        <v>0</v>
      </c>
    </row>
    <row r="90" spans="1:13">
      <c r="A90" s="1323"/>
      <c r="B90" s="1348"/>
      <c r="C90" s="1333">
        <v>2727</v>
      </c>
      <c r="D90" s="1334">
        <v>44641</v>
      </c>
      <c r="E90" s="1344">
        <v>314915</v>
      </c>
      <c r="F90" s="1328">
        <f t="shared" si="13"/>
        <v>10</v>
      </c>
      <c r="G90" s="1326"/>
      <c r="H90" s="1329"/>
      <c r="I90" s="1330">
        <f t="shared" si="14"/>
        <v>314915</v>
      </c>
      <c r="J90" s="1330">
        <f t="shared" si="14"/>
        <v>0</v>
      </c>
      <c r="K90" s="1330">
        <f t="shared" si="14"/>
        <v>0</v>
      </c>
      <c r="L90" s="1330">
        <f t="shared" si="14"/>
        <v>0</v>
      </c>
      <c r="M90" s="1330">
        <f t="shared" si="14"/>
        <v>0</v>
      </c>
    </row>
    <row r="91" spans="1:13">
      <c r="A91" s="1323"/>
      <c r="B91" s="1348"/>
      <c r="C91" s="1333">
        <v>2733</v>
      </c>
      <c r="D91" s="1334">
        <v>44642</v>
      </c>
      <c r="E91" s="1344">
        <v>58430</v>
      </c>
      <c r="F91" s="1328">
        <f t="shared" si="13"/>
        <v>9</v>
      </c>
      <c r="G91" s="1326"/>
      <c r="H91" s="1329"/>
      <c r="I91" s="1330">
        <f t="shared" si="14"/>
        <v>58430</v>
      </c>
      <c r="J91" s="1330">
        <f t="shared" si="14"/>
        <v>0</v>
      </c>
      <c r="K91" s="1330">
        <f t="shared" si="14"/>
        <v>0</v>
      </c>
      <c r="L91" s="1330">
        <f t="shared" si="14"/>
        <v>0</v>
      </c>
      <c r="M91" s="1330">
        <f t="shared" si="14"/>
        <v>0</v>
      </c>
    </row>
    <row r="92" spans="1:13">
      <c r="A92" s="1323"/>
      <c r="B92" s="1348"/>
      <c r="C92" s="1333">
        <v>2734</v>
      </c>
      <c r="D92" s="1334">
        <v>44642</v>
      </c>
      <c r="E92" s="1344">
        <v>556289</v>
      </c>
      <c r="F92" s="1328">
        <f t="shared" si="13"/>
        <v>9</v>
      </c>
      <c r="G92" s="1326"/>
      <c r="H92" s="1329"/>
      <c r="I92" s="1330">
        <f t="shared" si="14"/>
        <v>556289</v>
      </c>
      <c r="J92" s="1330">
        <f t="shared" si="14"/>
        <v>0</v>
      </c>
      <c r="K92" s="1330">
        <f t="shared" si="14"/>
        <v>0</v>
      </c>
      <c r="L92" s="1330">
        <f t="shared" si="14"/>
        <v>0</v>
      </c>
      <c r="M92" s="1330">
        <f t="shared" si="14"/>
        <v>0</v>
      </c>
    </row>
    <row r="93" spans="1:13">
      <c r="A93" s="1323"/>
      <c r="B93" s="1348"/>
      <c r="C93" s="1333">
        <v>2735</v>
      </c>
      <c r="D93" s="1334">
        <v>44642</v>
      </c>
      <c r="E93" s="1344">
        <v>342830</v>
      </c>
      <c r="F93" s="1328">
        <f t="shared" si="13"/>
        <v>9</v>
      </c>
      <c r="G93" s="1326"/>
      <c r="H93" s="1329"/>
      <c r="I93" s="1330">
        <f t="shared" si="14"/>
        <v>342830</v>
      </c>
      <c r="J93" s="1330">
        <f t="shared" si="14"/>
        <v>0</v>
      </c>
      <c r="K93" s="1330">
        <f t="shared" si="14"/>
        <v>0</v>
      </c>
      <c r="L93" s="1330">
        <f t="shared" si="14"/>
        <v>0</v>
      </c>
      <c r="M93" s="1330">
        <f t="shared" si="14"/>
        <v>0</v>
      </c>
    </row>
    <row r="94" spans="1:13">
      <c r="A94" s="1323"/>
      <c r="B94" s="1348"/>
      <c r="C94" s="1333">
        <v>2736</v>
      </c>
      <c r="D94" s="1334">
        <v>44642</v>
      </c>
      <c r="E94" s="1344">
        <v>315281</v>
      </c>
      <c r="F94" s="1328">
        <f t="shared" si="13"/>
        <v>9</v>
      </c>
      <c r="G94" s="1326"/>
      <c r="H94" s="1329"/>
      <c r="I94" s="1330">
        <f t="shared" si="14"/>
        <v>315281</v>
      </c>
      <c r="J94" s="1330">
        <f t="shared" si="14"/>
        <v>0</v>
      </c>
      <c r="K94" s="1330">
        <f t="shared" si="14"/>
        <v>0</v>
      </c>
      <c r="L94" s="1330">
        <f t="shared" si="14"/>
        <v>0</v>
      </c>
      <c r="M94" s="1330">
        <f t="shared" si="14"/>
        <v>0</v>
      </c>
    </row>
    <row r="95" spans="1:13">
      <c r="A95" s="1323"/>
      <c r="B95" s="1348"/>
      <c r="C95" s="1333">
        <v>2737</v>
      </c>
      <c r="D95" s="1334">
        <v>44642</v>
      </c>
      <c r="E95" s="1344">
        <v>334403</v>
      </c>
      <c r="F95" s="1328">
        <f t="shared" si="13"/>
        <v>9</v>
      </c>
      <c r="G95" s="1326"/>
      <c r="H95" s="1329"/>
      <c r="I95" s="1330">
        <f t="shared" si="14"/>
        <v>334403</v>
      </c>
      <c r="J95" s="1330">
        <f t="shared" si="14"/>
        <v>0</v>
      </c>
      <c r="K95" s="1330">
        <f t="shared" si="14"/>
        <v>0</v>
      </c>
      <c r="L95" s="1330">
        <f t="shared" si="14"/>
        <v>0</v>
      </c>
      <c r="M95" s="1330">
        <f t="shared" si="14"/>
        <v>0</v>
      </c>
    </row>
    <row r="96" spans="1:13">
      <c r="A96" s="1323"/>
      <c r="B96" s="1348"/>
      <c r="C96" s="1333">
        <v>2738</v>
      </c>
      <c r="D96" s="1334">
        <v>44642</v>
      </c>
      <c r="E96" s="1344">
        <v>317736</v>
      </c>
      <c r="F96" s="1328">
        <f t="shared" si="13"/>
        <v>9</v>
      </c>
      <c r="G96" s="1326"/>
      <c r="H96" s="1329"/>
      <c r="I96" s="1330">
        <f t="shared" si="14"/>
        <v>317736</v>
      </c>
      <c r="J96" s="1330">
        <f t="shared" si="14"/>
        <v>0</v>
      </c>
      <c r="K96" s="1330">
        <f t="shared" si="14"/>
        <v>0</v>
      </c>
      <c r="L96" s="1330">
        <f t="shared" si="14"/>
        <v>0</v>
      </c>
      <c r="M96" s="1330">
        <f t="shared" si="14"/>
        <v>0</v>
      </c>
    </row>
    <row r="97" spans="1:13">
      <c r="A97" s="1323"/>
      <c r="B97" s="1348"/>
      <c r="C97" s="1333">
        <v>2741</v>
      </c>
      <c r="D97" s="1334">
        <v>44643</v>
      </c>
      <c r="E97" s="1344">
        <v>330607</v>
      </c>
      <c r="F97" s="1328">
        <f t="shared" si="13"/>
        <v>8</v>
      </c>
      <c r="G97" s="1326"/>
      <c r="H97" s="1329"/>
      <c r="I97" s="1330">
        <f t="shared" ref="I97:M109" si="15">IF(AND($F97&gt;=I$2,$F97&lt;=I$3),$E97,0)</f>
        <v>330607</v>
      </c>
      <c r="J97" s="1330">
        <f t="shared" si="15"/>
        <v>0</v>
      </c>
      <c r="K97" s="1330">
        <f t="shared" si="15"/>
        <v>0</v>
      </c>
      <c r="L97" s="1330">
        <f t="shared" si="15"/>
        <v>0</v>
      </c>
      <c r="M97" s="1330">
        <f t="shared" si="15"/>
        <v>0</v>
      </c>
    </row>
    <row r="98" spans="1:13">
      <c r="A98" s="1323"/>
      <c r="B98" s="1348"/>
      <c r="C98" s="1333">
        <v>2747</v>
      </c>
      <c r="D98" s="1334">
        <v>44643</v>
      </c>
      <c r="E98" s="1344">
        <v>354504</v>
      </c>
      <c r="F98" s="1328">
        <f t="shared" si="13"/>
        <v>8</v>
      </c>
      <c r="G98" s="1326"/>
      <c r="H98" s="1329"/>
      <c r="I98" s="1330">
        <f t="shared" si="15"/>
        <v>354504</v>
      </c>
      <c r="J98" s="1330">
        <f t="shared" si="15"/>
        <v>0</v>
      </c>
      <c r="K98" s="1330">
        <f t="shared" si="15"/>
        <v>0</v>
      </c>
      <c r="L98" s="1330">
        <f t="shared" si="15"/>
        <v>0</v>
      </c>
      <c r="M98" s="1330">
        <f t="shared" si="15"/>
        <v>0</v>
      </c>
    </row>
    <row r="99" spans="1:13">
      <c r="A99" s="1323"/>
      <c r="B99" s="1348"/>
      <c r="C99" s="1333">
        <v>2756</v>
      </c>
      <c r="D99" s="1334">
        <v>44644</v>
      </c>
      <c r="E99" s="1344">
        <v>345643</v>
      </c>
      <c r="F99" s="1328">
        <f t="shared" si="13"/>
        <v>7</v>
      </c>
      <c r="G99" s="1326"/>
      <c r="H99" s="1329"/>
      <c r="I99" s="1330">
        <f t="shared" si="15"/>
        <v>345643</v>
      </c>
      <c r="J99" s="1330">
        <f t="shared" si="15"/>
        <v>0</v>
      </c>
      <c r="K99" s="1330">
        <f t="shared" si="15"/>
        <v>0</v>
      </c>
      <c r="L99" s="1330">
        <f t="shared" si="15"/>
        <v>0</v>
      </c>
      <c r="M99" s="1330">
        <f t="shared" si="15"/>
        <v>0</v>
      </c>
    </row>
    <row r="100" spans="1:13">
      <c r="A100" s="1323"/>
      <c r="B100" s="1348"/>
      <c r="C100" s="1333">
        <v>2763</v>
      </c>
      <c r="D100" s="1334">
        <v>44645</v>
      </c>
      <c r="E100" s="1344">
        <v>338738</v>
      </c>
      <c r="F100" s="1328">
        <f t="shared" si="13"/>
        <v>6</v>
      </c>
      <c r="G100" s="1326"/>
      <c r="H100" s="1329"/>
      <c r="I100" s="1330">
        <f t="shared" si="15"/>
        <v>338738</v>
      </c>
      <c r="J100" s="1330">
        <f t="shared" si="15"/>
        <v>0</v>
      </c>
      <c r="K100" s="1330">
        <f t="shared" si="15"/>
        <v>0</v>
      </c>
      <c r="L100" s="1330">
        <f t="shared" si="15"/>
        <v>0</v>
      </c>
      <c r="M100" s="1330">
        <f t="shared" si="15"/>
        <v>0</v>
      </c>
    </row>
    <row r="101" spans="1:13">
      <c r="A101" s="1323"/>
      <c r="B101" s="1348"/>
      <c r="C101" s="1333">
        <v>2765</v>
      </c>
      <c r="D101" s="1334">
        <v>44645</v>
      </c>
      <c r="E101" s="1344">
        <v>322994</v>
      </c>
      <c r="F101" s="1328">
        <f t="shared" si="13"/>
        <v>6</v>
      </c>
      <c r="G101" s="1326"/>
      <c r="H101" s="1329"/>
      <c r="I101" s="1330">
        <f t="shared" si="15"/>
        <v>322994</v>
      </c>
      <c r="J101" s="1330">
        <f t="shared" si="15"/>
        <v>0</v>
      </c>
      <c r="K101" s="1330">
        <f t="shared" si="15"/>
        <v>0</v>
      </c>
      <c r="L101" s="1330">
        <f t="shared" si="15"/>
        <v>0</v>
      </c>
      <c r="M101" s="1330">
        <f t="shared" si="15"/>
        <v>0</v>
      </c>
    </row>
    <row r="102" spans="1:13">
      <c r="A102" s="1323"/>
      <c r="B102" s="1348"/>
      <c r="C102" s="1333">
        <v>2767</v>
      </c>
      <c r="D102" s="1334">
        <v>44645</v>
      </c>
      <c r="E102" s="1344">
        <v>228701</v>
      </c>
      <c r="F102" s="1328">
        <f t="shared" si="13"/>
        <v>6</v>
      </c>
      <c r="G102" s="1326"/>
      <c r="H102" s="1329"/>
      <c r="I102" s="1330">
        <f t="shared" si="15"/>
        <v>228701</v>
      </c>
      <c r="J102" s="1330">
        <f t="shared" si="15"/>
        <v>0</v>
      </c>
      <c r="K102" s="1330">
        <f t="shared" si="15"/>
        <v>0</v>
      </c>
      <c r="L102" s="1330">
        <f t="shared" si="15"/>
        <v>0</v>
      </c>
      <c r="M102" s="1330">
        <f t="shared" si="15"/>
        <v>0</v>
      </c>
    </row>
    <row r="103" spans="1:13">
      <c r="A103" s="1323"/>
      <c r="B103" s="1348"/>
      <c r="C103" s="1333">
        <v>2768</v>
      </c>
      <c r="D103" s="1334">
        <v>44645</v>
      </c>
      <c r="E103" s="1344">
        <v>275345</v>
      </c>
      <c r="F103" s="1328">
        <f t="shared" si="13"/>
        <v>6</v>
      </c>
      <c r="G103" s="1326"/>
      <c r="H103" s="1329"/>
      <c r="I103" s="1330">
        <f t="shared" si="15"/>
        <v>275345</v>
      </c>
      <c r="J103" s="1330">
        <f t="shared" si="15"/>
        <v>0</v>
      </c>
      <c r="K103" s="1330">
        <f t="shared" si="15"/>
        <v>0</v>
      </c>
      <c r="L103" s="1330">
        <f t="shared" si="15"/>
        <v>0</v>
      </c>
      <c r="M103" s="1330">
        <f t="shared" si="15"/>
        <v>0</v>
      </c>
    </row>
    <row r="104" spans="1:13">
      <c r="A104" s="1323"/>
      <c r="B104" s="1348"/>
      <c r="C104" s="1333">
        <v>2774</v>
      </c>
      <c r="D104" s="1334">
        <v>44646</v>
      </c>
      <c r="E104" s="1344">
        <v>427283</v>
      </c>
      <c r="F104" s="1328">
        <f t="shared" si="13"/>
        <v>5</v>
      </c>
      <c r="G104" s="1326"/>
      <c r="H104" s="1329"/>
      <c r="I104" s="1330">
        <f t="shared" si="15"/>
        <v>427283</v>
      </c>
      <c r="J104" s="1330">
        <f t="shared" si="15"/>
        <v>0</v>
      </c>
      <c r="K104" s="1330">
        <f t="shared" si="15"/>
        <v>0</v>
      </c>
      <c r="L104" s="1330">
        <f t="shared" si="15"/>
        <v>0</v>
      </c>
      <c r="M104" s="1330">
        <f t="shared" si="15"/>
        <v>0</v>
      </c>
    </row>
    <row r="105" spans="1:13">
      <c r="A105" s="1323"/>
      <c r="B105" s="1348"/>
      <c r="C105" s="1333">
        <v>2778</v>
      </c>
      <c r="D105" s="1334">
        <v>44647</v>
      </c>
      <c r="E105" s="1344">
        <v>116956</v>
      </c>
      <c r="F105" s="1328">
        <f t="shared" si="13"/>
        <v>4</v>
      </c>
      <c r="G105" s="1326"/>
      <c r="H105" s="1329"/>
      <c r="I105" s="1330">
        <f t="shared" si="15"/>
        <v>116956</v>
      </c>
      <c r="J105" s="1330">
        <f t="shared" si="15"/>
        <v>0</v>
      </c>
      <c r="K105" s="1330">
        <f t="shared" si="15"/>
        <v>0</v>
      </c>
      <c r="L105" s="1330">
        <f t="shared" si="15"/>
        <v>0</v>
      </c>
      <c r="M105" s="1330">
        <f t="shared" si="15"/>
        <v>0</v>
      </c>
    </row>
    <row r="106" spans="1:13">
      <c r="A106" s="1323"/>
      <c r="B106" s="1348"/>
      <c r="C106" s="1351">
        <v>2799</v>
      </c>
      <c r="D106" s="1352">
        <v>44650</v>
      </c>
      <c r="E106" s="1344">
        <v>1173261</v>
      </c>
      <c r="F106" s="1328">
        <f t="shared" si="13"/>
        <v>1</v>
      </c>
      <c r="G106" s="1326"/>
      <c r="H106" s="1329"/>
      <c r="I106" s="1330">
        <f t="shared" si="15"/>
        <v>1173261</v>
      </c>
      <c r="J106" s="1330">
        <f t="shared" si="15"/>
        <v>0</v>
      </c>
      <c r="K106" s="1330">
        <f t="shared" si="15"/>
        <v>0</v>
      </c>
      <c r="L106" s="1330">
        <f t="shared" si="15"/>
        <v>0</v>
      </c>
      <c r="M106" s="1330">
        <f t="shared" si="15"/>
        <v>0</v>
      </c>
    </row>
    <row r="107" spans="1:13">
      <c r="A107" s="1323"/>
      <c r="B107" s="1348"/>
      <c r="C107" s="1351">
        <v>2814</v>
      </c>
      <c r="D107" s="1352">
        <v>44651</v>
      </c>
      <c r="E107" s="1344">
        <v>608924</v>
      </c>
      <c r="F107" s="1328">
        <f t="shared" si="13"/>
        <v>0</v>
      </c>
      <c r="G107" s="1326"/>
      <c r="H107" s="1329"/>
      <c r="I107" s="1330">
        <f t="shared" si="15"/>
        <v>608924</v>
      </c>
      <c r="J107" s="1330">
        <f t="shared" si="15"/>
        <v>0</v>
      </c>
      <c r="K107" s="1330">
        <f t="shared" si="15"/>
        <v>0</v>
      </c>
      <c r="L107" s="1330">
        <f t="shared" si="15"/>
        <v>0</v>
      </c>
      <c r="M107" s="1330">
        <f t="shared" si="15"/>
        <v>0</v>
      </c>
    </row>
    <row r="108" spans="1:13">
      <c r="A108" s="1323"/>
      <c r="B108" s="1348" t="s">
        <v>2516</v>
      </c>
      <c r="C108" s="1351"/>
      <c r="D108" s="1352">
        <v>44651</v>
      </c>
      <c r="E108" s="1344">
        <v>-17836</v>
      </c>
      <c r="F108" s="1328">
        <f t="shared" si="13"/>
        <v>0</v>
      </c>
      <c r="G108" s="1326"/>
      <c r="H108" s="1329"/>
      <c r="I108" s="1344">
        <v>-17836</v>
      </c>
      <c r="J108" s="1330"/>
      <c r="K108" s="1330"/>
      <c r="L108" s="1330"/>
      <c r="M108" s="1330"/>
    </row>
    <row r="109" spans="1:13">
      <c r="A109" s="1323"/>
      <c r="B109" s="1348" t="s">
        <v>2517</v>
      </c>
      <c r="C109" s="1351"/>
      <c r="D109" s="1352">
        <v>44651</v>
      </c>
      <c r="E109" s="1344">
        <v>-5590</v>
      </c>
      <c r="F109" s="1328">
        <f t="shared" si="13"/>
        <v>0</v>
      </c>
      <c r="G109" s="1326"/>
      <c r="H109" s="1329"/>
      <c r="I109" s="1330">
        <f t="shared" si="15"/>
        <v>-5590</v>
      </c>
      <c r="J109" s="1330"/>
      <c r="K109" s="1330"/>
      <c r="L109" s="1330"/>
      <c r="M109" s="1330"/>
    </row>
    <row r="110" spans="1:13">
      <c r="A110" s="1323"/>
      <c r="B110" s="1348"/>
      <c r="C110" s="1325"/>
      <c r="D110" s="1353"/>
      <c r="E110" s="1347"/>
      <c r="F110" s="1328"/>
      <c r="G110" s="1326"/>
      <c r="H110" s="1329"/>
      <c r="I110" s="1330">
        <f>+E110</f>
        <v>0</v>
      </c>
      <c r="J110" s="1330"/>
      <c r="K110" s="1330"/>
      <c r="L110" s="1330"/>
      <c r="M110" s="1330"/>
    </row>
    <row r="111" spans="1:13" s="1343" customFormat="1">
      <c r="A111" s="1338"/>
      <c r="B111" s="1350"/>
      <c r="C111" s="1340" t="s">
        <v>1724</v>
      </c>
      <c r="D111" s="1341"/>
      <c r="E111" s="1342">
        <f>SUM(E81:E110)</f>
        <v>9482492</v>
      </c>
      <c r="F111" s="1349"/>
      <c r="G111" s="1341"/>
      <c r="H111" s="1341"/>
      <c r="I111" s="1342">
        <f>SUM(I81:I110)</f>
        <v>9482492</v>
      </c>
      <c r="J111" s="1342">
        <f>SUM(J81:J110)</f>
        <v>0</v>
      </c>
      <c r="K111" s="1342">
        <f>SUM(K81:K110)</f>
        <v>0</v>
      </c>
      <c r="L111" s="1342">
        <f>SUM(L81:L110)</f>
        <v>0</v>
      </c>
      <c r="M111" s="1342">
        <f>SUM(M81:M110)</f>
        <v>0</v>
      </c>
    </row>
    <row r="112" spans="1:13">
      <c r="A112" s="1323"/>
      <c r="B112" s="1348"/>
      <c r="C112" s="1325"/>
      <c r="D112" s="1326"/>
      <c r="E112" s="1327"/>
      <c r="F112" s="1328"/>
      <c r="G112" s="1326"/>
      <c r="H112" s="1329"/>
      <c r="I112" s="1330"/>
      <c r="J112" s="1330"/>
      <c r="K112" s="1330"/>
      <c r="L112" s="1330"/>
      <c r="M112" s="1330"/>
    </row>
    <row r="113" spans="1:13">
      <c r="A113" s="1323">
        <v>8</v>
      </c>
      <c r="B113" s="1332" t="s">
        <v>74</v>
      </c>
      <c r="C113" s="1333">
        <v>2678</v>
      </c>
      <c r="D113" s="1334">
        <v>44633</v>
      </c>
      <c r="E113" s="1344">
        <v>515545</v>
      </c>
      <c r="F113" s="1328">
        <f t="shared" ref="F113:F115" si="16">$D$1-D113</f>
        <v>18</v>
      </c>
      <c r="G113" s="1326"/>
      <c r="H113" s="1329"/>
      <c r="I113" s="1330">
        <f t="shared" ref="I113:M115" si="17">IF(AND($F113&gt;=I$2,$F113&lt;=I$3),$E113,0)</f>
        <v>515545</v>
      </c>
      <c r="J113" s="1330">
        <f t="shared" si="17"/>
        <v>0</v>
      </c>
      <c r="K113" s="1330">
        <f t="shared" si="17"/>
        <v>0</v>
      </c>
      <c r="L113" s="1330">
        <f t="shared" si="17"/>
        <v>0</v>
      </c>
      <c r="M113" s="1330">
        <f t="shared" si="17"/>
        <v>0</v>
      </c>
    </row>
    <row r="114" spans="1:13">
      <c r="A114" s="1323"/>
      <c r="B114" s="1336"/>
      <c r="C114" s="1333" t="s">
        <v>2518</v>
      </c>
      <c r="D114" s="1334">
        <v>44236</v>
      </c>
      <c r="E114" s="1344">
        <v>-36326</v>
      </c>
      <c r="F114" s="1328">
        <f t="shared" si="16"/>
        <v>415</v>
      </c>
      <c r="G114" s="1326"/>
      <c r="H114" s="1329"/>
      <c r="I114" s="1330">
        <f t="shared" si="17"/>
        <v>0</v>
      </c>
      <c r="J114" s="1330">
        <f t="shared" si="17"/>
        <v>0</v>
      </c>
      <c r="K114" s="1330">
        <f t="shared" si="17"/>
        <v>0</v>
      </c>
      <c r="L114" s="1330">
        <f t="shared" si="17"/>
        <v>0</v>
      </c>
      <c r="M114" s="1330">
        <f t="shared" si="17"/>
        <v>0</v>
      </c>
    </row>
    <row r="115" spans="1:13">
      <c r="A115" s="1323"/>
      <c r="B115" s="1336"/>
      <c r="C115" s="1333" t="s">
        <v>2519</v>
      </c>
      <c r="D115" s="1334">
        <v>44651</v>
      </c>
      <c r="E115" s="1344">
        <v>-131381</v>
      </c>
      <c r="F115" s="1328">
        <f t="shared" si="16"/>
        <v>0</v>
      </c>
      <c r="G115" s="1326"/>
      <c r="H115" s="1329"/>
      <c r="I115" s="1330">
        <f t="shared" si="17"/>
        <v>-131381</v>
      </c>
      <c r="J115" s="1330">
        <f t="shared" si="17"/>
        <v>0</v>
      </c>
      <c r="K115" s="1330">
        <f t="shared" si="17"/>
        <v>0</v>
      </c>
      <c r="L115" s="1330">
        <f t="shared" si="17"/>
        <v>0</v>
      </c>
      <c r="M115" s="1330">
        <f t="shared" si="17"/>
        <v>0</v>
      </c>
    </row>
    <row r="116" spans="1:13">
      <c r="A116" s="1323"/>
      <c r="B116" s="1348"/>
      <c r="C116" s="1325"/>
      <c r="D116" s="1353"/>
      <c r="E116" s="1347"/>
      <c r="F116" s="1328"/>
      <c r="G116" s="1326"/>
      <c r="H116" s="1329"/>
      <c r="I116" s="1330">
        <v>-36326</v>
      </c>
      <c r="J116" s="1330"/>
      <c r="K116" s="1330"/>
      <c r="L116" s="1330"/>
      <c r="M116" s="1330"/>
    </row>
    <row r="117" spans="1:13" s="1343" customFormat="1">
      <c r="A117" s="1338"/>
      <c r="B117" s="1350"/>
      <c r="C117" s="1340" t="s">
        <v>1724</v>
      </c>
      <c r="D117" s="1341"/>
      <c r="E117" s="1342">
        <f>SUM(E113:E116)</f>
        <v>347838</v>
      </c>
      <c r="F117" s="1349"/>
      <c r="G117" s="1341"/>
      <c r="H117" s="1341"/>
      <c r="I117" s="1342">
        <f>SUM(I112:I116)</f>
        <v>347838</v>
      </c>
      <c r="J117" s="1342">
        <f>SUM(J112:J116)</f>
        <v>0</v>
      </c>
      <c r="K117" s="1342">
        <f>SUM(K112:K116)</f>
        <v>0</v>
      </c>
      <c r="L117" s="1342">
        <f>SUM(L112:L116)</f>
        <v>0</v>
      </c>
      <c r="M117" s="1342">
        <f>SUM(M112:M116)</f>
        <v>0</v>
      </c>
    </row>
    <row r="118" spans="1:13">
      <c r="A118" s="1323"/>
      <c r="B118" s="1348"/>
      <c r="C118" s="1325"/>
      <c r="D118" s="1326"/>
      <c r="E118" s="1327"/>
      <c r="F118" s="1328"/>
      <c r="G118" s="1326"/>
      <c r="H118" s="1329"/>
      <c r="I118" s="1330"/>
      <c r="J118" s="1330"/>
      <c r="K118" s="1330"/>
      <c r="L118" s="1330"/>
      <c r="M118" s="1330"/>
    </row>
    <row r="119" spans="1:13">
      <c r="A119" s="1323">
        <v>9</v>
      </c>
      <c r="B119" s="1332" t="s">
        <v>177</v>
      </c>
      <c r="C119" s="1333">
        <v>2515</v>
      </c>
      <c r="D119" s="1334">
        <v>44613</v>
      </c>
      <c r="E119" s="1344">
        <v>185700</v>
      </c>
      <c r="F119" s="1328">
        <f t="shared" ref="F119:F120" si="18">$D$1-D119</f>
        <v>38</v>
      </c>
      <c r="G119" s="1326"/>
      <c r="H119" s="1329"/>
      <c r="I119" s="1330">
        <f t="shared" ref="I119:M120" si="19">IF(AND($F119&gt;=I$2,$F119&lt;=I$3),$E119,0)</f>
        <v>185700</v>
      </c>
      <c r="J119" s="1330">
        <f t="shared" si="19"/>
        <v>0</v>
      </c>
      <c r="K119" s="1330">
        <f t="shared" si="19"/>
        <v>0</v>
      </c>
      <c r="L119" s="1330">
        <f t="shared" si="19"/>
        <v>0</v>
      </c>
      <c r="M119" s="1330">
        <f t="shared" si="19"/>
        <v>0</v>
      </c>
    </row>
    <row r="120" spans="1:13">
      <c r="A120" s="1323"/>
      <c r="B120" s="1348"/>
      <c r="C120" s="1333">
        <v>2547</v>
      </c>
      <c r="D120" s="1334">
        <v>44617</v>
      </c>
      <c r="E120" s="1344">
        <v>302508</v>
      </c>
      <c r="F120" s="1328">
        <f t="shared" si="18"/>
        <v>34</v>
      </c>
      <c r="G120" s="1326"/>
      <c r="H120" s="1329"/>
      <c r="I120" s="1330">
        <f t="shared" si="19"/>
        <v>302508</v>
      </c>
      <c r="J120" s="1330">
        <f t="shared" si="19"/>
        <v>0</v>
      </c>
      <c r="K120" s="1330">
        <f t="shared" si="19"/>
        <v>0</v>
      </c>
      <c r="L120" s="1330">
        <f t="shared" si="19"/>
        <v>0</v>
      </c>
      <c r="M120" s="1330">
        <f t="shared" si="19"/>
        <v>0</v>
      </c>
    </row>
    <row r="121" spans="1:13">
      <c r="A121" s="1323"/>
      <c r="B121" s="1348"/>
      <c r="C121" s="1325"/>
      <c r="D121" s="1326"/>
      <c r="E121" s="1327"/>
      <c r="F121" s="1328"/>
      <c r="G121" s="1326"/>
      <c r="H121" s="1329"/>
      <c r="I121" s="1330"/>
      <c r="J121" s="1330"/>
      <c r="K121" s="1330"/>
      <c r="L121" s="1330"/>
      <c r="M121" s="1330"/>
    </row>
    <row r="122" spans="1:13">
      <c r="A122" s="1323"/>
      <c r="B122" s="1348"/>
      <c r="C122" s="1325"/>
      <c r="D122" s="1353"/>
      <c r="E122" s="1347"/>
      <c r="F122" s="1328"/>
      <c r="G122" s="1326"/>
      <c r="H122" s="1329"/>
      <c r="I122" s="1330"/>
      <c r="J122" s="1330"/>
      <c r="K122" s="1330"/>
      <c r="L122" s="1330"/>
      <c r="M122" s="1330"/>
    </row>
    <row r="123" spans="1:13" s="1343" customFormat="1">
      <c r="A123" s="1338"/>
      <c r="B123" s="1350"/>
      <c r="C123" s="1340" t="s">
        <v>1724</v>
      </c>
      <c r="D123" s="1341"/>
      <c r="E123" s="1342">
        <f>SUM(E118:E122)</f>
        <v>488208</v>
      </c>
      <c r="F123" s="1349"/>
      <c r="G123" s="1341"/>
      <c r="H123" s="1341"/>
      <c r="I123" s="1342">
        <f>SUM(I118:I122)</f>
        <v>488208</v>
      </c>
      <c r="J123" s="1342">
        <f>SUM(J118:J122)</f>
        <v>0</v>
      </c>
      <c r="K123" s="1342">
        <f>SUM(K118:K122)</f>
        <v>0</v>
      </c>
      <c r="L123" s="1342">
        <f>SUM(L118:L122)</f>
        <v>0</v>
      </c>
      <c r="M123" s="1342">
        <f>SUM(M118:M122)</f>
        <v>0</v>
      </c>
    </row>
    <row r="124" spans="1:13">
      <c r="A124" s="1323"/>
      <c r="B124" s="1348"/>
      <c r="C124" s="1325"/>
      <c r="D124" s="1326"/>
      <c r="E124" s="1327"/>
      <c r="F124" s="1328"/>
      <c r="G124" s="1326"/>
      <c r="H124" s="1329"/>
      <c r="I124" s="1330"/>
      <c r="J124" s="1330"/>
      <c r="K124" s="1330"/>
      <c r="L124" s="1330"/>
      <c r="M124" s="1330"/>
    </row>
    <row r="125" spans="1:13">
      <c r="A125" s="1323">
        <v>10</v>
      </c>
      <c r="B125" s="1332" t="s">
        <v>178</v>
      </c>
      <c r="C125" s="1333">
        <v>2279</v>
      </c>
      <c r="D125" s="1334">
        <v>44578</v>
      </c>
      <c r="E125" s="1344">
        <v>35974</v>
      </c>
      <c r="F125" s="1328">
        <f t="shared" ref="F125:F129" si="20">$D$1-D125</f>
        <v>73</v>
      </c>
      <c r="G125" s="1326"/>
      <c r="H125" s="1329"/>
      <c r="I125" s="1330">
        <f t="shared" ref="I125:M129" si="21">IF(AND($F125&gt;=I$2,$F125&lt;=I$3),$E125,0)</f>
        <v>0</v>
      </c>
      <c r="J125" s="1330">
        <f t="shared" si="21"/>
        <v>0</v>
      </c>
      <c r="K125" s="1330">
        <f t="shared" si="21"/>
        <v>35974</v>
      </c>
      <c r="L125" s="1330">
        <f t="shared" si="21"/>
        <v>0</v>
      </c>
      <c r="M125" s="1330">
        <f t="shared" si="21"/>
        <v>0</v>
      </c>
    </row>
    <row r="126" spans="1:13">
      <c r="A126" s="1323"/>
      <c r="B126" s="1348"/>
      <c r="C126" s="1333">
        <v>2550</v>
      </c>
      <c r="D126" s="1334">
        <v>44617</v>
      </c>
      <c r="E126" s="1344">
        <v>361872</v>
      </c>
      <c r="F126" s="1328">
        <f t="shared" si="20"/>
        <v>34</v>
      </c>
      <c r="G126" s="1326"/>
      <c r="H126" s="1329"/>
      <c r="I126" s="1330">
        <f t="shared" si="21"/>
        <v>361872</v>
      </c>
      <c r="J126" s="1330">
        <f t="shared" si="21"/>
        <v>0</v>
      </c>
      <c r="K126" s="1330">
        <f t="shared" si="21"/>
        <v>0</v>
      </c>
      <c r="L126" s="1330">
        <f t="shared" si="21"/>
        <v>0</v>
      </c>
      <c r="M126" s="1330">
        <f t="shared" si="21"/>
        <v>0</v>
      </c>
    </row>
    <row r="127" spans="1:13">
      <c r="A127" s="1323"/>
      <c r="B127" s="1348"/>
      <c r="C127" s="1333">
        <v>2618</v>
      </c>
      <c r="D127" s="1334">
        <v>44626</v>
      </c>
      <c r="E127" s="1344">
        <v>556323</v>
      </c>
      <c r="F127" s="1328">
        <f t="shared" si="20"/>
        <v>25</v>
      </c>
      <c r="G127" s="1326"/>
      <c r="H127" s="1329"/>
      <c r="I127" s="1330">
        <f t="shared" si="21"/>
        <v>556323</v>
      </c>
      <c r="J127" s="1330">
        <f t="shared" si="21"/>
        <v>0</v>
      </c>
      <c r="K127" s="1330">
        <f t="shared" si="21"/>
        <v>0</v>
      </c>
      <c r="L127" s="1330">
        <f t="shared" si="21"/>
        <v>0</v>
      </c>
      <c r="M127" s="1330">
        <f t="shared" si="21"/>
        <v>0</v>
      </c>
    </row>
    <row r="128" spans="1:13">
      <c r="A128" s="1323"/>
      <c r="B128" s="1348"/>
      <c r="C128" s="1333">
        <v>2739</v>
      </c>
      <c r="D128" s="1334">
        <v>44643</v>
      </c>
      <c r="E128" s="1344">
        <v>356934</v>
      </c>
      <c r="F128" s="1328">
        <f t="shared" si="20"/>
        <v>8</v>
      </c>
      <c r="G128" s="1326"/>
      <c r="H128" s="1329"/>
      <c r="I128" s="1330">
        <f t="shared" si="21"/>
        <v>356934</v>
      </c>
      <c r="J128" s="1330">
        <f t="shared" si="21"/>
        <v>0</v>
      </c>
      <c r="K128" s="1330">
        <f t="shared" si="21"/>
        <v>0</v>
      </c>
      <c r="L128" s="1330">
        <f t="shared" si="21"/>
        <v>0</v>
      </c>
      <c r="M128" s="1330">
        <f t="shared" si="21"/>
        <v>0</v>
      </c>
    </row>
    <row r="129" spans="1:13">
      <c r="A129" s="1323"/>
      <c r="B129" s="1348"/>
      <c r="C129" s="1333" t="s">
        <v>2520</v>
      </c>
      <c r="D129" s="1334">
        <v>44651</v>
      </c>
      <c r="E129" s="1344">
        <v>-178</v>
      </c>
      <c r="F129" s="1328">
        <f t="shared" si="20"/>
        <v>0</v>
      </c>
      <c r="G129" s="1326"/>
      <c r="H129" s="1329"/>
      <c r="I129" s="1330">
        <f t="shared" si="21"/>
        <v>-178</v>
      </c>
      <c r="J129" s="1330">
        <f t="shared" si="21"/>
        <v>0</v>
      </c>
      <c r="K129" s="1330">
        <f t="shared" si="21"/>
        <v>0</v>
      </c>
      <c r="L129" s="1330">
        <f t="shared" si="21"/>
        <v>0</v>
      </c>
      <c r="M129" s="1330">
        <f t="shared" si="21"/>
        <v>0</v>
      </c>
    </row>
    <row r="130" spans="1:13">
      <c r="A130" s="1323"/>
      <c r="B130" s="1348"/>
      <c r="C130" s="1325"/>
      <c r="D130" s="1353"/>
      <c r="E130" s="1347">
        <v>-1</v>
      </c>
      <c r="F130" s="1328"/>
      <c r="G130" s="1326"/>
      <c r="H130" s="1329"/>
      <c r="I130" s="1330"/>
      <c r="J130" s="1330"/>
      <c r="K130" s="1330"/>
      <c r="L130" s="1330"/>
      <c r="M130" s="1330"/>
    </row>
    <row r="131" spans="1:13" s="1343" customFormat="1">
      <c r="A131" s="1338"/>
      <c r="B131" s="1350"/>
      <c r="C131" s="1340" t="s">
        <v>1724</v>
      </c>
      <c r="D131" s="1341"/>
      <c r="E131" s="1342">
        <f>SUM(E124:E130)</f>
        <v>1310924</v>
      </c>
      <c r="F131" s="1349"/>
      <c r="G131" s="1341"/>
      <c r="H131" s="1341"/>
      <c r="I131" s="1342">
        <f>SUM(I124:I130)</f>
        <v>1274951</v>
      </c>
      <c r="J131" s="1342">
        <f>SUM(J124:J130)</f>
        <v>0</v>
      </c>
      <c r="K131" s="1342">
        <f>SUM(K124:K130)</f>
        <v>35974</v>
      </c>
      <c r="L131" s="1342">
        <f>SUM(L124:L130)</f>
        <v>0</v>
      </c>
      <c r="M131" s="1342">
        <f>SUM(M124:M130)</f>
        <v>0</v>
      </c>
    </row>
    <row r="132" spans="1:13">
      <c r="A132" s="1323"/>
      <c r="B132" s="1324"/>
      <c r="C132" s="1325"/>
      <c r="D132" s="1326"/>
      <c r="E132" s="1327"/>
      <c r="F132" s="1328">
        <f t="shared" ref="F132:F227" si="22">$D$1-D132</f>
        <v>44651</v>
      </c>
      <c r="G132" s="1329"/>
      <c r="H132" s="1329"/>
      <c r="I132" s="1330">
        <f t="shared" ref="I132:M182" si="23">IF(AND($F132&gt;=I$2,$F132&lt;=I$3),$E132,0)</f>
        <v>0</v>
      </c>
      <c r="J132" s="1330">
        <f t="shared" si="23"/>
        <v>0</v>
      </c>
      <c r="K132" s="1330">
        <f t="shared" si="23"/>
        <v>0</v>
      </c>
      <c r="L132" s="1330">
        <f t="shared" si="23"/>
        <v>0</v>
      </c>
      <c r="M132" s="1330">
        <f t="shared" si="23"/>
        <v>0</v>
      </c>
    </row>
    <row r="133" spans="1:13">
      <c r="A133" s="1323">
        <v>11</v>
      </c>
      <c r="B133" s="1332" t="s">
        <v>188</v>
      </c>
      <c r="C133" s="1333">
        <v>2416</v>
      </c>
      <c r="D133" s="1334">
        <v>44600</v>
      </c>
      <c r="E133" s="1344">
        <v>4983</v>
      </c>
      <c r="F133" s="1328">
        <f t="shared" si="22"/>
        <v>51</v>
      </c>
      <c r="G133" s="1329"/>
      <c r="H133" s="1329"/>
      <c r="I133" s="1330">
        <f t="shared" si="23"/>
        <v>0</v>
      </c>
      <c r="J133" s="1330">
        <f t="shared" si="23"/>
        <v>4983</v>
      </c>
      <c r="K133" s="1330">
        <f t="shared" si="23"/>
        <v>0</v>
      </c>
      <c r="L133" s="1330">
        <f t="shared" si="23"/>
        <v>0</v>
      </c>
      <c r="M133" s="1330">
        <f t="shared" si="23"/>
        <v>0</v>
      </c>
    </row>
    <row r="134" spans="1:13">
      <c r="A134" s="1323"/>
      <c r="B134" s="1332"/>
      <c r="C134" s="1333">
        <v>2417</v>
      </c>
      <c r="D134" s="1334">
        <v>44600</v>
      </c>
      <c r="E134" s="1344">
        <v>203810</v>
      </c>
      <c r="F134" s="1328">
        <f t="shared" si="22"/>
        <v>51</v>
      </c>
      <c r="G134" s="1329"/>
      <c r="H134" s="1329"/>
      <c r="I134" s="1330">
        <f t="shared" si="23"/>
        <v>0</v>
      </c>
      <c r="J134" s="1330">
        <f t="shared" si="23"/>
        <v>203810</v>
      </c>
      <c r="K134" s="1330">
        <f t="shared" si="23"/>
        <v>0</v>
      </c>
      <c r="L134" s="1330">
        <f t="shared" si="23"/>
        <v>0</v>
      </c>
      <c r="M134" s="1330">
        <f t="shared" si="23"/>
        <v>0</v>
      </c>
    </row>
    <row r="135" spans="1:13">
      <c r="A135" s="1323"/>
      <c r="B135" s="1324"/>
      <c r="C135" s="1333">
        <v>2420</v>
      </c>
      <c r="D135" s="1334">
        <v>44601</v>
      </c>
      <c r="E135" s="1344">
        <v>311246</v>
      </c>
      <c r="F135" s="1328">
        <f t="shared" si="22"/>
        <v>50</v>
      </c>
      <c r="G135" s="1329"/>
      <c r="H135" s="1329"/>
      <c r="I135" s="1330">
        <f t="shared" si="23"/>
        <v>0</v>
      </c>
      <c r="J135" s="1330">
        <f t="shared" si="23"/>
        <v>311246</v>
      </c>
      <c r="K135" s="1330">
        <f t="shared" si="23"/>
        <v>0</v>
      </c>
      <c r="L135" s="1330">
        <f t="shared" si="23"/>
        <v>0</v>
      </c>
      <c r="M135" s="1330">
        <f t="shared" si="23"/>
        <v>0</v>
      </c>
    </row>
    <row r="136" spans="1:13">
      <c r="A136" s="1323"/>
      <c r="B136" s="1324"/>
      <c r="C136" s="1333">
        <v>2424</v>
      </c>
      <c r="D136" s="1334">
        <v>44602</v>
      </c>
      <c r="E136" s="1344">
        <v>347483</v>
      </c>
      <c r="F136" s="1328">
        <f t="shared" si="22"/>
        <v>49</v>
      </c>
      <c r="G136" s="1329"/>
      <c r="H136" s="1329"/>
      <c r="I136" s="1330">
        <f t="shared" si="23"/>
        <v>0</v>
      </c>
      <c r="J136" s="1330">
        <f t="shared" si="23"/>
        <v>347483</v>
      </c>
      <c r="K136" s="1330">
        <f t="shared" si="23"/>
        <v>0</v>
      </c>
      <c r="L136" s="1330">
        <f t="shared" si="23"/>
        <v>0</v>
      </c>
      <c r="M136" s="1330">
        <f t="shared" si="23"/>
        <v>0</v>
      </c>
    </row>
    <row r="137" spans="1:13">
      <c r="A137" s="1323"/>
      <c r="B137" s="1324"/>
      <c r="C137" s="1333">
        <v>2425</v>
      </c>
      <c r="D137" s="1334">
        <v>44602</v>
      </c>
      <c r="E137" s="1344">
        <v>324073</v>
      </c>
      <c r="F137" s="1328">
        <f t="shared" si="22"/>
        <v>49</v>
      </c>
      <c r="G137" s="1329"/>
      <c r="H137" s="1329"/>
      <c r="I137" s="1330">
        <f t="shared" si="23"/>
        <v>0</v>
      </c>
      <c r="J137" s="1330">
        <f t="shared" si="23"/>
        <v>324073</v>
      </c>
      <c r="K137" s="1330">
        <f t="shared" si="23"/>
        <v>0</v>
      </c>
      <c r="L137" s="1330">
        <f t="shared" si="23"/>
        <v>0</v>
      </c>
      <c r="M137" s="1330">
        <f t="shared" si="23"/>
        <v>0</v>
      </c>
    </row>
    <row r="138" spans="1:13">
      <c r="A138" s="1323"/>
      <c r="B138" s="1324"/>
      <c r="C138" s="1333">
        <v>2429</v>
      </c>
      <c r="D138" s="1334">
        <v>44602</v>
      </c>
      <c r="E138" s="1344">
        <v>286282</v>
      </c>
      <c r="F138" s="1328">
        <f t="shared" si="22"/>
        <v>49</v>
      </c>
      <c r="G138" s="1329"/>
      <c r="H138" s="1329"/>
      <c r="I138" s="1330">
        <f t="shared" si="23"/>
        <v>0</v>
      </c>
      <c r="J138" s="1330">
        <f t="shared" si="23"/>
        <v>286282</v>
      </c>
      <c r="K138" s="1330">
        <f t="shared" si="23"/>
        <v>0</v>
      </c>
      <c r="L138" s="1330">
        <f t="shared" si="23"/>
        <v>0</v>
      </c>
      <c r="M138" s="1330">
        <f t="shared" si="23"/>
        <v>0</v>
      </c>
    </row>
    <row r="139" spans="1:13">
      <c r="A139" s="1323"/>
      <c r="B139" s="1324"/>
      <c r="C139" s="1333">
        <v>2433</v>
      </c>
      <c r="D139" s="1334">
        <v>44602</v>
      </c>
      <c r="E139" s="1344">
        <v>637810</v>
      </c>
      <c r="F139" s="1328">
        <f t="shared" si="22"/>
        <v>49</v>
      </c>
      <c r="G139" s="1329"/>
      <c r="H139" s="1329"/>
      <c r="I139" s="1330">
        <f t="shared" si="23"/>
        <v>0</v>
      </c>
      <c r="J139" s="1330">
        <f t="shared" si="23"/>
        <v>637810</v>
      </c>
      <c r="K139" s="1330">
        <f t="shared" si="23"/>
        <v>0</v>
      </c>
      <c r="L139" s="1330">
        <f t="shared" si="23"/>
        <v>0</v>
      </c>
      <c r="M139" s="1330">
        <f t="shared" si="23"/>
        <v>0</v>
      </c>
    </row>
    <row r="140" spans="1:13">
      <c r="A140" s="1323"/>
      <c r="B140" s="1324"/>
      <c r="C140" s="1333">
        <v>2436</v>
      </c>
      <c r="D140" s="1334">
        <v>44603</v>
      </c>
      <c r="E140" s="1344">
        <v>655231</v>
      </c>
      <c r="F140" s="1328">
        <f t="shared" si="22"/>
        <v>48</v>
      </c>
      <c r="G140" s="1329"/>
      <c r="H140" s="1329"/>
      <c r="I140" s="1330">
        <f t="shared" si="23"/>
        <v>0</v>
      </c>
      <c r="J140" s="1330">
        <f t="shared" si="23"/>
        <v>655231</v>
      </c>
      <c r="K140" s="1330">
        <f t="shared" si="23"/>
        <v>0</v>
      </c>
      <c r="L140" s="1330">
        <f t="shared" si="23"/>
        <v>0</v>
      </c>
      <c r="M140" s="1330">
        <f t="shared" si="23"/>
        <v>0</v>
      </c>
    </row>
    <row r="141" spans="1:13">
      <c r="A141" s="1323"/>
      <c r="B141" s="1324"/>
      <c r="C141" s="1333">
        <v>2438</v>
      </c>
      <c r="D141" s="1334">
        <v>44603</v>
      </c>
      <c r="E141" s="1344">
        <v>135016</v>
      </c>
      <c r="F141" s="1328">
        <f t="shared" si="22"/>
        <v>48</v>
      </c>
      <c r="G141" s="1329"/>
      <c r="H141" s="1329"/>
      <c r="I141" s="1330">
        <f t="shared" si="23"/>
        <v>0</v>
      </c>
      <c r="J141" s="1330">
        <f t="shared" si="23"/>
        <v>135016</v>
      </c>
      <c r="K141" s="1330">
        <f t="shared" si="23"/>
        <v>0</v>
      </c>
      <c r="L141" s="1330">
        <f t="shared" si="23"/>
        <v>0</v>
      </c>
      <c r="M141" s="1330">
        <f t="shared" si="23"/>
        <v>0</v>
      </c>
    </row>
    <row r="142" spans="1:13">
      <c r="A142" s="1323"/>
      <c r="B142" s="1324"/>
      <c r="C142" s="1333">
        <v>2441</v>
      </c>
      <c r="D142" s="1334">
        <v>44603</v>
      </c>
      <c r="E142" s="1344">
        <v>135721</v>
      </c>
      <c r="F142" s="1328">
        <f t="shared" si="22"/>
        <v>48</v>
      </c>
      <c r="G142" s="1329"/>
      <c r="H142" s="1329"/>
      <c r="I142" s="1330">
        <f t="shared" si="23"/>
        <v>0</v>
      </c>
      <c r="J142" s="1330">
        <f t="shared" si="23"/>
        <v>135721</v>
      </c>
      <c r="K142" s="1330">
        <f t="shared" si="23"/>
        <v>0</v>
      </c>
      <c r="L142" s="1330">
        <f t="shared" si="23"/>
        <v>0</v>
      </c>
      <c r="M142" s="1330">
        <f t="shared" si="23"/>
        <v>0</v>
      </c>
    </row>
    <row r="143" spans="1:13">
      <c r="A143" s="1323"/>
      <c r="B143" s="1324"/>
      <c r="C143" s="1333">
        <v>2442</v>
      </c>
      <c r="D143" s="1334">
        <v>44603</v>
      </c>
      <c r="E143" s="1344">
        <v>161508</v>
      </c>
      <c r="F143" s="1328">
        <f t="shared" si="22"/>
        <v>48</v>
      </c>
      <c r="G143" s="1329"/>
      <c r="H143" s="1329"/>
      <c r="I143" s="1330">
        <f t="shared" si="23"/>
        <v>0</v>
      </c>
      <c r="J143" s="1330">
        <f t="shared" si="23"/>
        <v>161508</v>
      </c>
      <c r="K143" s="1330">
        <f t="shared" si="23"/>
        <v>0</v>
      </c>
      <c r="L143" s="1330">
        <f t="shared" si="23"/>
        <v>0</v>
      </c>
      <c r="M143" s="1330">
        <f t="shared" si="23"/>
        <v>0</v>
      </c>
    </row>
    <row r="144" spans="1:13">
      <c r="A144" s="1323"/>
      <c r="B144" s="1324"/>
      <c r="C144" s="1333">
        <v>2456</v>
      </c>
      <c r="D144" s="1334">
        <v>44605</v>
      </c>
      <c r="E144" s="1344">
        <v>385318</v>
      </c>
      <c r="F144" s="1328">
        <f t="shared" si="22"/>
        <v>46</v>
      </c>
      <c r="G144" s="1329"/>
      <c r="H144" s="1329"/>
      <c r="I144" s="1330">
        <f t="shared" si="23"/>
        <v>0</v>
      </c>
      <c r="J144" s="1330">
        <f t="shared" si="23"/>
        <v>385318</v>
      </c>
      <c r="K144" s="1330">
        <f t="shared" si="23"/>
        <v>0</v>
      </c>
      <c r="L144" s="1330">
        <f t="shared" si="23"/>
        <v>0</v>
      </c>
      <c r="M144" s="1330">
        <f t="shared" si="23"/>
        <v>0</v>
      </c>
    </row>
    <row r="145" spans="1:13">
      <c r="A145" s="1323"/>
      <c r="B145" s="1324"/>
      <c r="C145" s="1333">
        <v>2461</v>
      </c>
      <c r="D145" s="1334">
        <v>44606</v>
      </c>
      <c r="E145" s="1344">
        <v>280810</v>
      </c>
      <c r="F145" s="1328">
        <f t="shared" si="22"/>
        <v>45</v>
      </c>
      <c r="G145" s="1329"/>
      <c r="H145" s="1329"/>
      <c r="I145" s="1330">
        <f t="shared" si="23"/>
        <v>280810</v>
      </c>
      <c r="J145" s="1330">
        <f t="shared" si="23"/>
        <v>0</v>
      </c>
      <c r="K145" s="1330">
        <f t="shared" si="23"/>
        <v>0</v>
      </c>
      <c r="L145" s="1330">
        <f t="shared" si="23"/>
        <v>0</v>
      </c>
      <c r="M145" s="1330">
        <f t="shared" si="23"/>
        <v>0</v>
      </c>
    </row>
    <row r="146" spans="1:13">
      <c r="A146" s="1323"/>
      <c r="B146" s="1324"/>
      <c r="C146" s="1333">
        <v>2462</v>
      </c>
      <c r="D146" s="1334">
        <v>44606</v>
      </c>
      <c r="E146" s="1344">
        <v>619835</v>
      </c>
      <c r="F146" s="1328">
        <f t="shared" si="22"/>
        <v>45</v>
      </c>
      <c r="G146" s="1329"/>
      <c r="H146" s="1329"/>
      <c r="I146" s="1330">
        <f t="shared" si="23"/>
        <v>619835</v>
      </c>
      <c r="J146" s="1330">
        <f t="shared" si="23"/>
        <v>0</v>
      </c>
      <c r="K146" s="1330">
        <f t="shared" si="23"/>
        <v>0</v>
      </c>
      <c r="L146" s="1330">
        <f t="shared" si="23"/>
        <v>0</v>
      </c>
      <c r="M146" s="1330">
        <f t="shared" si="23"/>
        <v>0</v>
      </c>
    </row>
    <row r="147" spans="1:13">
      <c r="A147" s="1323"/>
      <c r="B147" s="1324"/>
      <c r="C147" s="1333">
        <v>2468</v>
      </c>
      <c r="D147" s="1334">
        <v>44606</v>
      </c>
      <c r="E147" s="1344">
        <v>836440</v>
      </c>
      <c r="F147" s="1328">
        <f t="shared" si="22"/>
        <v>45</v>
      </c>
      <c r="G147" s="1329"/>
      <c r="H147" s="1329"/>
      <c r="I147" s="1330">
        <f t="shared" si="23"/>
        <v>836440</v>
      </c>
      <c r="J147" s="1330">
        <f t="shared" si="23"/>
        <v>0</v>
      </c>
      <c r="K147" s="1330">
        <f t="shared" si="23"/>
        <v>0</v>
      </c>
      <c r="L147" s="1330">
        <f t="shared" si="23"/>
        <v>0</v>
      </c>
      <c r="M147" s="1330">
        <f t="shared" si="23"/>
        <v>0</v>
      </c>
    </row>
    <row r="148" spans="1:13">
      <c r="A148" s="1323"/>
      <c r="B148" s="1324"/>
      <c r="C148" s="1333">
        <v>2482</v>
      </c>
      <c r="D148" s="1334">
        <v>44608</v>
      </c>
      <c r="E148" s="1344">
        <v>287514</v>
      </c>
      <c r="F148" s="1328">
        <f t="shared" si="22"/>
        <v>43</v>
      </c>
      <c r="G148" s="1329"/>
      <c r="H148" s="1329"/>
      <c r="I148" s="1330">
        <f t="shared" si="23"/>
        <v>287514</v>
      </c>
      <c r="J148" s="1330">
        <f t="shared" si="23"/>
        <v>0</v>
      </c>
      <c r="K148" s="1330">
        <f t="shared" si="23"/>
        <v>0</v>
      </c>
      <c r="L148" s="1330">
        <f t="shared" si="23"/>
        <v>0</v>
      </c>
      <c r="M148" s="1330">
        <f t="shared" si="23"/>
        <v>0</v>
      </c>
    </row>
    <row r="149" spans="1:13">
      <c r="A149" s="1323"/>
      <c r="B149" s="1324"/>
      <c r="C149" s="1333">
        <v>2488</v>
      </c>
      <c r="D149" s="1334">
        <v>44609</v>
      </c>
      <c r="E149" s="1344">
        <v>457224</v>
      </c>
      <c r="F149" s="1328">
        <f t="shared" si="22"/>
        <v>42</v>
      </c>
      <c r="G149" s="1329"/>
      <c r="H149" s="1329"/>
      <c r="I149" s="1330">
        <f t="shared" si="23"/>
        <v>457224</v>
      </c>
      <c r="J149" s="1330">
        <f t="shared" si="23"/>
        <v>0</v>
      </c>
      <c r="K149" s="1330">
        <f t="shared" si="23"/>
        <v>0</v>
      </c>
      <c r="L149" s="1330">
        <f t="shared" si="23"/>
        <v>0</v>
      </c>
      <c r="M149" s="1330">
        <f t="shared" si="23"/>
        <v>0</v>
      </c>
    </row>
    <row r="150" spans="1:13">
      <c r="A150" s="1323"/>
      <c r="B150" s="1324"/>
      <c r="C150" s="1333">
        <v>2489</v>
      </c>
      <c r="D150" s="1334">
        <v>44609</v>
      </c>
      <c r="E150" s="1344">
        <v>279136</v>
      </c>
      <c r="F150" s="1328">
        <f t="shared" si="22"/>
        <v>42</v>
      </c>
      <c r="G150" s="1329"/>
      <c r="H150" s="1329"/>
      <c r="I150" s="1330">
        <f t="shared" si="23"/>
        <v>279136</v>
      </c>
      <c r="J150" s="1330">
        <f t="shared" si="23"/>
        <v>0</v>
      </c>
      <c r="K150" s="1330">
        <f t="shared" si="23"/>
        <v>0</v>
      </c>
      <c r="L150" s="1330">
        <f t="shared" si="23"/>
        <v>0</v>
      </c>
      <c r="M150" s="1330">
        <f t="shared" si="23"/>
        <v>0</v>
      </c>
    </row>
    <row r="151" spans="1:13">
      <c r="A151" s="1323"/>
      <c r="B151" s="1324"/>
      <c r="C151" s="1333">
        <v>2493</v>
      </c>
      <c r="D151" s="1334">
        <v>44609</v>
      </c>
      <c r="E151" s="1344">
        <v>313842</v>
      </c>
      <c r="F151" s="1328">
        <f t="shared" si="22"/>
        <v>42</v>
      </c>
      <c r="G151" s="1329"/>
      <c r="H151" s="1329"/>
      <c r="I151" s="1330">
        <f t="shared" si="23"/>
        <v>313842</v>
      </c>
      <c r="J151" s="1330">
        <f t="shared" si="23"/>
        <v>0</v>
      </c>
      <c r="K151" s="1330">
        <f t="shared" si="23"/>
        <v>0</v>
      </c>
      <c r="L151" s="1330">
        <f t="shared" si="23"/>
        <v>0</v>
      </c>
      <c r="M151" s="1330">
        <f t="shared" si="23"/>
        <v>0</v>
      </c>
    </row>
    <row r="152" spans="1:13">
      <c r="A152" s="1323"/>
      <c r="B152" s="1324"/>
      <c r="C152" s="1333">
        <v>2495</v>
      </c>
      <c r="D152" s="1334">
        <v>44609</v>
      </c>
      <c r="E152" s="1344">
        <v>706376</v>
      </c>
      <c r="F152" s="1328">
        <f t="shared" si="22"/>
        <v>42</v>
      </c>
      <c r="G152" s="1329"/>
      <c r="H152" s="1329"/>
      <c r="I152" s="1330">
        <f t="shared" si="23"/>
        <v>706376</v>
      </c>
      <c r="J152" s="1330">
        <f t="shared" si="23"/>
        <v>0</v>
      </c>
      <c r="K152" s="1330">
        <f t="shared" si="23"/>
        <v>0</v>
      </c>
      <c r="L152" s="1330">
        <f t="shared" si="23"/>
        <v>0</v>
      </c>
      <c r="M152" s="1330">
        <f t="shared" si="23"/>
        <v>0</v>
      </c>
    </row>
    <row r="153" spans="1:13">
      <c r="A153" s="1323"/>
      <c r="B153" s="1324"/>
      <c r="C153" s="1333">
        <v>2498</v>
      </c>
      <c r="D153" s="1334">
        <v>44610</v>
      </c>
      <c r="E153" s="1344">
        <v>690479</v>
      </c>
      <c r="F153" s="1328">
        <f t="shared" si="22"/>
        <v>41</v>
      </c>
      <c r="G153" s="1329"/>
      <c r="H153" s="1329"/>
      <c r="I153" s="1330">
        <f t="shared" si="23"/>
        <v>690479</v>
      </c>
      <c r="J153" s="1330">
        <f t="shared" si="23"/>
        <v>0</v>
      </c>
      <c r="K153" s="1330">
        <f t="shared" si="23"/>
        <v>0</v>
      </c>
      <c r="L153" s="1330">
        <f t="shared" si="23"/>
        <v>0</v>
      </c>
      <c r="M153" s="1330">
        <f t="shared" si="23"/>
        <v>0</v>
      </c>
    </row>
    <row r="154" spans="1:13">
      <c r="A154" s="1323"/>
      <c r="B154" s="1324"/>
      <c r="C154" s="1333">
        <v>2499</v>
      </c>
      <c r="D154" s="1334">
        <v>44610</v>
      </c>
      <c r="E154" s="1344">
        <v>920514</v>
      </c>
      <c r="F154" s="1328">
        <f t="shared" si="22"/>
        <v>41</v>
      </c>
      <c r="G154" s="1329"/>
      <c r="H154" s="1329"/>
      <c r="I154" s="1330">
        <f t="shared" si="23"/>
        <v>920514</v>
      </c>
      <c r="J154" s="1330">
        <f t="shared" si="23"/>
        <v>0</v>
      </c>
      <c r="K154" s="1330">
        <f t="shared" si="23"/>
        <v>0</v>
      </c>
      <c r="L154" s="1330">
        <f t="shared" si="23"/>
        <v>0</v>
      </c>
      <c r="M154" s="1330">
        <f t="shared" si="23"/>
        <v>0</v>
      </c>
    </row>
    <row r="155" spans="1:13">
      <c r="A155" s="1323"/>
      <c r="B155" s="1324"/>
      <c r="C155" s="1333">
        <v>2502</v>
      </c>
      <c r="D155" s="1334">
        <v>44610</v>
      </c>
      <c r="E155" s="1344">
        <v>278963</v>
      </c>
      <c r="F155" s="1328">
        <f t="shared" si="22"/>
        <v>41</v>
      </c>
      <c r="G155" s="1329"/>
      <c r="H155" s="1329"/>
      <c r="I155" s="1330">
        <f t="shared" si="23"/>
        <v>278963</v>
      </c>
      <c r="J155" s="1330">
        <f t="shared" si="23"/>
        <v>0</v>
      </c>
      <c r="K155" s="1330">
        <f t="shared" si="23"/>
        <v>0</v>
      </c>
      <c r="L155" s="1330">
        <f t="shared" si="23"/>
        <v>0</v>
      </c>
      <c r="M155" s="1330">
        <f t="shared" si="23"/>
        <v>0</v>
      </c>
    </row>
    <row r="156" spans="1:13">
      <c r="A156" s="1323"/>
      <c r="B156" s="1324"/>
      <c r="C156" s="1333">
        <v>2519</v>
      </c>
      <c r="D156" s="1334">
        <v>44613</v>
      </c>
      <c r="E156" s="1344">
        <v>380515</v>
      </c>
      <c r="F156" s="1328">
        <f t="shared" si="22"/>
        <v>38</v>
      </c>
      <c r="G156" s="1329"/>
      <c r="H156" s="1329"/>
      <c r="I156" s="1330">
        <f t="shared" si="23"/>
        <v>380515</v>
      </c>
      <c r="J156" s="1330">
        <f t="shared" si="23"/>
        <v>0</v>
      </c>
      <c r="K156" s="1330">
        <f t="shared" si="23"/>
        <v>0</v>
      </c>
      <c r="L156" s="1330">
        <f t="shared" si="23"/>
        <v>0</v>
      </c>
      <c r="M156" s="1330">
        <f t="shared" si="23"/>
        <v>0</v>
      </c>
    </row>
    <row r="157" spans="1:13">
      <c r="A157" s="1323"/>
      <c r="B157" s="1324"/>
      <c r="C157" s="1333">
        <v>2523</v>
      </c>
      <c r="D157" s="1334">
        <v>44613</v>
      </c>
      <c r="E157" s="1344">
        <v>871501</v>
      </c>
      <c r="F157" s="1328">
        <f t="shared" si="22"/>
        <v>38</v>
      </c>
      <c r="G157" s="1329"/>
      <c r="H157" s="1329"/>
      <c r="I157" s="1330">
        <f t="shared" si="23"/>
        <v>871501</v>
      </c>
      <c r="J157" s="1330">
        <f t="shared" si="23"/>
        <v>0</v>
      </c>
      <c r="K157" s="1330">
        <f t="shared" si="23"/>
        <v>0</v>
      </c>
      <c r="L157" s="1330">
        <f t="shared" si="23"/>
        <v>0</v>
      </c>
      <c r="M157" s="1330">
        <f t="shared" si="23"/>
        <v>0</v>
      </c>
    </row>
    <row r="158" spans="1:13">
      <c r="A158" s="1323"/>
      <c r="B158" s="1324"/>
      <c r="C158" s="1333">
        <v>2524</v>
      </c>
      <c r="D158" s="1334">
        <v>44614</v>
      </c>
      <c r="E158" s="1344">
        <v>61128</v>
      </c>
      <c r="F158" s="1328">
        <f t="shared" si="22"/>
        <v>37</v>
      </c>
      <c r="G158" s="1329"/>
      <c r="H158" s="1329"/>
      <c r="I158" s="1330">
        <f t="shared" si="23"/>
        <v>61128</v>
      </c>
      <c r="J158" s="1330">
        <f t="shared" si="23"/>
        <v>0</v>
      </c>
      <c r="K158" s="1330">
        <f t="shared" si="23"/>
        <v>0</v>
      </c>
      <c r="L158" s="1330">
        <f t="shared" si="23"/>
        <v>0</v>
      </c>
      <c r="M158" s="1330">
        <f t="shared" si="23"/>
        <v>0</v>
      </c>
    </row>
    <row r="159" spans="1:13">
      <c r="A159" s="1323"/>
      <c r="B159" s="1324"/>
      <c r="C159" s="1333">
        <v>2525</v>
      </c>
      <c r="D159" s="1334">
        <v>44614</v>
      </c>
      <c r="E159" s="1344">
        <v>239501</v>
      </c>
      <c r="F159" s="1328">
        <f t="shared" si="22"/>
        <v>37</v>
      </c>
      <c r="G159" s="1329"/>
      <c r="H159" s="1329"/>
      <c r="I159" s="1330">
        <f t="shared" si="23"/>
        <v>239501</v>
      </c>
      <c r="J159" s="1330">
        <f t="shared" si="23"/>
        <v>0</v>
      </c>
      <c r="K159" s="1330">
        <f t="shared" si="23"/>
        <v>0</v>
      </c>
      <c r="L159" s="1330">
        <f t="shared" si="23"/>
        <v>0</v>
      </c>
      <c r="M159" s="1330">
        <f t="shared" si="23"/>
        <v>0</v>
      </c>
    </row>
    <row r="160" spans="1:13">
      <c r="A160" s="1323"/>
      <c r="B160" s="1324"/>
      <c r="C160" s="1333">
        <v>2526</v>
      </c>
      <c r="D160" s="1334">
        <v>44614</v>
      </c>
      <c r="E160" s="1344">
        <v>524818</v>
      </c>
      <c r="F160" s="1328">
        <f t="shared" si="22"/>
        <v>37</v>
      </c>
      <c r="G160" s="1329"/>
      <c r="H160" s="1329"/>
      <c r="I160" s="1330">
        <f t="shared" si="23"/>
        <v>524818</v>
      </c>
      <c r="J160" s="1330">
        <f t="shared" si="23"/>
        <v>0</v>
      </c>
      <c r="K160" s="1330">
        <f t="shared" si="23"/>
        <v>0</v>
      </c>
      <c r="L160" s="1330">
        <f t="shared" si="23"/>
        <v>0</v>
      </c>
      <c r="M160" s="1330">
        <f t="shared" si="23"/>
        <v>0</v>
      </c>
    </row>
    <row r="161" spans="1:13">
      <c r="A161" s="1323"/>
      <c r="B161" s="1324"/>
      <c r="C161" s="1333">
        <v>2532</v>
      </c>
      <c r="D161" s="1334">
        <v>44615</v>
      </c>
      <c r="E161" s="1344">
        <v>287179</v>
      </c>
      <c r="F161" s="1328">
        <f t="shared" si="22"/>
        <v>36</v>
      </c>
      <c r="G161" s="1329"/>
      <c r="H161" s="1329"/>
      <c r="I161" s="1330">
        <f t="shared" si="23"/>
        <v>287179</v>
      </c>
      <c r="J161" s="1330">
        <f t="shared" si="23"/>
        <v>0</v>
      </c>
      <c r="K161" s="1330">
        <f t="shared" si="23"/>
        <v>0</v>
      </c>
      <c r="L161" s="1330">
        <f t="shared" si="23"/>
        <v>0</v>
      </c>
      <c r="M161" s="1330">
        <f t="shared" si="23"/>
        <v>0</v>
      </c>
    </row>
    <row r="162" spans="1:13">
      <c r="A162" s="1323"/>
      <c r="B162" s="1324"/>
      <c r="C162" s="1333">
        <v>2533</v>
      </c>
      <c r="D162" s="1334">
        <v>44615</v>
      </c>
      <c r="E162" s="1344">
        <v>304318</v>
      </c>
      <c r="F162" s="1328">
        <f t="shared" si="22"/>
        <v>36</v>
      </c>
      <c r="G162" s="1329"/>
      <c r="H162" s="1329"/>
      <c r="I162" s="1330">
        <f t="shared" si="23"/>
        <v>304318</v>
      </c>
      <c r="J162" s="1330">
        <f t="shared" si="23"/>
        <v>0</v>
      </c>
      <c r="K162" s="1330">
        <f t="shared" si="23"/>
        <v>0</v>
      </c>
      <c r="L162" s="1330">
        <f t="shared" si="23"/>
        <v>0</v>
      </c>
      <c r="M162" s="1330">
        <f t="shared" si="23"/>
        <v>0</v>
      </c>
    </row>
    <row r="163" spans="1:13">
      <c r="A163" s="1323"/>
      <c r="B163" s="1324"/>
      <c r="C163" s="1333">
        <v>2534</v>
      </c>
      <c r="D163" s="1334">
        <v>44615</v>
      </c>
      <c r="E163" s="1344">
        <v>209161</v>
      </c>
      <c r="F163" s="1328">
        <f t="shared" si="22"/>
        <v>36</v>
      </c>
      <c r="G163" s="1329"/>
      <c r="H163" s="1329"/>
      <c r="I163" s="1330">
        <f t="shared" si="23"/>
        <v>209161</v>
      </c>
      <c r="J163" s="1330">
        <f t="shared" si="23"/>
        <v>0</v>
      </c>
      <c r="K163" s="1330">
        <f t="shared" si="23"/>
        <v>0</v>
      </c>
      <c r="L163" s="1330">
        <f t="shared" si="23"/>
        <v>0</v>
      </c>
      <c r="M163" s="1330">
        <f t="shared" si="23"/>
        <v>0</v>
      </c>
    </row>
    <row r="164" spans="1:13">
      <c r="A164" s="1323"/>
      <c r="B164" s="1324"/>
      <c r="C164" s="1333">
        <v>2535</v>
      </c>
      <c r="D164" s="1334">
        <v>44615</v>
      </c>
      <c r="E164" s="1344">
        <v>858008</v>
      </c>
      <c r="F164" s="1328">
        <f t="shared" si="22"/>
        <v>36</v>
      </c>
      <c r="G164" s="1329"/>
      <c r="H164" s="1329"/>
      <c r="I164" s="1330">
        <f t="shared" si="23"/>
        <v>858008</v>
      </c>
      <c r="J164" s="1330">
        <f t="shared" si="23"/>
        <v>0</v>
      </c>
      <c r="K164" s="1330">
        <f t="shared" si="23"/>
        <v>0</v>
      </c>
      <c r="L164" s="1330">
        <f t="shared" si="23"/>
        <v>0</v>
      </c>
      <c r="M164" s="1330">
        <f t="shared" si="23"/>
        <v>0</v>
      </c>
    </row>
    <row r="165" spans="1:13">
      <c r="A165" s="1323"/>
      <c r="B165" s="1324"/>
      <c r="C165" s="1333">
        <v>2538</v>
      </c>
      <c r="D165" s="1334">
        <v>44615</v>
      </c>
      <c r="E165" s="1344">
        <v>301029</v>
      </c>
      <c r="F165" s="1328">
        <f t="shared" si="22"/>
        <v>36</v>
      </c>
      <c r="G165" s="1329"/>
      <c r="H165" s="1329"/>
      <c r="I165" s="1330">
        <f t="shared" si="23"/>
        <v>301029</v>
      </c>
      <c r="J165" s="1330">
        <f t="shared" si="23"/>
        <v>0</v>
      </c>
      <c r="K165" s="1330">
        <f t="shared" si="23"/>
        <v>0</v>
      </c>
      <c r="L165" s="1330">
        <f t="shared" si="23"/>
        <v>0</v>
      </c>
      <c r="M165" s="1330">
        <f t="shared" si="23"/>
        <v>0</v>
      </c>
    </row>
    <row r="166" spans="1:13">
      <c r="A166" s="1323"/>
      <c r="B166" s="1324"/>
      <c r="C166" s="1333">
        <v>2560</v>
      </c>
      <c r="D166" s="1334">
        <v>44618</v>
      </c>
      <c r="E166" s="1344">
        <v>572747</v>
      </c>
      <c r="F166" s="1328">
        <f t="shared" si="22"/>
        <v>33</v>
      </c>
      <c r="G166" s="1329"/>
      <c r="H166" s="1329"/>
      <c r="I166" s="1330">
        <f t="shared" si="23"/>
        <v>572747</v>
      </c>
      <c r="J166" s="1330">
        <f t="shared" si="23"/>
        <v>0</v>
      </c>
      <c r="K166" s="1330">
        <f t="shared" si="23"/>
        <v>0</v>
      </c>
      <c r="L166" s="1330">
        <f t="shared" si="23"/>
        <v>0</v>
      </c>
      <c r="M166" s="1330">
        <f t="shared" si="23"/>
        <v>0</v>
      </c>
    </row>
    <row r="167" spans="1:13">
      <c r="A167" s="1323"/>
      <c r="B167" s="1324"/>
      <c r="C167" s="1333">
        <v>2570</v>
      </c>
      <c r="D167" s="1334">
        <v>44620</v>
      </c>
      <c r="E167" s="1344">
        <v>375148</v>
      </c>
      <c r="F167" s="1328">
        <f t="shared" si="22"/>
        <v>31</v>
      </c>
      <c r="G167" s="1329"/>
      <c r="H167" s="1329"/>
      <c r="I167" s="1330">
        <f t="shared" si="23"/>
        <v>375148</v>
      </c>
      <c r="J167" s="1330">
        <f t="shared" si="23"/>
        <v>0</v>
      </c>
      <c r="K167" s="1330">
        <f t="shared" si="23"/>
        <v>0</v>
      </c>
      <c r="L167" s="1330">
        <f t="shared" si="23"/>
        <v>0</v>
      </c>
      <c r="M167" s="1330">
        <f t="shared" si="23"/>
        <v>0</v>
      </c>
    </row>
    <row r="168" spans="1:13">
      <c r="A168" s="1323"/>
      <c r="B168" s="1324"/>
      <c r="C168" s="1333">
        <v>2573</v>
      </c>
      <c r="D168" s="1334">
        <v>44620</v>
      </c>
      <c r="E168" s="1344">
        <v>313722</v>
      </c>
      <c r="F168" s="1328">
        <f t="shared" si="22"/>
        <v>31</v>
      </c>
      <c r="G168" s="1329"/>
      <c r="H168" s="1329"/>
      <c r="I168" s="1330">
        <f t="shared" si="23"/>
        <v>313722</v>
      </c>
      <c r="J168" s="1330">
        <f t="shared" si="23"/>
        <v>0</v>
      </c>
      <c r="K168" s="1330">
        <f t="shared" si="23"/>
        <v>0</v>
      </c>
      <c r="L168" s="1330">
        <f t="shared" si="23"/>
        <v>0</v>
      </c>
      <c r="M168" s="1330">
        <f t="shared" si="23"/>
        <v>0</v>
      </c>
    </row>
    <row r="169" spans="1:13">
      <c r="A169" s="1323"/>
      <c r="B169" s="1324"/>
      <c r="C169" s="1333">
        <v>2576</v>
      </c>
      <c r="D169" s="1334">
        <v>44620</v>
      </c>
      <c r="E169" s="1344">
        <v>512293</v>
      </c>
      <c r="F169" s="1328">
        <f t="shared" si="22"/>
        <v>31</v>
      </c>
      <c r="G169" s="1329"/>
      <c r="H169" s="1329"/>
      <c r="I169" s="1330">
        <f t="shared" si="23"/>
        <v>512293</v>
      </c>
      <c r="J169" s="1330">
        <f t="shared" si="23"/>
        <v>0</v>
      </c>
      <c r="K169" s="1330">
        <f t="shared" si="23"/>
        <v>0</v>
      </c>
      <c r="L169" s="1330">
        <f t="shared" si="23"/>
        <v>0</v>
      </c>
      <c r="M169" s="1330">
        <f t="shared" si="23"/>
        <v>0</v>
      </c>
    </row>
    <row r="170" spans="1:13">
      <c r="A170" s="1323"/>
      <c r="B170" s="1324"/>
      <c r="C170" s="1333">
        <v>2577</v>
      </c>
      <c r="D170" s="1334">
        <v>44620</v>
      </c>
      <c r="E170" s="1344">
        <v>396366</v>
      </c>
      <c r="F170" s="1328">
        <f t="shared" si="22"/>
        <v>31</v>
      </c>
      <c r="G170" s="1329"/>
      <c r="H170" s="1329"/>
      <c r="I170" s="1330">
        <f t="shared" si="23"/>
        <v>396366</v>
      </c>
      <c r="J170" s="1330">
        <f t="shared" si="23"/>
        <v>0</v>
      </c>
      <c r="K170" s="1330">
        <f t="shared" si="23"/>
        <v>0</v>
      </c>
      <c r="L170" s="1330">
        <f t="shared" si="23"/>
        <v>0</v>
      </c>
      <c r="M170" s="1330">
        <f t="shared" si="23"/>
        <v>0</v>
      </c>
    </row>
    <row r="171" spans="1:13">
      <c r="A171" s="1323"/>
      <c r="B171" s="1324"/>
      <c r="C171" s="1333">
        <v>2579</v>
      </c>
      <c r="D171" s="1334">
        <v>44621</v>
      </c>
      <c r="E171" s="1344">
        <v>735144</v>
      </c>
      <c r="F171" s="1328">
        <f t="shared" si="22"/>
        <v>30</v>
      </c>
      <c r="G171" s="1329"/>
      <c r="H171" s="1329"/>
      <c r="I171" s="1330">
        <f t="shared" si="23"/>
        <v>735144</v>
      </c>
      <c r="J171" s="1330">
        <f t="shared" si="23"/>
        <v>0</v>
      </c>
      <c r="K171" s="1330">
        <f t="shared" si="23"/>
        <v>0</v>
      </c>
      <c r="L171" s="1330">
        <f t="shared" si="23"/>
        <v>0</v>
      </c>
      <c r="M171" s="1330">
        <f t="shared" si="23"/>
        <v>0</v>
      </c>
    </row>
    <row r="172" spans="1:13">
      <c r="A172" s="1323"/>
      <c r="B172" s="1324"/>
      <c r="C172" s="1333">
        <v>2582</v>
      </c>
      <c r="D172" s="1334">
        <v>44622</v>
      </c>
      <c r="E172" s="1344">
        <v>290616</v>
      </c>
      <c r="F172" s="1328">
        <f t="shared" si="22"/>
        <v>29</v>
      </c>
      <c r="G172" s="1329"/>
      <c r="H172" s="1329"/>
      <c r="I172" s="1330">
        <f t="shared" si="23"/>
        <v>290616</v>
      </c>
      <c r="J172" s="1330">
        <f t="shared" si="23"/>
        <v>0</v>
      </c>
      <c r="K172" s="1330">
        <f t="shared" si="23"/>
        <v>0</v>
      </c>
      <c r="L172" s="1330">
        <f t="shared" si="23"/>
        <v>0</v>
      </c>
      <c r="M172" s="1330">
        <f t="shared" si="23"/>
        <v>0</v>
      </c>
    </row>
    <row r="173" spans="1:13">
      <c r="A173" s="1323"/>
      <c r="B173" s="1324"/>
      <c r="C173" s="1333">
        <v>2589</v>
      </c>
      <c r="D173" s="1334">
        <v>44623</v>
      </c>
      <c r="E173" s="1344">
        <v>312252</v>
      </c>
      <c r="F173" s="1328">
        <f t="shared" si="22"/>
        <v>28</v>
      </c>
      <c r="G173" s="1329"/>
      <c r="H173" s="1329"/>
      <c r="I173" s="1330">
        <f t="shared" si="23"/>
        <v>312252</v>
      </c>
      <c r="J173" s="1330">
        <f t="shared" si="23"/>
        <v>0</v>
      </c>
      <c r="K173" s="1330">
        <f t="shared" si="23"/>
        <v>0</v>
      </c>
      <c r="L173" s="1330">
        <f t="shared" si="23"/>
        <v>0</v>
      </c>
      <c r="M173" s="1330">
        <f t="shared" si="23"/>
        <v>0</v>
      </c>
    </row>
    <row r="174" spans="1:13">
      <c r="A174" s="1323"/>
      <c r="B174" s="1324"/>
      <c r="C174" s="1333">
        <v>2590</v>
      </c>
      <c r="D174" s="1334">
        <v>44623</v>
      </c>
      <c r="E174" s="1344">
        <v>1192055</v>
      </c>
      <c r="F174" s="1328">
        <f t="shared" si="22"/>
        <v>28</v>
      </c>
      <c r="G174" s="1329"/>
      <c r="H174" s="1329"/>
      <c r="I174" s="1330">
        <f t="shared" si="23"/>
        <v>1192055</v>
      </c>
      <c r="J174" s="1330">
        <f t="shared" si="23"/>
        <v>0</v>
      </c>
      <c r="K174" s="1330">
        <f t="shared" si="23"/>
        <v>0</v>
      </c>
      <c r="L174" s="1330">
        <f t="shared" si="23"/>
        <v>0</v>
      </c>
      <c r="M174" s="1330">
        <f t="shared" si="23"/>
        <v>0</v>
      </c>
    </row>
    <row r="175" spans="1:13">
      <c r="A175" s="1323"/>
      <c r="B175" s="1324"/>
      <c r="C175" s="1333">
        <v>2591</v>
      </c>
      <c r="D175" s="1334">
        <v>44623</v>
      </c>
      <c r="E175" s="1344">
        <v>280412</v>
      </c>
      <c r="F175" s="1328">
        <f t="shared" si="22"/>
        <v>28</v>
      </c>
      <c r="G175" s="1329"/>
      <c r="H175" s="1329"/>
      <c r="I175" s="1330">
        <f t="shared" si="23"/>
        <v>280412</v>
      </c>
      <c r="J175" s="1330">
        <f t="shared" si="23"/>
        <v>0</v>
      </c>
      <c r="K175" s="1330">
        <f t="shared" si="23"/>
        <v>0</v>
      </c>
      <c r="L175" s="1330">
        <f t="shared" si="23"/>
        <v>0</v>
      </c>
      <c r="M175" s="1330">
        <f t="shared" si="23"/>
        <v>0</v>
      </c>
    </row>
    <row r="176" spans="1:13">
      <c r="A176" s="1323"/>
      <c r="B176" s="1324"/>
      <c r="C176" s="1333">
        <v>2594</v>
      </c>
      <c r="D176" s="1334">
        <v>44623</v>
      </c>
      <c r="E176" s="1344">
        <v>683492</v>
      </c>
      <c r="F176" s="1328">
        <f t="shared" si="22"/>
        <v>28</v>
      </c>
      <c r="G176" s="1329"/>
      <c r="H176" s="1329"/>
      <c r="I176" s="1330">
        <f t="shared" si="23"/>
        <v>683492</v>
      </c>
      <c r="J176" s="1330">
        <f t="shared" si="23"/>
        <v>0</v>
      </c>
      <c r="K176" s="1330">
        <f t="shared" si="23"/>
        <v>0</v>
      </c>
      <c r="L176" s="1330">
        <f t="shared" si="23"/>
        <v>0</v>
      </c>
      <c r="M176" s="1330">
        <f t="shared" si="23"/>
        <v>0</v>
      </c>
    </row>
    <row r="177" spans="1:13">
      <c r="A177" s="1323"/>
      <c r="B177" s="1324"/>
      <c r="C177" s="1333">
        <v>2596</v>
      </c>
      <c r="D177" s="1334">
        <v>44623</v>
      </c>
      <c r="E177" s="1344">
        <v>432668</v>
      </c>
      <c r="F177" s="1328">
        <f t="shared" si="22"/>
        <v>28</v>
      </c>
      <c r="G177" s="1329"/>
      <c r="H177" s="1329"/>
      <c r="I177" s="1330">
        <f t="shared" si="23"/>
        <v>432668</v>
      </c>
      <c r="J177" s="1330">
        <f t="shared" si="23"/>
        <v>0</v>
      </c>
      <c r="K177" s="1330">
        <f t="shared" si="23"/>
        <v>0</v>
      </c>
      <c r="L177" s="1330">
        <f t="shared" si="23"/>
        <v>0</v>
      </c>
      <c r="M177" s="1330">
        <f t="shared" si="23"/>
        <v>0</v>
      </c>
    </row>
    <row r="178" spans="1:13">
      <c r="A178" s="1323"/>
      <c r="B178" s="1324"/>
      <c r="C178" s="1333">
        <v>2597</v>
      </c>
      <c r="D178" s="1334">
        <v>44623</v>
      </c>
      <c r="E178" s="1344">
        <v>271260</v>
      </c>
      <c r="F178" s="1328">
        <f t="shared" si="22"/>
        <v>28</v>
      </c>
      <c r="G178" s="1329"/>
      <c r="H178" s="1329"/>
      <c r="I178" s="1330">
        <f t="shared" si="23"/>
        <v>271260</v>
      </c>
      <c r="J178" s="1330">
        <f t="shared" si="23"/>
        <v>0</v>
      </c>
      <c r="K178" s="1330">
        <f t="shared" si="23"/>
        <v>0</v>
      </c>
      <c r="L178" s="1330">
        <f t="shared" si="23"/>
        <v>0</v>
      </c>
      <c r="M178" s="1330">
        <f t="shared" si="23"/>
        <v>0</v>
      </c>
    </row>
    <row r="179" spans="1:13">
      <c r="A179" s="1323"/>
      <c r="B179" s="1324"/>
      <c r="C179" s="1333">
        <v>2600</v>
      </c>
      <c r="D179" s="1334">
        <v>44624</v>
      </c>
      <c r="E179" s="1344">
        <v>1141816</v>
      </c>
      <c r="F179" s="1328">
        <f t="shared" si="22"/>
        <v>27</v>
      </c>
      <c r="G179" s="1329"/>
      <c r="H179" s="1329"/>
      <c r="I179" s="1330">
        <f t="shared" si="23"/>
        <v>1141816</v>
      </c>
      <c r="J179" s="1330">
        <f t="shared" si="23"/>
        <v>0</v>
      </c>
      <c r="K179" s="1330">
        <f t="shared" si="23"/>
        <v>0</v>
      </c>
      <c r="L179" s="1330">
        <f t="shared" si="23"/>
        <v>0</v>
      </c>
      <c r="M179" s="1330">
        <f t="shared" si="23"/>
        <v>0</v>
      </c>
    </row>
    <row r="180" spans="1:13">
      <c r="A180" s="1323"/>
      <c r="B180" s="1324"/>
      <c r="C180" s="1333">
        <v>2602</v>
      </c>
      <c r="D180" s="1334">
        <v>44624</v>
      </c>
      <c r="E180" s="1344">
        <v>229215</v>
      </c>
      <c r="F180" s="1328">
        <f t="shared" si="22"/>
        <v>27</v>
      </c>
      <c r="G180" s="1329"/>
      <c r="H180" s="1329"/>
      <c r="I180" s="1330">
        <f t="shared" si="23"/>
        <v>229215</v>
      </c>
      <c r="J180" s="1330">
        <f t="shared" si="23"/>
        <v>0</v>
      </c>
      <c r="K180" s="1330">
        <f t="shared" si="23"/>
        <v>0</v>
      </c>
      <c r="L180" s="1330">
        <f t="shared" si="23"/>
        <v>0</v>
      </c>
      <c r="M180" s="1330">
        <f t="shared" si="23"/>
        <v>0</v>
      </c>
    </row>
    <row r="181" spans="1:13">
      <c r="A181" s="1323"/>
      <c r="B181" s="1324"/>
      <c r="C181" s="1333">
        <v>2606</v>
      </c>
      <c r="D181" s="1334">
        <v>44625</v>
      </c>
      <c r="E181" s="1344">
        <v>268064</v>
      </c>
      <c r="F181" s="1328">
        <f t="shared" si="22"/>
        <v>26</v>
      </c>
      <c r="G181" s="1329"/>
      <c r="H181" s="1329"/>
      <c r="I181" s="1330">
        <f t="shared" si="23"/>
        <v>268064</v>
      </c>
      <c r="J181" s="1330">
        <f t="shared" si="23"/>
        <v>0</v>
      </c>
      <c r="K181" s="1330">
        <f t="shared" si="23"/>
        <v>0</v>
      </c>
      <c r="L181" s="1330">
        <f t="shared" si="23"/>
        <v>0</v>
      </c>
      <c r="M181" s="1330">
        <f t="shared" si="23"/>
        <v>0</v>
      </c>
    </row>
    <row r="182" spans="1:13">
      <c r="A182" s="1323"/>
      <c r="B182" s="1324"/>
      <c r="C182" s="1333">
        <v>2611</v>
      </c>
      <c r="D182" s="1334">
        <v>44625</v>
      </c>
      <c r="E182" s="1344">
        <v>298682</v>
      </c>
      <c r="F182" s="1328">
        <f t="shared" si="22"/>
        <v>26</v>
      </c>
      <c r="G182" s="1329"/>
      <c r="H182" s="1329"/>
      <c r="I182" s="1330">
        <f t="shared" si="23"/>
        <v>298682</v>
      </c>
      <c r="J182" s="1330">
        <f t="shared" si="23"/>
        <v>0</v>
      </c>
      <c r="K182" s="1330">
        <f t="shared" si="23"/>
        <v>0</v>
      </c>
      <c r="L182" s="1330">
        <f t="shared" si="23"/>
        <v>0</v>
      </c>
      <c r="M182" s="1330">
        <f t="shared" si="23"/>
        <v>0</v>
      </c>
    </row>
    <row r="183" spans="1:13">
      <c r="A183" s="1323"/>
      <c r="B183" s="1324"/>
      <c r="C183" s="1333">
        <v>2615</v>
      </c>
      <c r="D183" s="1334">
        <v>44625</v>
      </c>
      <c r="E183" s="1344">
        <v>879560</v>
      </c>
      <c r="F183" s="1328">
        <f t="shared" si="22"/>
        <v>26</v>
      </c>
      <c r="G183" s="1329"/>
      <c r="H183" s="1329"/>
      <c r="I183" s="1330">
        <f t="shared" ref="I183:M227" si="24">IF(AND($F183&gt;=I$2,$F183&lt;=I$3),$E183,0)</f>
        <v>879560</v>
      </c>
      <c r="J183" s="1330">
        <f t="shared" si="24"/>
        <v>0</v>
      </c>
      <c r="K183" s="1330">
        <f t="shared" si="24"/>
        <v>0</v>
      </c>
      <c r="L183" s="1330">
        <f t="shared" si="24"/>
        <v>0</v>
      </c>
      <c r="M183" s="1330">
        <f t="shared" si="24"/>
        <v>0</v>
      </c>
    </row>
    <row r="184" spans="1:13">
      <c r="A184" s="1323"/>
      <c r="B184" s="1324"/>
      <c r="C184" s="1333">
        <v>2624</v>
      </c>
      <c r="D184" s="1334">
        <v>44626</v>
      </c>
      <c r="E184" s="1344">
        <v>780537</v>
      </c>
      <c r="F184" s="1328">
        <f t="shared" si="22"/>
        <v>25</v>
      </c>
      <c r="G184" s="1329"/>
      <c r="H184" s="1329"/>
      <c r="I184" s="1330">
        <f t="shared" si="24"/>
        <v>780537</v>
      </c>
      <c r="J184" s="1330">
        <f t="shared" si="24"/>
        <v>0</v>
      </c>
      <c r="K184" s="1330">
        <f t="shared" si="24"/>
        <v>0</v>
      </c>
      <c r="L184" s="1330">
        <f t="shared" si="24"/>
        <v>0</v>
      </c>
      <c r="M184" s="1330">
        <f t="shared" si="24"/>
        <v>0</v>
      </c>
    </row>
    <row r="185" spans="1:13">
      <c r="A185" s="1323"/>
      <c r="B185" s="1324"/>
      <c r="C185" s="1333">
        <v>2630</v>
      </c>
      <c r="D185" s="1334">
        <v>44627</v>
      </c>
      <c r="E185" s="1344">
        <v>583153</v>
      </c>
      <c r="F185" s="1328">
        <f t="shared" si="22"/>
        <v>24</v>
      </c>
      <c r="G185" s="1329"/>
      <c r="H185" s="1329"/>
      <c r="I185" s="1330">
        <f t="shared" si="24"/>
        <v>583153</v>
      </c>
      <c r="J185" s="1330">
        <f t="shared" si="24"/>
        <v>0</v>
      </c>
      <c r="K185" s="1330">
        <f t="shared" si="24"/>
        <v>0</v>
      </c>
      <c r="L185" s="1330">
        <f t="shared" si="24"/>
        <v>0</v>
      </c>
      <c r="M185" s="1330">
        <f t="shared" si="24"/>
        <v>0</v>
      </c>
    </row>
    <row r="186" spans="1:13">
      <c r="A186" s="1323"/>
      <c r="B186" s="1324"/>
      <c r="C186" s="1333">
        <v>2633</v>
      </c>
      <c r="D186" s="1334">
        <v>44628</v>
      </c>
      <c r="E186" s="1344">
        <v>339392</v>
      </c>
      <c r="F186" s="1328">
        <f t="shared" si="22"/>
        <v>23</v>
      </c>
      <c r="G186" s="1329"/>
      <c r="H186" s="1329"/>
      <c r="I186" s="1330">
        <f t="shared" si="24"/>
        <v>339392</v>
      </c>
      <c r="J186" s="1330">
        <f t="shared" si="24"/>
        <v>0</v>
      </c>
      <c r="K186" s="1330">
        <f t="shared" si="24"/>
        <v>0</v>
      </c>
      <c r="L186" s="1330">
        <f t="shared" si="24"/>
        <v>0</v>
      </c>
      <c r="M186" s="1330">
        <f t="shared" si="24"/>
        <v>0</v>
      </c>
    </row>
    <row r="187" spans="1:13">
      <c r="A187" s="1323"/>
      <c r="B187" s="1324"/>
      <c r="C187" s="1333">
        <v>2643</v>
      </c>
      <c r="D187" s="1334">
        <v>44629</v>
      </c>
      <c r="E187" s="1344">
        <v>616643</v>
      </c>
      <c r="F187" s="1328">
        <f t="shared" si="22"/>
        <v>22</v>
      </c>
      <c r="G187" s="1329"/>
      <c r="H187" s="1329"/>
      <c r="I187" s="1330">
        <f t="shared" si="24"/>
        <v>616643</v>
      </c>
      <c r="J187" s="1330">
        <f t="shared" si="24"/>
        <v>0</v>
      </c>
      <c r="K187" s="1330">
        <f t="shared" si="24"/>
        <v>0</v>
      </c>
      <c r="L187" s="1330">
        <f t="shared" si="24"/>
        <v>0</v>
      </c>
      <c r="M187" s="1330">
        <f t="shared" si="24"/>
        <v>0</v>
      </c>
    </row>
    <row r="188" spans="1:13">
      <c r="A188" s="1323"/>
      <c r="B188" s="1324"/>
      <c r="C188" s="1333">
        <v>2644</v>
      </c>
      <c r="D188" s="1334">
        <v>44629</v>
      </c>
      <c r="E188" s="1344">
        <v>299244</v>
      </c>
      <c r="F188" s="1328">
        <f t="shared" si="22"/>
        <v>22</v>
      </c>
      <c r="G188" s="1329"/>
      <c r="H188" s="1329"/>
      <c r="I188" s="1330">
        <f t="shared" si="24"/>
        <v>299244</v>
      </c>
      <c r="J188" s="1330">
        <f t="shared" si="24"/>
        <v>0</v>
      </c>
      <c r="K188" s="1330">
        <f t="shared" si="24"/>
        <v>0</v>
      </c>
      <c r="L188" s="1330">
        <f t="shared" si="24"/>
        <v>0</v>
      </c>
      <c r="M188" s="1330">
        <f t="shared" si="24"/>
        <v>0</v>
      </c>
    </row>
    <row r="189" spans="1:13">
      <c r="A189" s="1323"/>
      <c r="B189" s="1324"/>
      <c r="C189" s="1333">
        <v>2650</v>
      </c>
      <c r="D189" s="1334">
        <v>44629</v>
      </c>
      <c r="E189" s="1344">
        <v>317761</v>
      </c>
      <c r="F189" s="1328">
        <f t="shared" si="22"/>
        <v>22</v>
      </c>
      <c r="G189" s="1329"/>
      <c r="H189" s="1329"/>
      <c r="I189" s="1330">
        <f t="shared" si="24"/>
        <v>317761</v>
      </c>
      <c r="J189" s="1330">
        <f t="shared" si="24"/>
        <v>0</v>
      </c>
      <c r="K189" s="1330">
        <f t="shared" si="24"/>
        <v>0</v>
      </c>
      <c r="L189" s="1330">
        <f t="shared" si="24"/>
        <v>0</v>
      </c>
      <c r="M189" s="1330">
        <f t="shared" si="24"/>
        <v>0</v>
      </c>
    </row>
    <row r="190" spans="1:13">
      <c r="A190" s="1323"/>
      <c r="B190" s="1324"/>
      <c r="C190" s="1333">
        <v>2652</v>
      </c>
      <c r="D190" s="1334">
        <v>44630</v>
      </c>
      <c r="E190" s="1344">
        <v>533308</v>
      </c>
      <c r="F190" s="1328">
        <f t="shared" si="22"/>
        <v>21</v>
      </c>
      <c r="G190" s="1329"/>
      <c r="H190" s="1329"/>
      <c r="I190" s="1330">
        <f t="shared" si="24"/>
        <v>533308</v>
      </c>
      <c r="J190" s="1330">
        <f t="shared" si="24"/>
        <v>0</v>
      </c>
      <c r="K190" s="1330">
        <f t="shared" si="24"/>
        <v>0</v>
      </c>
      <c r="L190" s="1330">
        <f t="shared" si="24"/>
        <v>0</v>
      </c>
      <c r="M190" s="1330">
        <f t="shared" si="24"/>
        <v>0</v>
      </c>
    </row>
    <row r="191" spans="1:13">
      <c r="A191" s="1323"/>
      <c r="B191" s="1324"/>
      <c r="C191" s="1333">
        <v>2654</v>
      </c>
      <c r="D191" s="1334">
        <v>44630</v>
      </c>
      <c r="E191" s="1344">
        <v>413512</v>
      </c>
      <c r="F191" s="1328">
        <f t="shared" si="22"/>
        <v>21</v>
      </c>
      <c r="G191" s="1329"/>
      <c r="H191" s="1329"/>
      <c r="I191" s="1330">
        <f t="shared" si="24"/>
        <v>413512</v>
      </c>
      <c r="J191" s="1330">
        <f t="shared" si="24"/>
        <v>0</v>
      </c>
      <c r="K191" s="1330">
        <f t="shared" si="24"/>
        <v>0</v>
      </c>
      <c r="L191" s="1330">
        <f t="shared" si="24"/>
        <v>0</v>
      </c>
      <c r="M191" s="1330">
        <f t="shared" si="24"/>
        <v>0</v>
      </c>
    </row>
    <row r="192" spans="1:13">
      <c r="A192" s="1323"/>
      <c r="B192" s="1324"/>
      <c r="C192" s="1333">
        <v>2657</v>
      </c>
      <c r="D192" s="1334">
        <v>44630</v>
      </c>
      <c r="E192" s="1344">
        <v>1036541</v>
      </c>
      <c r="F192" s="1328">
        <f t="shared" si="22"/>
        <v>21</v>
      </c>
      <c r="G192" s="1329"/>
      <c r="H192" s="1329"/>
      <c r="I192" s="1330">
        <f t="shared" si="24"/>
        <v>1036541</v>
      </c>
      <c r="J192" s="1330">
        <f t="shared" si="24"/>
        <v>0</v>
      </c>
      <c r="K192" s="1330">
        <f t="shared" si="24"/>
        <v>0</v>
      </c>
      <c r="L192" s="1330">
        <f t="shared" si="24"/>
        <v>0</v>
      </c>
      <c r="M192" s="1330">
        <f t="shared" si="24"/>
        <v>0</v>
      </c>
    </row>
    <row r="193" spans="1:13">
      <c r="A193" s="1323"/>
      <c r="B193" s="1324"/>
      <c r="C193" s="1333">
        <v>2663</v>
      </c>
      <c r="D193" s="1334">
        <v>44631</v>
      </c>
      <c r="E193" s="1344">
        <v>321706</v>
      </c>
      <c r="F193" s="1328">
        <f t="shared" si="22"/>
        <v>20</v>
      </c>
      <c r="G193" s="1329"/>
      <c r="H193" s="1329"/>
      <c r="I193" s="1330">
        <f t="shared" si="24"/>
        <v>321706</v>
      </c>
      <c r="J193" s="1330">
        <f t="shared" si="24"/>
        <v>0</v>
      </c>
      <c r="K193" s="1330">
        <f t="shared" si="24"/>
        <v>0</v>
      </c>
      <c r="L193" s="1330">
        <f t="shared" si="24"/>
        <v>0</v>
      </c>
      <c r="M193" s="1330">
        <f t="shared" si="24"/>
        <v>0</v>
      </c>
    </row>
    <row r="194" spans="1:13">
      <c r="A194" s="1323"/>
      <c r="B194" s="1324"/>
      <c r="C194" s="1333">
        <v>2676</v>
      </c>
      <c r="D194" s="1334">
        <v>44633</v>
      </c>
      <c r="E194" s="1344">
        <v>835438</v>
      </c>
      <c r="F194" s="1328">
        <f t="shared" si="22"/>
        <v>18</v>
      </c>
      <c r="G194" s="1329"/>
      <c r="H194" s="1329"/>
      <c r="I194" s="1330">
        <f t="shared" si="24"/>
        <v>835438</v>
      </c>
      <c r="J194" s="1330">
        <f t="shared" si="24"/>
        <v>0</v>
      </c>
      <c r="K194" s="1330">
        <f t="shared" si="24"/>
        <v>0</v>
      </c>
      <c r="L194" s="1330">
        <f t="shared" si="24"/>
        <v>0</v>
      </c>
      <c r="M194" s="1330">
        <f t="shared" si="24"/>
        <v>0</v>
      </c>
    </row>
    <row r="195" spans="1:13">
      <c r="A195" s="1323"/>
      <c r="B195" s="1324"/>
      <c r="C195" s="1333">
        <v>2680</v>
      </c>
      <c r="D195" s="1334">
        <v>44633</v>
      </c>
      <c r="E195" s="1344">
        <v>783671</v>
      </c>
      <c r="F195" s="1328">
        <f t="shared" si="22"/>
        <v>18</v>
      </c>
      <c r="G195" s="1329"/>
      <c r="H195" s="1329"/>
      <c r="I195" s="1330">
        <f t="shared" si="24"/>
        <v>783671</v>
      </c>
      <c r="J195" s="1330">
        <f t="shared" si="24"/>
        <v>0</v>
      </c>
      <c r="K195" s="1330">
        <f t="shared" si="24"/>
        <v>0</v>
      </c>
      <c r="L195" s="1330">
        <f t="shared" si="24"/>
        <v>0</v>
      </c>
      <c r="M195" s="1330">
        <f t="shared" si="24"/>
        <v>0</v>
      </c>
    </row>
    <row r="196" spans="1:13">
      <c r="A196" s="1323"/>
      <c r="B196" s="1324"/>
      <c r="C196" s="1333">
        <v>2684</v>
      </c>
      <c r="D196" s="1334">
        <v>44634</v>
      </c>
      <c r="E196" s="1344">
        <v>344599</v>
      </c>
      <c r="F196" s="1328">
        <f t="shared" si="22"/>
        <v>17</v>
      </c>
      <c r="G196" s="1329"/>
      <c r="H196" s="1329"/>
      <c r="I196" s="1330">
        <f t="shared" si="24"/>
        <v>344599</v>
      </c>
      <c r="J196" s="1330">
        <f t="shared" si="24"/>
        <v>0</v>
      </c>
      <c r="K196" s="1330">
        <f t="shared" si="24"/>
        <v>0</v>
      </c>
      <c r="L196" s="1330">
        <f t="shared" si="24"/>
        <v>0</v>
      </c>
      <c r="M196" s="1330">
        <f t="shared" si="24"/>
        <v>0</v>
      </c>
    </row>
    <row r="197" spans="1:13">
      <c r="A197" s="1323"/>
      <c r="B197" s="1324"/>
      <c r="C197" s="1333">
        <v>2689</v>
      </c>
      <c r="D197" s="1334">
        <v>44635</v>
      </c>
      <c r="E197" s="1344">
        <v>451244</v>
      </c>
      <c r="F197" s="1328">
        <f t="shared" si="22"/>
        <v>16</v>
      </c>
      <c r="G197" s="1329"/>
      <c r="H197" s="1329"/>
      <c r="I197" s="1330">
        <f t="shared" si="24"/>
        <v>451244</v>
      </c>
      <c r="J197" s="1330">
        <f t="shared" si="24"/>
        <v>0</v>
      </c>
      <c r="K197" s="1330">
        <f t="shared" si="24"/>
        <v>0</v>
      </c>
      <c r="L197" s="1330">
        <f t="shared" si="24"/>
        <v>0</v>
      </c>
      <c r="M197" s="1330">
        <f t="shared" si="24"/>
        <v>0</v>
      </c>
    </row>
    <row r="198" spans="1:13">
      <c r="A198" s="1323"/>
      <c r="B198" s="1324"/>
      <c r="C198" s="1333">
        <v>2691</v>
      </c>
      <c r="D198" s="1334">
        <v>44635</v>
      </c>
      <c r="E198" s="1344">
        <v>62511</v>
      </c>
      <c r="F198" s="1328">
        <f t="shared" si="22"/>
        <v>16</v>
      </c>
      <c r="G198" s="1329"/>
      <c r="H198" s="1329"/>
      <c r="I198" s="1330">
        <f t="shared" si="24"/>
        <v>62511</v>
      </c>
      <c r="J198" s="1330">
        <f t="shared" si="24"/>
        <v>0</v>
      </c>
      <c r="K198" s="1330">
        <f t="shared" si="24"/>
        <v>0</v>
      </c>
      <c r="L198" s="1330">
        <f t="shared" si="24"/>
        <v>0</v>
      </c>
      <c r="M198" s="1330">
        <f t="shared" si="24"/>
        <v>0</v>
      </c>
    </row>
    <row r="199" spans="1:13">
      <c r="A199" s="1323"/>
      <c r="B199" s="1324"/>
      <c r="C199" s="1333">
        <v>2692</v>
      </c>
      <c r="D199" s="1334">
        <v>44635</v>
      </c>
      <c r="E199" s="1344">
        <v>299222</v>
      </c>
      <c r="F199" s="1328">
        <f t="shared" si="22"/>
        <v>16</v>
      </c>
      <c r="G199" s="1329"/>
      <c r="H199" s="1329"/>
      <c r="I199" s="1330">
        <f t="shared" si="24"/>
        <v>299222</v>
      </c>
      <c r="J199" s="1330">
        <f t="shared" si="24"/>
        <v>0</v>
      </c>
      <c r="K199" s="1330">
        <f t="shared" si="24"/>
        <v>0</v>
      </c>
      <c r="L199" s="1330">
        <f t="shared" si="24"/>
        <v>0</v>
      </c>
      <c r="M199" s="1330">
        <f t="shared" si="24"/>
        <v>0</v>
      </c>
    </row>
    <row r="200" spans="1:13">
      <c r="A200" s="1323"/>
      <c r="B200" s="1324"/>
      <c r="C200" s="1333">
        <v>2693</v>
      </c>
      <c r="D200" s="1334">
        <v>44635</v>
      </c>
      <c r="E200" s="1344">
        <v>391735</v>
      </c>
      <c r="F200" s="1328">
        <f t="shared" si="22"/>
        <v>16</v>
      </c>
      <c r="G200" s="1329"/>
      <c r="H200" s="1329"/>
      <c r="I200" s="1330">
        <f t="shared" si="24"/>
        <v>391735</v>
      </c>
      <c r="J200" s="1330">
        <f t="shared" si="24"/>
        <v>0</v>
      </c>
      <c r="K200" s="1330">
        <f t="shared" si="24"/>
        <v>0</v>
      </c>
      <c r="L200" s="1330">
        <f t="shared" si="24"/>
        <v>0</v>
      </c>
      <c r="M200" s="1330">
        <f t="shared" si="24"/>
        <v>0</v>
      </c>
    </row>
    <row r="201" spans="1:13">
      <c r="A201" s="1323"/>
      <c r="B201" s="1324"/>
      <c r="C201" s="1333">
        <v>2694</v>
      </c>
      <c r="D201" s="1334">
        <v>44635</v>
      </c>
      <c r="E201" s="1344">
        <v>394991</v>
      </c>
      <c r="F201" s="1328">
        <f t="shared" si="22"/>
        <v>16</v>
      </c>
      <c r="G201" s="1329"/>
      <c r="H201" s="1329"/>
      <c r="I201" s="1330">
        <f t="shared" si="24"/>
        <v>394991</v>
      </c>
      <c r="J201" s="1330">
        <f t="shared" si="24"/>
        <v>0</v>
      </c>
      <c r="K201" s="1330">
        <f t="shared" si="24"/>
        <v>0</v>
      </c>
      <c r="L201" s="1330">
        <f t="shared" si="24"/>
        <v>0</v>
      </c>
      <c r="M201" s="1330">
        <f t="shared" si="24"/>
        <v>0</v>
      </c>
    </row>
    <row r="202" spans="1:13">
      <c r="A202" s="1323"/>
      <c r="B202" s="1324"/>
      <c r="C202" s="1333">
        <v>2701</v>
      </c>
      <c r="D202" s="1334">
        <v>44636</v>
      </c>
      <c r="E202" s="1344">
        <v>730584</v>
      </c>
      <c r="F202" s="1328">
        <f t="shared" si="22"/>
        <v>15</v>
      </c>
      <c r="G202" s="1329"/>
      <c r="H202" s="1329"/>
      <c r="I202" s="1330">
        <f t="shared" si="24"/>
        <v>730584</v>
      </c>
      <c r="J202" s="1330">
        <f t="shared" si="24"/>
        <v>0</v>
      </c>
      <c r="K202" s="1330">
        <f t="shared" si="24"/>
        <v>0</v>
      </c>
      <c r="L202" s="1330">
        <f t="shared" si="24"/>
        <v>0</v>
      </c>
      <c r="M202" s="1330">
        <f t="shared" si="24"/>
        <v>0</v>
      </c>
    </row>
    <row r="203" spans="1:13">
      <c r="A203" s="1323"/>
      <c r="B203" s="1324"/>
      <c r="C203" s="1333">
        <v>2702</v>
      </c>
      <c r="D203" s="1334">
        <v>44636</v>
      </c>
      <c r="E203" s="1344">
        <v>260826</v>
      </c>
      <c r="F203" s="1328">
        <f t="shared" si="22"/>
        <v>15</v>
      </c>
      <c r="G203" s="1329"/>
      <c r="H203" s="1329"/>
      <c r="I203" s="1330">
        <f t="shared" si="24"/>
        <v>260826</v>
      </c>
      <c r="J203" s="1330">
        <f t="shared" si="24"/>
        <v>0</v>
      </c>
      <c r="K203" s="1330">
        <f t="shared" si="24"/>
        <v>0</v>
      </c>
      <c r="L203" s="1330">
        <f t="shared" si="24"/>
        <v>0</v>
      </c>
      <c r="M203" s="1330">
        <f t="shared" si="24"/>
        <v>0</v>
      </c>
    </row>
    <row r="204" spans="1:13">
      <c r="A204" s="1323"/>
      <c r="B204" s="1324"/>
      <c r="C204" s="1333">
        <v>2705</v>
      </c>
      <c r="D204" s="1334">
        <v>44636</v>
      </c>
      <c r="E204" s="1344">
        <v>350755</v>
      </c>
      <c r="F204" s="1328">
        <f t="shared" si="22"/>
        <v>15</v>
      </c>
      <c r="G204" s="1329"/>
      <c r="H204" s="1329"/>
      <c r="I204" s="1330">
        <f t="shared" si="24"/>
        <v>350755</v>
      </c>
      <c r="J204" s="1330">
        <f t="shared" si="24"/>
        <v>0</v>
      </c>
      <c r="K204" s="1330">
        <f t="shared" si="24"/>
        <v>0</v>
      </c>
      <c r="L204" s="1330">
        <f t="shared" si="24"/>
        <v>0</v>
      </c>
      <c r="M204" s="1330">
        <f t="shared" si="24"/>
        <v>0</v>
      </c>
    </row>
    <row r="205" spans="1:13">
      <c r="A205" s="1323"/>
      <c r="B205" s="1324"/>
      <c r="C205" s="1333">
        <v>2706</v>
      </c>
      <c r="D205" s="1334">
        <v>44637</v>
      </c>
      <c r="E205" s="1344">
        <v>299903</v>
      </c>
      <c r="F205" s="1328">
        <f t="shared" si="22"/>
        <v>14</v>
      </c>
      <c r="G205" s="1329"/>
      <c r="H205" s="1329"/>
      <c r="I205" s="1330">
        <f t="shared" si="24"/>
        <v>299903</v>
      </c>
      <c r="J205" s="1330">
        <f t="shared" si="24"/>
        <v>0</v>
      </c>
      <c r="K205" s="1330">
        <f t="shared" si="24"/>
        <v>0</v>
      </c>
      <c r="L205" s="1330">
        <f t="shared" si="24"/>
        <v>0</v>
      </c>
      <c r="M205" s="1330">
        <f t="shared" si="24"/>
        <v>0</v>
      </c>
    </row>
    <row r="206" spans="1:13">
      <c r="A206" s="1323"/>
      <c r="B206" s="1324"/>
      <c r="C206" s="1333">
        <v>2709</v>
      </c>
      <c r="D206" s="1334">
        <v>44637</v>
      </c>
      <c r="E206" s="1344">
        <v>663410</v>
      </c>
      <c r="F206" s="1328">
        <f t="shared" si="22"/>
        <v>14</v>
      </c>
      <c r="G206" s="1329"/>
      <c r="H206" s="1329"/>
      <c r="I206" s="1330">
        <f t="shared" si="24"/>
        <v>663410</v>
      </c>
      <c r="J206" s="1330">
        <f t="shared" si="24"/>
        <v>0</v>
      </c>
      <c r="K206" s="1330">
        <f t="shared" si="24"/>
        <v>0</v>
      </c>
      <c r="L206" s="1330">
        <f t="shared" si="24"/>
        <v>0</v>
      </c>
      <c r="M206" s="1330">
        <f t="shared" si="24"/>
        <v>0</v>
      </c>
    </row>
    <row r="207" spans="1:13">
      <c r="A207" s="1323"/>
      <c r="B207" s="1324"/>
      <c r="C207" s="1333">
        <v>2715</v>
      </c>
      <c r="D207" s="1334">
        <v>44639</v>
      </c>
      <c r="E207" s="1344">
        <v>315221</v>
      </c>
      <c r="F207" s="1328">
        <f t="shared" si="22"/>
        <v>12</v>
      </c>
      <c r="G207" s="1329"/>
      <c r="H207" s="1329"/>
      <c r="I207" s="1330">
        <f t="shared" si="24"/>
        <v>315221</v>
      </c>
      <c r="J207" s="1330">
        <f t="shared" si="24"/>
        <v>0</v>
      </c>
      <c r="K207" s="1330">
        <f t="shared" si="24"/>
        <v>0</v>
      </c>
      <c r="L207" s="1330">
        <f t="shared" si="24"/>
        <v>0</v>
      </c>
      <c r="M207" s="1330">
        <f t="shared" si="24"/>
        <v>0</v>
      </c>
    </row>
    <row r="208" spans="1:13">
      <c r="A208" s="1323"/>
      <c r="B208" s="1324"/>
      <c r="C208" s="1333">
        <v>2721</v>
      </c>
      <c r="D208" s="1334">
        <v>44640</v>
      </c>
      <c r="E208" s="1344">
        <v>699651</v>
      </c>
      <c r="F208" s="1328">
        <f t="shared" si="22"/>
        <v>11</v>
      </c>
      <c r="G208" s="1329"/>
      <c r="H208" s="1329"/>
      <c r="I208" s="1330">
        <f t="shared" si="24"/>
        <v>699651</v>
      </c>
      <c r="J208" s="1330">
        <f t="shared" si="24"/>
        <v>0</v>
      </c>
      <c r="K208" s="1330">
        <f t="shared" si="24"/>
        <v>0</v>
      </c>
      <c r="L208" s="1330">
        <f t="shared" si="24"/>
        <v>0</v>
      </c>
      <c r="M208" s="1330">
        <f t="shared" si="24"/>
        <v>0</v>
      </c>
    </row>
    <row r="209" spans="1:13">
      <c r="A209" s="1323"/>
      <c r="B209" s="1324"/>
      <c r="C209" s="1333">
        <v>2732</v>
      </c>
      <c r="D209" s="1334">
        <v>44642</v>
      </c>
      <c r="E209" s="1344">
        <v>932354</v>
      </c>
      <c r="F209" s="1328">
        <f t="shared" si="22"/>
        <v>9</v>
      </c>
      <c r="G209" s="1329"/>
      <c r="H209" s="1329"/>
      <c r="I209" s="1330">
        <f t="shared" si="24"/>
        <v>932354</v>
      </c>
      <c r="J209" s="1330">
        <f t="shared" si="24"/>
        <v>0</v>
      </c>
      <c r="K209" s="1330">
        <f t="shared" si="24"/>
        <v>0</v>
      </c>
      <c r="L209" s="1330">
        <f t="shared" si="24"/>
        <v>0</v>
      </c>
      <c r="M209" s="1330">
        <f t="shared" si="24"/>
        <v>0</v>
      </c>
    </row>
    <row r="210" spans="1:13">
      <c r="A210" s="1323"/>
      <c r="B210" s="1324"/>
      <c r="C210" s="1333">
        <v>2742</v>
      </c>
      <c r="D210" s="1334">
        <v>44643</v>
      </c>
      <c r="E210" s="1344">
        <v>400648</v>
      </c>
      <c r="F210" s="1328">
        <f t="shared" si="22"/>
        <v>8</v>
      </c>
      <c r="G210" s="1329"/>
      <c r="H210" s="1329"/>
      <c r="I210" s="1330">
        <f t="shared" si="24"/>
        <v>400648</v>
      </c>
      <c r="J210" s="1330">
        <f t="shared" si="24"/>
        <v>0</v>
      </c>
      <c r="K210" s="1330">
        <f t="shared" si="24"/>
        <v>0</v>
      </c>
      <c r="L210" s="1330">
        <f t="shared" si="24"/>
        <v>0</v>
      </c>
      <c r="M210" s="1330">
        <f t="shared" si="24"/>
        <v>0</v>
      </c>
    </row>
    <row r="211" spans="1:13">
      <c r="A211" s="1323"/>
      <c r="B211" s="1324"/>
      <c r="C211" s="1333">
        <v>2744</v>
      </c>
      <c r="D211" s="1334">
        <v>44643</v>
      </c>
      <c r="E211" s="1344">
        <v>283420</v>
      </c>
      <c r="F211" s="1328">
        <f t="shared" si="22"/>
        <v>8</v>
      </c>
      <c r="G211" s="1329"/>
      <c r="H211" s="1329"/>
      <c r="I211" s="1330">
        <f t="shared" si="24"/>
        <v>283420</v>
      </c>
      <c r="J211" s="1330">
        <f t="shared" si="24"/>
        <v>0</v>
      </c>
      <c r="K211" s="1330">
        <f t="shared" si="24"/>
        <v>0</v>
      </c>
      <c r="L211" s="1330">
        <f t="shared" si="24"/>
        <v>0</v>
      </c>
      <c r="M211" s="1330">
        <f t="shared" si="24"/>
        <v>0</v>
      </c>
    </row>
    <row r="212" spans="1:13">
      <c r="A212" s="1323"/>
      <c r="B212" s="1324"/>
      <c r="C212" s="1333">
        <v>2745</v>
      </c>
      <c r="D212" s="1334">
        <v>44643</v>
      </c>
      <c r="E212" s="1344">
        <v>383951</v>
      </c>
      <c r="F212" s="1328">
        <f t="shared" si="22"/>
        <v>8</v>
      </c>
      <c r="G212" s="1329"/>
      <c r="H212" s="1329"/>
      <c r="I212" s="1330">
        <f t="shared" si="24"/>
        <v>383951</v>
      </c>
      <c r="J212" s="1330">
        <f t="shared" si="24"/>
        <v>0</v>
      </c>
      <c r="K212" s="1330">
        <f t="shared" si="24"/>
        <v>0</v>
      </c>
      <c r="L212" s="1330">
        <f t="shared" si="24"/>
        <v>0</v>
      </c>
      <c r="M212" s="1330">
        <f t="shared" si="24"/>
        <v>0</v>
      </c>
    </row>
    <row r="213" spans="1:13">
      <c r="A213" s="1323"/>
      <c r="B213" s="1324"/>
      <c r="C213" s="1333">
        <v>2746</v>
      </c>
      <c r="D213" s="1334">
        <v>44643</v>
      </c>
      <c r="E213" s="1344">
        <v>290134</v>
      </c>
      <c r="F213" s="1328">
        <f t="shared" si="22"/>
        <v>8</v>
      </c>
      <c r="G213" s="1329"/>
      <c r="H213" s="1329"/>
      <c r="I213" s="1330">
        <f t="shared" si="24"/>
        <v>290134</v>
      </c>
      <c r="J213" s="1330">
        <f t="shared" si="24"/>
        <v>0</v>
      </c>
      <c r="K213" s="1330">
        <f t="shared" si="24"/>
        <v>0</v>
      </c>
      <c r="L213" s="1330">
        <f t="shared" si="24"/>
        <v>0</v>
      </c>
      <c r="M213" s="1330">
        <f t="shared" si="24"/>
        <v>0</v>
      </c>
    </row>
    <row r="214" spans="1:13">
      <c r="A214" s="1323"/>
      <c r="B214" s="1324"/>
      <c r="C214" s="1333">
        <v>2749</v>
      </c>
      <c r="D214" s="1334">
        <v>44643</v>
      </c>
      <c r="E214" s="1344">
        <v>266323</v>
      </c>
      <c r="F214" s="1328">
        <f t="shared" si="22"/>
        <v>8</v>
      </c>
      <c r="G214" s="1329"/>
      <c r="H214" s="1329"/>
      <c r="I214" s="1330">
        <f t="shared" si="24"/>
        <v>266323</v>
      </c>
      <c r="J214" s="1330">
        <f t="shared" si="24"/>
        <v>0</v>
      </c>
      <c r="K214" s="1330">
        <f t="shared" si="24"/>
        <v>0</v>
      </c>
      <c r="L214" s="1330">
        <f t="shared" si="24"/>
        <v>0</v>
      </c>
      <c r="M214" s="1330">
        <f t="shared" si="24"/>
        <v>0</v>
      </c>
    </row>
    <row r="215" spans="1:13">
      <c r="A215" s="1323"/>
      <c r="B215" s="1324"/>
      <c r="C215" s="1333">
        <v>2757</v>
      </c>
      <c r="D215" s="1334">
        <v>44644</v>
      </c>
      <c r="E215" s="1344">
        <v>374130</v>
      </c>
      <c r="F215" s="1328">
        <f t="shared" si="22"/>
        <v>7</v>
      </c>
      <c r="G215" s="1329"/>
      <c r="H215" s="1329"/>
      <c r="I215" s="1330">
        <f t="shared" si="24"/>
        <v>374130</v>
      </c>
      <c r="J215" s="1330">
        <f t="shared" si="24"/>
        <v>0</v>
      </c>
      <c r="K215" s="1330">
        <f t="shared" si="24"/>
        <v>0</v>
      </c>
      <c r="L215" s="1330">
        <f t="shared" si="24"/>
        <v>0</v>
      </c>
      <c r="M215" s="1330">
        <f t="shared" si="24"/>
        <v>0</v>
      </c>
    </row>
    <row r="216" spans="1:13">
      <c r="A216" s="1323"/>
      <c r="B216" s="1324"/>
      <c r="C216" s="1333">
        <v>2761</v>
      </c>
      <c r="D216" s="1334">
        <v>44644</v>
      </c>
      <c r="E216" s="1344">
        <v>766080</v>
      </c>
      <c r="F216" s="1328">
        <f t="shared" si="22"/>
        <v>7</v>
      </c>
      <c r="G216" s="1329"/>
      <c r="H216" s="1329"/>
      <c r="I216" s="1330">
        <f t="shared" si="24"/>
        <v>766080</v>
      </c>
      <c r="J216" s="1330">
        <f t="shared" si="24"/>
        <v>0</v>
      </c>
      <c r="K216" s="1330">
        <f t="shared" si="24"/>
        <v>0</v>
      </c>
      <c r="L216" s="1330">
        <f t="shared" si="24"/>
        <v>0</v>
      </c>
      <c r="M216" s="1330">
        <f t="shared" si="24"/>
        <v>0</v>
      </c>
    </row>
    <row r="217" spans="1:13">
      <c r="A217" s="1323"/>
      <c r="B217" s="1324"/>
      <c r="C217" s="1333">
        <v>2777</v>
      </c>
      <c r="D217" s="1334">
        <v>44646</v>
      </c>
      <c r="E217" s="1344">
        <v>434231</v>
      </c>
      <c r="F217" s="1328">
        <f t="shared" si="22"/>
        <v>5</v>
      </c>
      <c r="G217" s="1329"/>
      <c r="H217" s="1329"/>
      <c r="I217" s="1330">
        <f t="shared" si="24"/>
        <v>434231</v>
      </c>
      <c r="J217" s="1330">
        <f t="shared" si="24"/>
        <v>0</v>
      </c>
      <c r="K217" s="1330">
        <f t="shared" si="24"/>
        <v>0</v>
      </c>
      <c r="L217" s="1330">
        <f t="shared" si="24"/>
        <v>0</v>
      </c>
      <c r="M217" s="1330">
        <f t="shared" si="24"/>
        <v>0</v>
      </c>
    </row>
    <row r="218" spans="1:13">
      <c r="A218" s="1323"/>
      <c r="B218" s="1324"/>
      <c r="C218" s="1351">
        <v>2782</v>
      </c>
      <c r="D218" s="1352">
        <v>44648</v>
      </c>
      <c r="E218" s="1344">
        <v>418524</v>
      </c>
      <c r="F218" s="1328">
        <f t="shared" si="22"/>
        <v>3</v>
      </c>
      <c r="G218" s="1329"/>
      <c r="H218" s="1329"/>
      <c r="I218" s="1330">
        <f t="shared" si="24"/>
        <v>418524</v>
      </c>
      <c r="J218" s="1330">
        <f t="shared" si="24"/>
        <v>0</v>
      </c>
      <c r="K218" s="1330">
        <f t="shared" si="24"/>
        <v>0</v>
      </c>
      <c r="L218" s="1330">
        <f t="shared" si="24"/>
        <v>0</v>
      </c>
      <c r="M218" s="1330">
        <f t="shared" si="24"/>
        <v>0</v>
      </c>
    </row>
    <row r="219" spans="1:13">
      <c r="A219" s="1323"/>
      <c r="B219" s="1324"/>
      <c r="C219" s="1351">
        <v>2784</v>
      </c>
      <c r="D219" s="1352">
        <v>44648</v>
      </c>
      <c r="E219" s="1344">
        <v>277135</v>
      </c>
      <c r="F219" s="1328">
        <f t="shared" si="22"/>
        <v>3</v>
      </c>
      <c r="G219" s="1329"/>
      <c r="H219" s="1329"/>
      <c r="I219" s="1330">
        <f t="shared" si="24"/>
        <v>277135</v>
      </c>
      <c r="J219" s="1330">
        <f t="shared" si="24"/>
        <v>0</v>
      </c>
      <c r="K219" s="1330">
        <f t="shared" si="24"/>
        <v>0</v>
      </c>
      <c r="L219" s="1330">
        <f t="shared" si="24"/>
        <v>0</v>
      </c>
      <c r="M219" s="1330">
        <f t="shared" si="24"/>
        <v>0</v>
      </c>
    </row>
    <row r="220" spans="1:13">
      <c r="A220" s="1323"/>
      <c r="B220" s="1324"/>
      <c r="C220" s="1351">
        <v>2785</v>
      </c>
      <c r="D220" s="1352">
        <v>44648</v>
      </c>
      <c r="E220" s="1344">
        <v>318134</v>
      </c>
      <c r="F220" s="1328">
        <f t="shared" si="22"/>
        <v>3</v>
      </c>
      <c r="G220" s="1329"/>
      <c r="H220" s="1329"/>
      <c r="I220" s="1330">
        <f t="shared" si="24"/>
        <v>318134</v>
      </c>
      <c r="J220" s="1330">
        <f t="shared" si="24"/>
        <v>0</v>
      </c>
      <c r="K220" s="1330">
        <f t="shared" si="24"/>
        <v>0</v>
      </c>
      <c r="L220" s="1330">
        <f t="shared" si="24"/>
        <v>0</v>
      </c>
      <c r="M220" s="1330">
        <f t="shared" si="24"/>
        <v>0</v>
      </c>
    </row>
    <row r="221" spans="1:13">
      <c r="A221" s="1323"/>
      <c r="B221" s="1324"/>
      <c r="C221" s="1351">
        <v>2786</v>
      </c>
      <c r="D221" s="1352">
        <v>44648</v>
      </c>
      <c r="E221" s="1344">
        <v>978780</v>
      </c>
      <c r="F221" s="1328">
        <f t="shared" si="22"/>
        <v>3</v>
      </c>
      <c r="G221" s="1329"/>
      <c r="H221" s="1329"/>
      <c r="I221" s="1330">
        <f t="shared" si="24"/>
        <v>978780</v>
      </c>
      <c r="J221" s="1330">
        <f t="shared" si="24"/>
        <v>0</v>
      </c>
      <c r="K221" s="1330">
        <f t="shared" si="24"/>
        <v>0</v>
      </c>
      <c r="L221" s="1330">
        <f t="shared" si="24"/>
        <v>0</v>
      </c>
      <c r="M221" s="1330">
        <f t="shared" si="24"/>
        <v>0</v>
      </c>
    </row>
    <row r="222" spans="1:13">
      <c r="A222" s="1323"/>
      <c r="B222" s="1324"/>
      <c r="C222" s="1351">
        <v>2791</v>
      </c>
      <c r="D222" s="1352">
        <v>44649</v>
      </c>
      <c r="E222" s="1344">
        <v>109587</v>
      </c>
      <c r="F222" s="1328">
        <f t="shared" si="22"/>
        <v>2</v>
      </c>
      <c r="G222" s="1329"/>
      <c r="H222" s="1329"/>
      <c r="I222" s="1330">
        <f t="shared" si="24"/>
        <v>109587</v>
      </c>
      <c r="J222" s="1330">
        <f t="shared" si="24"/>
        <v>0</v>
      </c>
      <c r="K222" s="1330">
        <f t="shared" si="24"/>
        <v>0</v>
      </c>
      <c r="L222" s="1330">
        <f t="shared" si="24"/>
        <v>0</v>
      </c>
      <c r="M222" s="1330">
        <f t="shared" si="24"/>
        <v>0</v>
      </c>
    </row>
    <row r="223" spans="1:13">
      <c r="A223" s="1323"/>
      <c r="B223" s="1324"/>
      <c r="C223" s="1351">
        <v>2792</v>
      </c>
      <c r="D223" s="1352">
        <v>44649</v>
      </c>
      <c r="E223" s="1344">
        <v>402632</v>
      </c>
      <c r="F223" s="1328">
        <f t="shared" si="22"/>
        <v>2</v>
      </c>
      <c r="G223" s="1329"/>
      <c r="H223" s="1329"/>
      <c r="I223" s="1330">
        <f t="shared" si="24"/>
        <v>402632</v>
      </c>
      <c r="J223" s="1330">
        <f t="shared" si="24"/>
        <v>0</v>
      </c>
      <c r="K223" s="1330">
        <f t="shared" si="24"/>
        <v>0</v>
      </c>
      <c r="L223" s="1330">
        <f t="shared" si="24"/>
        <v>0</v>
      </c>
      <c r="M223" s="1330">
        <f t="shared" si="24"/>
        <v>0</v>
      </c>
    </row>
    <row r="224" spans="1:13">
      <c r="A224" s="1323"/>
      <c r="B224" s="1324"/>
      <c r="C224" s="1351">
        <v>2803</v>
      </c>
      <c r="D224" s="1352">
        <v>44651</v>
      </c>
      <c r="E224" s="1344">
        <v>481415</v>
      </c>
      <c r="F224" s="1328">
        <f t="shared" si="22"/>
        <v>0</v>
      </c>
      <c r="G224" s="1329"/>
      <c r="H224" s="1329"/>
      <c r="I224" s="1330">
        <f t="shared" si="24"/>
        <v>481415</v>
      </c>
      <c r="J224" s="1330">
        <f t="shared" si="24"/>
        <v>0</v>
      </c>
      <c r="K224" s="1330">
        <f t="shared" si="24"/>
        <v>0</v>
      </c>
      <c r="L224" s="1330">
        <f t="shared" si="24"/>
        <v>0</v>
      </c>
      <c r="M224" s="1330">
        <f t="shared" si="24"/>
        <v>0</v>
      </c>
    </row>
    <row r="225" spans="1:13">
      <c r="A225" s="1323"/>
      <c r="B225" s="1324"/>
      <c r="C225" s="1351">
        <v>2804</v>
      </c>
      <c r="D225" s="1352">
        <v>44651</v>
      </c>
      <c r="E225" s="1344">
        <v>292794</v>
      </c>
      <c r="F225" s="1328">
        <f t="shared" si="22"/>
        <v>0</v>
      </c>
      <c r="G225" s="1329"/>
      <c r="H225" s="1329"/>
      <c r="I225" s="1330">
        <f t="shared" si="24"/>
        <v>292794</v>
      </c>
      <c r="J225" s="1330">
        <f t="shared" si="24"/>
        <v>0</v>
      </c>
      <c r="K225" s="1330">
        <f t="shared" si="24"/>
        <v>0</v>
      </c>
      <c r="L225" s="1330">
        <f t="shared" si="24"/>
        <v>0</v>
      </c>
      <c r="M225" s="1330">
        <f t="shared" si="24"/>
        <v>0</v>
      </c>
    </row>
    <row r="226" spans="1:13">
      <c r="A226" s="1323"/>
      <c r="B226" s="1324"/>
      <c r="C226" s="1351">
        <v>2812</v>
      </c>
      <c r="D226" s="1352">
        <v>44651</v>
      </c>
      <c r="E226" s="1344">
        <v>246829</v>
      </c>
      <c r="F226" s="1328">
        <f t="shared" si="22"/>
        <v>0</v>
      </c>
      <c r="G226" s="1329"/>
      <c r="H226" s="1329"/>
      <c r="I226" s="1330">
        <f t="shared" si="24"/>
        <v>246829</v>
      </c>
      <c r="J226" s="1330">
        <f t="shared" si="24"/>
        <v>0</v>
      </c>
      <c r="K226" s="1330">
        <f t="shared" si="24"/>
        <v>0</v>
      </c>
      <c r="L226" s="1330">
        <f t="shared" si="24"/>
        <v>0</v>
      </c>
      <c r="M226" s="1330">
        <f t="shared" si="24"/>
        <v>0</v>
      </c>
    </row>
    <row r="227" spans="1:13">
      <c r="A227" s="1323"/>
      <c r="B227" s="1324"/>
      <c r="C227" s="1325"/>
      <c r="D227" s="1326"/>
      <c r="E227" s="1327"/>
      <c r="F227" s="1328">
        <f t="shared" si="22"/>
        <v>44651</v>
      </c>
      <c r="G227" s="1329"/>
      <c r="H227" s="1329"/>
      <c r="I227" s="1330">
        <f t="shared" si="24"/>
        <v>0</v>
      </c>
      <c r="J227" s="1330">
        <f t="shared" si="24"/>
        <v>0</v>
      </c>
      <c r="K227" s="1330">
        <f t="shared" si="24"/>
        <v>0</v>
      </c>
      <c r="L227" s="1330">
        <f t="shared" si="24"/>
        <v>0</v>
      </c>
      <c r="M227" s="1330">
        <f t="shared" si="24"/>
        <v>0</v>
      </c>
    </row>
    <row r="228" spans="1:13" s="1343" customFormat="1">
      <c r="A228" s="1338"/>
      <c r="B228" s="1339"/>
      <c r="C228" s="1340" t="s">
        <v>1724</v>
      </c>
      <c r="D228" s="1341"/>
      <c r="E228" s="1342">
        <f>SUM(E132:E227)</f>
        <v>42264943</v>
      </c>
      <c r="F228" s="1349"/>
      <c r="G228" s="1340" t="e">
        <f>SUM(#REF!)</f>
        <v>#REF!</v>
      </c>
      <c r="H228" s="1340" t="e">
        <f>SUM(#REF!)</f>
        <v>#REF!</v>
      </c>
      <c r="I228" s="1342">
        <f>SUM(I132:I227)</f>
        <v>38676462</v>
      </c>
      <c r="J228" s="1342">
        <f>SUM(J132:J227)</f>
        <v>3588481</v>
      </c>
      <c r="K228" s="1342">
        <f>SUM(K132:K227)</f>
        <v>0</v>
      </c>
      <c r="L228" s="1342">
        <f>SUM(L132:L227)</f>
        <v>0</v>
      </c>
      <c r="M228" s="1342">
        <f>SUM(M132:M227)</f>
        <v>0</v>
      </c>
    </row>
    <row r="229" spans="1:13">
      <c r="A229" s="1323"/>
      <c r="B229" s="1332"/>
      <c r="C229" s="1333"/>
      <c r="D229" s="1334"/>
      <c r="E229" s="1344"/>
      <c r="F229" s="1328">
        <f t="shared" ref="F229:F233" si="25">$D$1-D229</f>
        <v>44651</v>
      </c>
      <c r="G229" s="1326"/>
      <c r="H229" s="1329"/>
      <c r="I229" s="1330">
        <f t="shared" ref="I229:M233" si="26">IF(AND($F229&gt;=I$2,$F229&lt;=I$3),$E229,0)</f>
        <v>0</v>
      </c>
      <c r="J229" s="1330">
        <f t="shared" si="26"/>
        <v>0</v>
      </c>
      <c r="K229" s="1330">
        <f t="shared" si="26"/>
        <v>0</v>
      </c>
      <c r="L229" s="1330">
        <f t="shared" si="26"/>
        <v>0</v>
      </c>
      <c r="M229" s="1330">
        <f t="shared" si="26"/>
        <v>0</v>
      </c>
    </row>
    <row r="230" spans="1:13">
      <c r="A230" s="1323">
        <v>12</v>
      </c>
      <c r="B230" s="1332" t="s">
        <v>222</v>
      </c>
      <c r="C230" s="1333">
        <v>1942</v>
      </c>
      <c r="D230" s="1334">
        <v>44538</v>
      </c>
      <c r="E230" s="1354">
        <v>84153</v>
      </c>
      <c r="F230" s="1328">
        <f t="shared" si="25"/>
        <v>113</v>
      </c>
      <c r="G230" s="1326"/>
      <c r="H230" s="1329"/>
      <c r="I230" s="1330">
        <f t="shared" si="26"/>
        <v>0</v>
      </c>
      <c r="J230" s="1330">
        <f t="shared" si="26"/>
        <v>0</v>
      </c>
      <c r="K230" s="1330">
        <f t="shared" si="26"/>
        <v>0</v>
      </c>
      <c r="L230" s="1330">
        <f t="shared" si="26"/>
        <v>84153</v>
      </c>
      <c r="M230" s="1330">
        <f t="shared" si="26"/>
        <v>0</v>
      </c>
    </row>
    <row r="231" spans="1:13">
      <c r="A231" s="1323"/>
      <c r="B231" s="1348"/>
      <c r="C231" s="1333">
        <v>2281</v>
      </c>
      <c r="D231" s="1334">
        <v>44579</v>
      </c>
      <c r="E231" s="1344">
        <v>87172</v>
      </c>
      <c r="F231" s="1328">
        <f t="shared" si="25"/>
        <v>72</v>
      </c>
      <c r="G231" s="1326"/>
      <c r="H231" s="1329"/>
      <c r="I231" s="1330">
        <f t="shared" si="26"/>
        <v>0</v>
      </c>
      <c r="J231" s="1330">
        <f t="shared" si="26"/>
        <v>0</v>
      </c>
      <c r="K231" s="1330">
        <f t="shared" si="26"/>
        <v>87172</v>
      </c>
      <c r="L231" s="1330">
        <f t="shared" si="26"/>
        <v>0</v>
      </c>
      <c r="M231" s="1330">
        <f t="shared" si="26"/>
        <v>0</v>
      </c>
    </row>
    <row r="232" spans="1:13">
      <c r="A232" s="1323"/>
      <c r="B232" s="1348"/>
      <c r="C232" s="1333">
        <v>2437</v>
      </c>
      <c r="D232" s="1334">
        <v>44603</v>
      </c>
      <c r="E232" s="1344">
        <v>84171</v>
      </c>
      <c r="F232" s="1328">
        <f t="shared" si="25"/>
        <v>48</v>
      </c>
      <c r="G232" s="1326"/>
      <c r="H232" s="1329"/>
      <c r="I232" s="1330">
        <f t="shared" si="26"/>
        <v>0</v>
      </c>
      <c r="J232" s="1330">
        <f t="shared" si="26"/>
        <v>84171</v>
      </c>
      <c r="K232" s="1330">
        <f t="shared" si="26"/>
        <v>0</v>
      </c>
      <c r="L232" s="1330">
        <f t="shared" si="26"/>
        <v>0</v>
      </c>
      <c r="M232" s="1330">
        <f t="shared" si="26"/>
        <v>0</v>
      </c>
    </row>
    <row r="233" spans="1:13">
      <c r="A233" s="1323"/>
      <c r="B233" s="1348"/>
      <c r="C233" s="1351">
        <v>2783</v>
      </c>
      <c r="D233" s="1352">
        <v>44648</v>
      </c>
      <c r="E233" s="1344">
        <v>104247</v>
      </c>
      <c r="F233" s="1328">
        <f t="shared" si="25"/>
        <v>3</v>
      </c>
      <c r="G233" s="1326"/>
      <c r="H233" s="1329"/>
      <c r="I233" s="1330">
        <f t="shared" si="26"/>
        <v>104247</v>
      </c>
      <c r="J233" s="1330">
        <f t="shared" si="26"/>
        <v>0</v>
      </c>
      <c r="K233" s="1330">
        <f t="shared" si="26"/>
        <v>0</v>
      </c>
      <c r="L233" s="1330">
        <f t="shared" si="26"/>
        <v>0</v>
      </c>
      <c r="M233" s="1330">
        <f t="shared" si="26"/>
        <v>0</v>
      </c>
    </row>
    <row r="234" spans="1:13">
      <c r="A234" s="1323"/>
      <c r="B234" s="1348"/>
      <c r="C234" s="1325"/>
      <c r="D234" s="1353"/>
      <c r="E234" s="1347"/>
      <c r="F234" s="1328"/>
      <c r="G234" s="1326"/>
      <c r="H234" s="1329"/>
      <c r="I234" s="1330"/>
      <c r="J234" s="1330"/>
      <c r="K234" s="1330"/>
      <c r="L234" s="1330"/>
      <c r="M234" s="1330"/>
    </row>
    <row r="235" spans="1:13">
      <c r="A235" s="1338"/>
      <c r="B235" s="1350"/>
      <c r="C235" s="1340" t="s">
        <v>1724</v>
      </c>
      <c r="D235" s="1341"/>
      <c r="E235" s="1342">
        <f>SUM(E230:E234)</f>
        <v>359743</v>
      </c>
      <c r="F235" s="1349"/>
      <c r="G235" s="1341"/>
      <c r="H235" s="1341"/>
      <c r="I235" s="1342">
        <f t="shared" ref="I235:M235" si="27">SUM(I230:I234)</f>
        <v>104247</v>
      </c>
      <c r="J235" s="1342">
        <f t="shared" si="27"/>
        <v>84171</v>
      </c>
      <c r="K235" s="1342">
        <f t="shared" si="27"/>
        <v>87172</v>
      </c>
      <c r="L235" s="1342">
        <f t="shared" si="27"/>
        <v>84153</v>
      </c>
      <c r="M235" s="1342">
        <f t="shared" si="27"/>
        <v>0</v>
      </c>
    </row>
    <row r="236" spans="1:13">
      <c r="A236" s="1323"/>
      <c r="B236" s="1332"/>
      <c r="C236" s="1333"/>
      <c r="D236" s="1334"/>
      <c r="E236" s="1344"/>
      <c r="F236" s="1328">
        <f t="shared" ref="F236:F254" si="28">$D$1-D236</f>
        <v>44651</v>
      </c>
      <c r="G236" s="1326"/>
      <c r="H236" s="1329"/>
      <c r="I236" s="1330">
        <f t="shared" ref="I236:M251" si="29">IF(AND($F236&gt;=I$2,$F236&lt;=I$3),$E236,0)</f>
        <v>0</v>
      </c>
      <c r="J236" s="1330">
        <f t="shared" si="29"/>
        <v>0</v>
      </c>
      <c r="K236" s="1330">
        <f t="shared" si="29"/>
        <v>0</v>
      </c>
      <c r="L236" s="1330">
        <f t="shared" si="29"/>
        <v>0</v>
      </c>
      <c r="M236" s="1330">
        <f t="shared" si="29"/>
        <v>0</v>
      </c>
    </row>
    <row r="237" spans="1:13">
      <c r="A237" s="1323">
        <v>13</v>
      </c>
      <c r="B237" s="1332" t="s">
        <v>245</v>
      </c>
      <c r="C237" s="1333">
        <v>2509</v>
      </c>
      <c r="D237" s="1334">
        <v>44612</v>
      </c>
      <c r="E237" s="1344">
        <v>954039</v>
      </c>
      <c r="F237" s="1328">
        <f t="shared" si="28"/>
        <v>39</v>
      </c>
      <c r="G237" s="1326"/>
      <c r="H237" s="1329"/>
      <c r="I237" s="1330">
        <f t="shared" si="29"/>
        <v>954039</v>
      </c>
      <c r="J237" s="1330">
        <f t="shared" si="29"/>
        <v>0</v>
      </c>
      <c r="K237" s="1330">
        <f t="shared" si="29"/>
        <v>0</v>
      </c>
      <c r="L237" s="1330">
        <f t="shared" si="29"/>
        <v>0</v>
      </c>
      <c r="M237" s="1330">
        <f t="shared" si="29"/>
        <v>0</v>
      </c>
    </row>
    <row r="238" spans="1:13">
      <c r="A238" s="1323"/>
      <c r="B238" s="1348"/>
      <c r="C238" s="1333">
        <v>2514</v>
      </c>
      <c r="D238" s="1334">
        <v>44613</v>
      </c>
      <c r="E238" s="1344">
        <v>935768</v>
      </c>
      <c r="F238" s="1328">
        <f t="shared" si="28"/>
        <v>38</v>
      </c>
      <c r="G238" s="1326"/>
      <c r="H238" s="1329"/>
      <c r="I238" s="1330">
        <f t="shared" si="29"/>
        <v>935768</v>
      </c>
      <c r="J238" s="1330">
        <f t="shared" si="29"/>
        <v>0</v>
      </c>
      <c r="K238" s="1330">
        <f t="shared" si="29"/>
        <v>0</v>
      </c>
      <c r="L238" s="1330">
        <f t="shared" si="29"/>
        <v>0</v>
      </c>
      <c r="M238" s="1330">
        <f t="shared" si="29"/>
        <v>0</v>
      </c>
    </row>
    <row r="239" spans="1:13">
      <c r="A239" s="1323"/>
      <c r="B239" s="1348"/>
      <c r="C239" s="1333">
        <v>2541</v>
      </c>
      <c r="D239" s="1334">
        <v>44615</v>
      </c>
      <c r="E239" s="1344">
        <v>964682</v>
      </c>
      <c r="F239" s="1328">
        <f t="shared" si="28"/>
        <v>36</v>
      </c>
      <c r="G239" s="1326"/>
      <c r="H239" s="1329"/>
      <c r="I239" s="1330">
        <f t="shared" si="29"/>
        <v>964682</v>
      </c>
      <c r="J239" s="1330">
        <f t="shared" si="29"/>
        <v>0</v>
      </c>
      <c r="K239" s="1330">
        <f t="shared" si="29"/>
        <v>0</v>
      </c>
      <c r="L239" s="1330">
        <f t="shared" si="29"/>
        <v>0</v>
      </c>
      <c r="M239" s="1330">
        <f t="shared" si="29"/>
        <v>0</v>
      </c>
    </row>
    <row r="240" spans="1:13">
      <c r="A240" s="1323"/>
      <c r="B240" s="1348"/>
      <c r="C240" s="1333">
        <v>2542</v>
      </c>
      <c r="D240" s="1334">
        <v>44616</v>
      </c>
      <c r="E240" s="1344">
        <v>959741</v>
      </c>
      <c r="F240" s="1328">
        <f t="shared" si="28"/>
        <v>35</v>
      </c>
      <c r="G240" s="1326"/>
      <c r="H240" s="1329"/>
      <c r="I240" s="1330">
        <f t="shared" si="29"/>
        <v>959741</v>
      </c>
      <c r="J240" s="1330">
        <f t="shared" si="29"/>
        <v>0</v>
      </c>
      <c r="K240" s="1330">
        <f t="shared" si="29"/>
        <v>0</v>
      </c>
      <c r="L240" s="1330">
        <f t="shared" si="29"/>
        <v>0</v>
      </c>
      <c r="M240" s="1330">
        <f t="shared" si="29"/>
        <v>0</v>
      </c>
    </row>
    <row r="241" spans="1:13">
      <c r="A241" s="1323"/>
      <c r="B241" s="1348"/>
      <c r="C241" s="1333">
        <v>2546</v>
      </c>
      <c r="D241" s="1334">
        <v>44617</v>
      </c>
      <c r="E241" s="1344">
        <v>922219</v>
      </c>
      <c r="F241" s="1328">
        <f t="shared" si="28"/>
        <v>34</v>
      </c>
      <c r="G241" s="1326"/>
      <c r="H241" s="1329"/>
      <c r="I241" s="1330">
        <f t="shared" si="29"/>
        <v>922219</v>
      </c>
      <c r="J241" s="1330">
        <f t="shared" si="29"/>
        <v>0</v>
      </c>
      <c r="K241" s="1330">
        <f t="shared" si="29"/>
        <v>0</v>
      </c>
      <c r="L241" s="1330">
        <f t="shared" si="29"/>
        <v>0</v>
      </c>
      <c r="M241" s="1330">
        <f t="shared" si="29"/>
        <v>0</v>
      </c>
    </row>
    <row r="242" spans="1:13">
      <c r="A242" s="1323"/>
      <c r="B242" s="1348"/>
      <c r="C242" s="1333">
        <v>2555</v>
      </c>
      <c r="D242" s="1334">
        <v>44618</v>
      </c>
      <c r="E242" s="1344">
        <v>909863</v>
      </c>
      <c r="F242" s="1328">
        <f t="shared" si="28"/>
        <v>33</v>
      </c>
      <c r="G242" s="1326"/>
      <c r="H242" s="1329"/>
      <c r="I242" s="1330">
        <f t="shared" si="29"/>
        <v>909863</v>
      </c>
      <c r="J242" s="1330">
        <f t="shared" si="29"/>
        <v>0</v>
      </c>
      <c r="K242" s="1330">
        <f t="shared" si="29"/>
        <v>0</v>
      </c>
      <c r="L242" s="1330">
        <f t="shared" si="29"/>
        <v>0</v>
      </c>
      <c r="M242" s="1330">
        <f t="shared" si="29"/>
        <v>0</v>
      </c>
    </row>
    <row r="243" spans="1:13">
      <c r="A243" s="1323"/>
      <c r="B243" s="1348"/>
      <c r="C243" s="1333">
        <v>2557</v>
      </c>
      <c r="D243" s="1334">
        <v>44618</v>
      </c>
      <c r="E243" s="1344">
        <v>657608</v>
      </c>
      <c r="F243" s="1328">
        <f t="shared" si="28"/>
        <v>33</v>
      </c>
      <c r="G243" s="1326"/>
      <c r="H243" s="1329"/>
      <c r="I243" s="1330">
        <f t="shared" si="29"/>
        <v>657608</v>
      </c>
      <c r="J243" s="1330">
        <f t="shared" si="29"/>
        <v>0</v>
      </c>
      <c r="K243" s="1330">
        <f t="shared" si="29"/>
        <v>0</v>
      </c>
      <c r="L243" s="1330">
        <f t="shared" si="29"/>
        <v>0</v>
      </c>
      <c r="M243" s="1330">
        <f t="shared" si="29"/>
        <v>0</v>
      </c>
    </row>
    <row r="244" spans="1:13">
      <c r="A244" s="1323"/>
      <c r="B244" s="1348"/>
      <c r="C244" s="1333">
        <v>2601</v>
      </c>
      <c r="D244" s="1334">
        <v>44624</v>
      </c>
      <c r="E244" s="1344">
        <v>705384</v>
      </c>
      <c r="F244" s="1328">
        <f t="shared" si="28"/>
        <v>27</v>
      </c>
      <c r="G244" s="1326"/>
      <c r="H244" s="1329"/>
      <c r="I244" s="1330">
        <f t="shared" si="29"/>
        <v>705384</v>
      </c>
      <c r="J244" s="1330">
        <f t="shared" si="29"/>
        <v>0</v>
      </c>
      <c r="K244" s="1330">
        <f t="shared" si="29"/>
        <v>0</v>
      </c>
      <c r="L244" s="1330">
        <f t="shared" si="29"/>
        <v>0</v>
      </c>
      <c r="M244" s="1330">
        <f t="shared" si="29"/>
        <v>0</v>
      </c>
    </row>
    <row r="245" spans="1:13">
      <c r="A245" s="1323"/>
      <c r="B245" s="1348"/>
      <c r="C245" s="1333">
        <v>2604</v>
      </c>
      <c r="D245" s="1334">
        <v>44625</v>
      </c>
      <c r="E245" s="1344">
        <v>607728</v>
      </c>
      <c r="F245" s="1328">
        <f t="shared" si="28"/>
        <v>26</v>
      </c>
      <c r="G245" s="1326"/>
      <c r="H245" s="1329"/>
      <c r="I245" s="1330">
        <f t="shared" si="29"/>
        <v>607728</v>
      </c>
      <c r="J245" s="1330">
        <f t="shared" si="29"/>
        <v>0</v>
      </c>
      <c r="K245" s="1330">
        <f t="shared" si="29"/>
        <v>0</v>
      </c>
      <c r="L245" s="1330">
        <f t="shared" si="29"/>
        <v>0</v>
      </c>
      <c r="M245" s="1330">
        <f t="shared" si="29"/>
        <v>0</v>
      </c>
    </row>
    <row r="246" spans="1:13">
      <c r="A246" s="1323"/>
      <c r="B246" s="1348"/>
      <c r="C246" s="1333">
        <v>2612</v>
      </c>
      <c r="D246" s="1334">
        <v>44625</v>
      </c>
      <c r="E246" s="1344">
        <v>978327</v>
      </c>
      <c r="F246" s="1328">
        <f t="shared" si="28"/>
        <v>26</v>
      </c>
      <c r="G246" s="1326"/>
      <c r="H246" s="1329"/>
      <c r="I246" s="1330">
        <f t="shared" si="29"/>
        <v>978327</v>
      </c>
      <c r="J246" s="1330">
        <f t="shared" si="29"/>
        <v>0</v>
      </c>
      <c r="K246" s="1330">
        <f t="shared" si="29"/>
        <v>0</v>
      </c>
      <c r="L246" s="1330">
        <f t="shared" si="29"/>
        <v>0</v>
      </c>
      <c r="M246" s="1330">
        <f t="shared" si="29"/>
        <v>0</v>
      </c>
    </row>
    <row r="247" spans="1:13">
      <c r="A247" s="1323"/>
      <c r="B247" s="1348"/>
      <c r="C247" s="1333">
        <v>2661</v>
      </c>
      <c r="D247" s="1334">
        <v>44631</v>
      </c>
      <c r="E247" s="1344">
        <v>989009</v>
      </c>
      <c r="F247" s="1328">
        <f t="shared" si="28"/>
        <v>20</v>
      </c>
      <c r="G247" s="1326"/>
      <c r="H247" s="1329"/>
      <c r="I247" s="1330">
        <f t="shared" si="29"/>
        <v>989009</v>
      </c>
      <c r="J247" s="1330">
        <f t="shared" si="29"/>
        <v>0</v>
      </c>
      <c r="K247" s="1330">
        <f t="shared" si="29"/>
        <v>0</v>
      </c>
      <c r="L247" s="1330">
        <f t="shared" si="29"/>
        <v>0</v>
      </c>
      <c r="M247" s="1330">
        <f t="shared" si="29"/>
        <v>0</v>
      </c>
    </row>
    <row r="248" spans="1:13">
      <c r="A248" s="1323"/>
      <c r="B248" s="1348"/>
      <c r="C248" s="1333">
        <v>2704</v>
      </c>
      <c r="D248" s="1334">
        <v>44636</v>
      </c>
      <c r="E248" s="1344">
        <v>904474</v>
      </c>
      <c r="F248" s="1328">
        <f t="shared" si="28"/>
        <v>15</v>
      </c>
      <c r="G248" s="1326"/>
      <c r="H248" s="1329"/>
      <c r="I248" s="1330">
        <f t="shared" si="29"/>
        <v>904474</v>
      </c>
      <c r="J248" s="1330">
        <f t="shared" si="29"/>
        <v>0</v>
      </c>
      <c r="K248" s="1330">
        <f t="shared" si="29"/>
        <v>0</v>
      </c>
      <c r="L248" s="1330">
        <f t="shared" si="29"/>
        <v>0</v>
      </c>
      <c r="M248" s="1330">
        <f t="shared" si="29"/>
        <v>0</v>
      </c>
    </row>
    <row r="249" spans="1:13">
      <c r="A249" s="1323"/>
      <c r="B249" s="1348"/>
      <c r="C249" s="1333">
        <v>2712</v>
      </c>
      <c r="D249" s="1334">
        <v>44637</v>
      </c>
      <c r="E249" s="1344">
        <v>1279420</v>
      </c>
      <c r="F249" s="1328">
        <f t="shared" si="28"/>
        <v>14</v>
      </c>
      <c r="G249" s="1326"/>
      <c r="H249" s="1329"/>
      <c r="I249" s="1330">
        <f t="shared" si="29"/>
        <v>1279420</v>
      </c>
      <c r="J249" s="1330">
        <f t="shared" si="29"/>
        <v>0</v>
      </c>
      <c r="K249" s="1330">
        <f t="shared" si="29"/>
        <v>0</v>
      </c>
      <c r="L249" s="1330">
        <f t="shared" si="29"/>
        <v>0</v>
      </c>
      <c r="M249" s="1330">
        <f t="shared" si="29"/>
        <v>0</v>
      </c>
    </row>
    <row r="250" spans="1:13">
      <c r="A250" s="1323"/>
      <c r="B250" s="1348"/>
      <c r="C250" s="1333">
        <v>2719</v>
      </c>
      <c r="D250" s="1334">
        <v>44640</v>
      </c>
      <c r="E250" s="1344">
        <v>1197164</v>
      </c>
      <c r="F250" s="1328">
        <f t="shared" si="28"/>
        <v>11</v>
      </c>
      <c r="G250" s="1326"/>
      <c r="H250" s="1329"/>
      <c r="I250" s="1330">
        <f t="shared" si="29"/>
        <v>1197164</v>
      </c>
      <c r="J250" s="1330">
        <f t="shared" si="29"/>
        <v>0</v>
      </c>
      <c r="K250" s="1330">
        <f t="shared" si="29"/>
        <v>0</v>
      </c>
      <c r="L250" s="1330">
        <f t="shared" si="29"/>
        <v>0</v>
      </c>
      <c r="M250" s="1330">
        <f t="shared" si="29"/>
        <v>0</v>
      </c>
    </row>
    <row r="251" spans="1:13">
      <c r="A251" s="1323"/>
      <c r="B251" s="1348"/>
      <c r="C251" s="1333">
        <v>363</v>
      </c>
      <c r="D251" s="1355">
        <v>44344</v>
      </c>
      <c r="E251" s="1356">
        <v>2834</v>
      </c>
      <c r="F251" s="1328">
        <f t="shared" si="28"/>
        <v>307</v>
      </c>
      <c r="G251" s="1326"/>
      <c r="H251" s="1329"/>
      <c r="I251" s="1330">
        <f t="shared" si="29"/>
        <v>0</v>
      </c>
      <c r="J251" s="1330">
        <f t="shared" si="29"/>
        <v>0</v>
      </c>
      <c r="K251" s="1330">
        <f t="shared" si="29"/>
        <v>0</v>
      </c>
      <c r="L251" s="1330">
        <f t="shared" si="29"/>
        <v>0</v>
      </c>
      <c r="M251" s="1330">
        <f t="shared" si="29"/>
        <v>0</v>
      </c>
    </row>
    <row r="252" spans="1:13">
      <c r="A252" s="1323"/>
      <c r="B252" s="1348"/>
      <c r="C252" s="1333" t="s">
        <v>2521</v>
      </c>
      <c r="D252" s="1355">
        <v>44441</v>
      </c>
      <c r="E252" s="1356">
        <v>6672</v>
      </c>
      <c r="F252" s="1328">
        <f t="shared" si="28"/>
        <v>210</v>
      </c>
      <c r="G252" s="1326"/>
      <c r="H252" s="1329"/>
      <c r="I252" s="1330">
        <f t="shared" ref="I252:M254" si="30">IF(AND($F252&gt;=I$2,$F252&lt;=I$3),$E252,0)</f>
        <v>0</v>
      </c>
      <c r="J252" s="1330">
        <f t="shared" si="30"/>
        <v>0</v>
      </c>
      <c r="K252" s="1330">
        <f t="shared" si="30"/>
        <v>0</v>
      </c>
      <c r="L252" s="1330">
        <f t="shared" si="30"/>
        <v>0</v>
      </c>
      <c r="M252" s="1330">
        <f t="shared" si="30"/>
        <v>0</v>
      </c>
    </row>
    <row r="253" spans="1:13">
      <c r="A253" s="1323"/>
      <c r="B253" s="1348"/>
      <c r="C253" s="1333">
        <v>2162</v>
      </c>
      <c r="D253" s="1355">
        <v>44565</v>
      </c>
      <c r="E253" s="1356">
        <v>6132</v>
      </c>
      <c r="F253" s="1328">
        <f t="shared" si="28"/>
        <v>86</v>
      </c>
      <c r="G253" s="1326"/>
      <c r="H253" s="1329"/>
      <c r="I253" s="1330">
        <f t="shared" si="30"/>
        <v>0</v>
      </c>
      <c r="J253" s="1330">
        <f t="shared" si="30"/>
        <v>0</v>
      </c>
      <c r="K253" s="1330">
        <f t="shared" si="30"/>
        <v>6132</v>
      </c>
      <c r="L253" s="1330">
        <f t="shared" si="30"/>
        <v>0</v>
      </c>
      <c r="M253" s="1330">
        <f t="shared" si="30"/>
        <v>0</v>
      </c>
    </row>
    <row r="254" spans="1:13">
      <c r="A254" s="1323"/>
      <c r="B254" s="1348"/>
      <c r="C254" s="1333">
        <v>2258</v>
      </c>
      <c r="D254" s="1334">
        <v>44576</v>
      </c>
      <c r="E254" s="1356">
        <v>2688</v>
      </c>
      <c r="F254" s="1328">
        <f t="shared" si="28"/>
        <v>75</v>
      </c>
      <c r="G254" s="1326"/>
      <c r="H254" s="1329"/>
      <c r="I254" s="1330">
        <f t="shared" si="30"/>
        <v>0</v>
      </c>
      <c r="J254" s="1330">
        <f t="shared" si="30"/>
        <v>0</v>
      </c>
      <c r="K254" s="1330">
        <f t="shared" si="30"/>
        <v>2688</v>
      </c>
      <c r="L254" s="1330">
        <f t="shared" si="30"/>
        <v>0</v>
      </c>
      <c r="M254" s="1330">
        <f t="shared" si="30"/>
        <v>0</v>
      </c>
    </row>
    <row r="255" spans="1:13">
      <c r="A255" s="1323"/>
      <c r="B255" s="1348"/>
      <c r="C255" s="1325"/>
      <c r="D255" s="1353"/>
      <c r="E255" s="1347"/>
      <c r="F255" s="1328"/>
      <c r="G255" s="1326"/>
      <c r="H255" s="1329"/>
      <c r="I255" s="1330">
        <v>9506</v>
      </c>
      <c r="J255" s="1330"/>
      <c r="K255" s="1330"/>
      <c r="L255" s="1330"/>
      <c r="M255" s="1330"/>
    </row>
    <row r="256" spans="1:13">
      <c r="A256" s="1338"/>
      <c r="B256" s="1350"/>
      <c r="C256" s="1340" t="s">
        <v>1724</v>
      </c>
      <c r="D256" s="1341"/>
      <c r="E256" s="1342">
        <f>SUM(E237:E255)</f>
        <v>12983752</v>
      </c>
      <c r="F256" s="1349"/>
      <c r="G256" s="1341"/>
      <c r="H256" s="1341"/>
      <c r="I256" s="1342">
        <f>SUM(I237:I255)</f>
        <v>12974932</v>
      </c>
      <c r="J256" s="1342">
        <f>SUM(J237:J255)</f>
        <v>0</v>
      </c>
      <c r="K256" s="1342">
        <f>SUM(K237:K255)</f>
        <v>8820</v>
      </c>
      <c r="L256" s="1342">
        <f>SUM(L237:L255)</f>
        <v>0</v>
      </c>
      <c r="M256" s="1342">
        <f>SUM(M237:M255)</f>
        <v>0</v>
      </c>
    </row>
    <row r="257" spans="1:13">
      <c r="A257" s="1323"/>
      <c r="B257" s="1332"/>
      <c r="C257" s="1333"/>
      <c r="D257" s="1334"/>
      <c r="E257" s="1344"/>
      <c r="F257" s="1328"/>
      <c r="G257" s="1326"/>
      <c r="H257" s="1329"/>
      <c r="I257" s="1330">
        <f t="shared" ref="I257:M261" si="31">IF(AND($F257&gt;=I$2,$F257&lt;=I$3),$E257,0)</f>
        <v>0</v>
      </c>
      <c r="J257" s="1330">
        <f t="shared" si="31"/>
        <v>0</v>
      </c>
      <c r="K257" s="1330">
        <f t="shared" si="31"/>
        <v>0</v>
      </c>
      <c r="L257" s="1330">
        <f t="shared" si="31"/>
        <v>0</v>
      </c>
      <c r="M257" s="1330">
        <f t="shared" si="31"/>
        <v>0</v>
      </c>
    </row>
    <row r="258" spans="1:13">
      <c r="A258" s="1323">
        <v>14</v>
      </c>
      <c r="B258" s="1357" t="s">
        <v>281</v>
      </c>
      <c r="C258" s="1351">
        <v>2800</v>
      </c>
      <c r="D258" s="1352">
        <v>44650</v>
      </c>
      <c r="E258" s="1344">
        <v>403680</v>
      </c>
      <c r="F258" s="1328">
        <f t="shared" ref="F258:F261" si="32">$D$1-D258</f>
        <v>1</v>
      </c>
      <c r="G258" s="1326"/>
      <c r="H258" s="1329"/>
      <c r="I258" s="1330">
        <f t="shared" si="31"/>
        <v>403680</v>
      </c>
      <c r="J258" s="1330">
        <f t="shared" si="31"/>
        <v>0</v>
      </c>
      <c r="K258" s="1330">
        <f t="shared" si="31"/>
        <v>0</v>
      </c>
      <c r="L258" s="1330">
        <f t="shared" si="31"/>
        <v>0</v>
      </c>
      <c r="M258" s="1330">
        <f t="shared" si="31"/>
        <v>0</v>
      </c>
    </row>
    <row r="259" spans="1:13">
      <c r="A259" s="1323"/>
      <c r="B259" s="1348"/>
      <c r="C259" s="1351">
        <v>2810</v>
      </c>
      <c r="D259" s="1352">
        <v>44651</v>
      </c>
      <c r="E259" s="1344">
        <v>787101</v>
      </c>
      <c r="F259" s="1328">
        <f t="shared" si="32"/>
        <v>0</v>
      </c>
      <c r="G259" s="1326"/>
      <c r="H259" s="1329"/>
      <c r="I259" s="1330">
        <f t="shared" si="31"/>
        <v>787101</v>
      </c>
      <c r="J259" s="1330">
        <f t="shared" si="31"/>
        <v>0</v>
      </c>
      <c r="K259" s="1330">
        <f t="shared" si="31"/>
        <v>0</v>
      </c>
      <c r="L259" s="1330">
        <f t="shared" si="31"/>
        <v>0</v>
      </c>
      <c r="M259" s="1330">
        <f t="shared" si="31"/>
        <v>0</v>
      </c>
    </row>
    <row r="260" spans="1:13">
      <c r="A260" s="1323"/>
      <c r="B260" s="1348"/>
      <c r="C260" s="1351">
        <v>11</v>
      </c>
      <c r="D260" s="1352">
        <v>44135</v>
      </c>
      <c r="E260" s="1344">
        <v>4025</v>
      </c>
      <c r="F260" s="1328">
        <f t="shared" si="32"/>
        <v>516</v>
      </c>
      <c r="G260" s="1326"/>
      <c r="H260" s="1329"/>
      <c r="I260" s="1330">
        <f t="shared" si="31"/>
        <v>0</v>
      </c>
      <c r="J260" s="1330">
        <f t="shared" si="31"/>
        <v>0</v>
      </c>
      <c r="K260" s="1330">
        <f t="shared" si="31"/>
        <v>0</v>
      </c>
      <c r="L260" s="1330">
        <f t="shared" si="31"/>
        <v>0</v>
      </c>
      <c r="M260" s="1330">
        <f t="shared" si="31"/>
        <v>0</v>
      </c>
    </row>
    <row r="261" spans="1:13">
      <c r="A261" s="1323"/>
      <c r="B261" s="1348"/>
      <c r="C261" s="1351">
        <v>1940</v>
      </c>
      <c r="D261" s="1352">
        <v>44537</v>
      </c>
      <c r="E261" s="1344">
        <v>2213</v>
      </c>
      <c r="F261" s="1328">
        <f t="shared" si="32"/>
        <v>114</v>
      </c>
      <c r="G261" s="1326"/>
      <c r="H261" s="1329"/>
      <c r="I261" s="1330">
        <f t="shared" si="31"/>
        <v>0</v>
      </c>
      <c r="J261" s="1330">
        <f t="shared" si="31"/>
        <v>0</v>
      </c>
      <c r="K261" s="1330">
        <f t="shared" si="31"/>
        <v>0</v>
      </c>
      <c r="L261" s="1330">
        <f t="shared" si="31"/>
        <v>2213</v>
      </c>
      <c r="M261" s="1330">
        <f t="shared" si="31"/>
        <v>0</v>
      </c>
    </row>
    <row r="262" spans="1:13">
      <c r="A262" s="1323"/>
      <c r="B262" s="1348"/>
      <c r="C262" s="1325"/>
      <c r="D262" s="1353"/>
      <c r="E262" s="1347">
        <v>1</v>
      </c>
      <c r="F262" s="1328"/>
      <c r="G262" s="1326"/>
      <c r="H262" s="1329"/>
      <c r="I262" s="1330">
        <v>4026</v>
      </c>
      <c r="J262" s="1330"/>
      <c r="K262" s="1330"/>
      <c r="L262" s="1330"/>
      <c r="M262" s="1330"/>
    </row>
    <row r="263" spans="1:13">
      <c r="A263" s="1338"/>
      <c r="B263" s="1350"/>
      <c r="C263" s="1340" t="s">
        <v>1724</v>
      </c>
      <c r="D263" s="1341"/>
      <c r="E263" s="1342">
        <f>SUM(E258:E262)</f>
        <v>1197020</v>
      </c>
      <c r="F263" s="1349"/>
      <c r="G263" s="1341"/>
      <c r="H263" s="1341"/>
      <c r="I263" s="1342">
        <f>SUM(I258:I262)</f>
        <v>1194807</v>
      </c>
      <c r="J263" s="1342">
        <f>SUM(J258:J262)</f>
        <v>0</v>
      </c>
      <c r="K263" s="1342">
        <f>SUM(K258:K262)</f>
        <v>0</v>
      </c>
      <c r="L263" s="1342">
        <f>SUM(L258:L262)</f>
        <v>2213</v>
      </c>
      <c r="M263" s="1342">
        <f>SUM(M258:M262)</f>
        <v>0</v>
      </c>
    </row>
    <row r="264" spans="1:13">
      <c r="A264" s="1323"/>
      <c r="B264" s="1332"/>
      <c r="C264" s="1333"/>
      <c r="D264" s="1334"/>
      <c r="E264" s="1344"/>
      <c r="F264" s="1328"/>
      <c r="G264" s="1326"/>
      <c r="H264" s="1329"/>
      <c r="I264" s="1330">
        <f t="shared" ref="I264:M279" si="33">IF(AND($F264&gt;=I$2,$F264&lt;=I$3),$E264,0)</f>
        <v>0</v>
      </c>
      <c r="J264" s="1330">
        <f t="shared" si="33"/>
        <v>0</v>
      </c>
      <c r="K264" s="1330">
        <f t="shared" si="33"/>
        <v>0</v>
      </c>
      <c r="L264" s="1330">
        <f t="shared" si="33"/>
        <v>0</v>
      </c>
      <c r="M264" s="1330">
        <f t="shared" si="33"/>
        <v>0</v>
      </c>
    </row>
    <row r="265" spans="1:13">
      <c r="A265" s="1323">
        <v>15</v>
      </c>
      <c r="B265" s="1332" t="s">
        <v>295</v>
      </c>
      <c r="C265" s="1333">
        <v>2421</v>
      </c>
      <c r="D265" s="1334">
        <v>44601</v>
      </c>
      <c r="E265" s="1344">
        <v>677150</v>
      </c>
      <c r="F265" s="1328">
        <f t="shared" ref="F265:F297" si="34">$D$1-D265</f>
        <v>50</v>
      </c>
      <c r="G265" s="1326"/>
      <c r="H265" s="1329"/>
      <c r="I265" s="1330">
        <f t="shared" si="33"/>
        <v>0</v>
      </c>
      <c r="J265" s="1330">
        <f t="shared" si="33"/>
        <v>677150</v>
      </c>
      <c r="K265" s="1330">
        <f t="shared" si="33"/>
        <v>0</v>
      </c>
      <c r="L265" s="1330">
        <f t="shared" si="33"/>
        <v>0</v>
      </c>
      <c r="M265" s="1330">
        <f t="shared" si="33"/>
        <v>0</v>
      </c>
    </row>
    <row r="266" spans="1:13">
      <c r="A266" s="1323"/>
      <c r="B266" s="1336"/>
      <c r="C266" s="1333">
        <v>2435</v>
      </c>
      <c r="D266" s="1334">
        <v>44603</v>
      </c>
      <c r="E266" s="1344">
        <v>268016</v>
      </c>
      <c r="F266" s="1328">
        <f t="shared" si="34"/>
        <v>48</v>
      </c>
      <c r="G266" s="1326"/>
      <c r="H266" s="1329"/>
      <c r="I266" s="1330">
        <f t="shared" si="33"/>
        <v>0</v>
      </c>
      <c r="J266" s="1330">
        <f t="shared" si="33"/>
        <v>268016</v>
      </c>
      <c r="K266" s="1330">
        <f t="shared" si="33"/>
        <v>0</v>
      </c>
      <c r="L266" s="1330">
        <f t="shared" si="33"/>
        <v>0</v>
      </c>
      <c r="M266" s="1330">
        <f t="shared" si="33"/>
        <v>0</v>
      </c>
    </row>
    <row r="267" spans="1:13">
      <c r="A267" s="1323"/>
      <c r="B267" s="1348"/>
      <c r="C267" s="1333">
        <v>2450</v>
      </c>
      <c r="D267" s="1334">
        <v>44604</v>
      </c>
      <c r="E267" s="1344">
        <v>482228</v>
      </c>
      <c r="F267" s="1328">
        <f t="shared" si="34"/>
        <v>47</v>
      </c>
      <c r="G267" s="1326"/>
      <c r="H267" s="1329"/>
      <c r="I267" s="1330">
        <f t="shared" si="33"/>
        <v>0</v>
      </c>
      <c r="J267" s="1330">
        <f t="shared" si="33"/>
        <v>482228</v>
      </c>
      <c r="K267" s="1330">
        <f t="shared" si="33"/>
        <v>0</v>
      </c>
      <c r="L267" s="1330">
        <f t="shared" si="33"/>
        <v>0</v>
      </c>
      <c r="M267" s="1330">
        <f t="shared" si="33"/>
        <v>0</v>
      </c>
    </row>
    <row r="268" spans="1:13">
      <c r="A268" s="1323"/>
      <c r="B268" s="1348"/>
      <c r="C268" s="1333">
        <v>2452</v>
      </c>
      <c r="D268" s="1334">
        <v>44604</v>
      </c>
      <c r="E268" s="1344">
        <v>307501</v>
      </c>
      <c r="F268" s="1328">
        <f t="shared" si="34"/>
        <v>47</v>
      </c>
      <c r="G268" s="1326"/>
      <c r="H268" s="1329"/>
      <c r="I268" s="1330">
        <f t="shared" si="33"/>
        <v>0</v>
      </c>
      <c r="J268" s="1330">
        <f t="shared" si="33"/>
        <v>307501</v>
      </c>
      <c r="K268" s="1330">
        <f t="shared" si="33"/>
        <v>0</v>
      </c>
      <c r="L268" s="1330">
        <f t="shared" si="33"/>
        <v>0</v>
      </c>
      <c r="M268" s="1330">
        <f t="shared" si="33"/>
        <v>0</v>
      </c>
    </row>
    <row r="269" spans="1:13">
      <c r="A269" s="1323"/>
      <c r="B269" s="1348"/>
      <c r="C269" s="1333">
        <v>2473</v>
      </c>
      <c r="D269" s="1334">
        <v>44607</v>
      </c>
      <c r="E269" s="1344">
        <v>637790</v>
      </c>
      <c r="F269" s="1328">
        <f t="shared" si="34"/>
        <v>44</v>
      </c>
      <c r="G269" s="1326"/>
      <c r="H269" s="1329"/>
      <c r="I269" s="1330">
        <f t="shared" si="33"/>
        <v>637790</v>
      </c>
      <c r="J269" s="1330">
        <f t="shared" si="33"/>
        <v>0</v>
      </c>
      <c r="K269" s="1330">
        <f t="shared" si="33"/>
        <v>0</v>
      </c>
      <c r="L269" s="1330">
        <f t="shared" si="33"/>
        <v>0</v>
      </c>
      <c r="M269" s="1330">
        <f t="shared" si="33"/>
        <v>0</v>
      </c>
    </row>
    <row r="270" spans="1:13">
      <c r="A270" s="1323"/>
      <c r="B270" s="1348"/>
      <c r="C270" s="1333">
        <v>2480</v>
      </c>
      <c r="D270" s="1334">
        <v>44607</v>
      </c>
      <c r="E270" s="1344">
        <v>285716</v>
      </c>
      <c r="F270" s="1328">
        <f t="shared" si="34"/>
        <v>44</v>
      </c>
      <c r="G270" s="1326"/>
      <c r="H270" s="1329"/>
      <c r="I270" s="1330">
        <f t="shared" si="33"/>
        <v>285716</v>
      </c>
      <c r="J270" s="1330"/>
      <c r="K270" s="1330"/>
      <c r="L270" s="1330"/>
      <c r="M270" s="1330"/>
    </row>
    <row r="271" spans="1:13">
      <c r="A271" s="1323"/>
      <c r="B271" s="1348"/>
      <c r="C271" s="1333">
        <v>2497</v>
      </c>
      <c r="D271" s="1334">
        <v>44610</v>
      </c>
      <c r="E271" s="1344">
        <v>263065</v>
      </c>
      <c r="F271" s="1328">
        <f t="shared" si="34"/>
        <v>41</v>
      </c>
      <c r="G271" s="1326"/>
      <c r="H271" s="1329"/>
      <c r="I271" s="1330">
        <f t="shared" si="33"/>
        <v>263065</v>
      </c>
      <c r="J271" s="1330"/>
      <c r="K271" s="1330"/>
      <c r="L271" s="1330"/>
      <c r="M271" s="1330"/>
    </row>
    <row r="272" spans="1:13">
      <c r="A272" s="1323"/>
      <c r="B272" s="1348"/>
      <c r="C272" s="1333">
        <v>2513</v>
      </c>
      <c r="D272" s="1334">
        <v>44613</v>
      </c>
      <c r="E272" s="1344">
        <v>262345</v>
      </c>
      <c r="F272" s="1328">
        <f t="shared" si="34"/>
        <v>38</v>
      </c>
      <c r="G272" s="1326"/>
      <c r="H272" s="1329"/>
      <c r="I272" s="1330">
        <f t="shared" si="33"/>
        <v>262345</v>
      </c>
      <c r="J272" s="1330"/>
      <c r="K272" s="1330"/>
      <c r="L272" s="1330"/>
      <c r="M272" s="1330"/>
    </row>
    <row r="273" spans="1:13">
      <c r="A273" s="1323"/>
      <c r="B273" s="1348"/>
      <c r="C273" s="1333">
        <v>2516</v>
      </c>
      <c r="D273" s="1334">
        <v>44613</v>
      </c>
      <c r="E273" s="1344">
        <v>674437</v>
      </c>
      <c r="F273" s="1328">
        <f t="shared" si="34"/>
        <v>38</v>
      </c>
      <c r="G273" s="1326"/>
      <c r="H273" s="1329"/>
      <c r="I273" s="1330">
        <f t="shared" si="33"/>
        <v>674437</v>
      </c>
      <c r="J273" s="1330"/>
      <c r="K273" s="1330"/>
      <c r="L273" s="1330"/>
      <c r="M273" s="1330"/>
    </row>
    <row r="274" spans="1:13">
      <c r="A274" s="1323"/>
      <c r="B274" s="1348"/>
      <c r="C274" s="1333">
        <v>2520</v>
      </c>
      <c r="D274" s="1334">
        <v>44613</v>
      </c>
      <c r="E274" s="1344">
        <v>265415</v>
      </c>
      <c r="F274" s="1328">
        <f t="shared" si="34"/>
        <v>38</v>
      </c>
      <c r="G274" s="1326"/>
      <c r="H274" s="1329"/>
      <c r="I274" s="1330">
        <f t="shared" si="33"/>
        <v>265415</v>
      </c>
      <c r="J274" s="1330"/>
      <c r="K274" s="1330"/>
      <c r="L274" s="1330"/>
      <c r="M274" s="1330"/>
    </row>
    <row r="275" spans="1:13">
      <c r="A275" s="1323"/>
      <c r="B275" s="1348"/>
      <c r="C275" s="1333">
        <v>2521</v>
      </c>
      <c r="D275" s="1334">
        <v>44613</v>
      </c>
      <c r="E275" s="1344">
        <v>639738</v>
      </c>
      <c r="F275" s="1328">
        <f t="shared" si="34"/>
        <v>38</v>
      </c>
      <c r="G275" s="1326"/>
      <c r="H275" s="1329"/>
      <c r="I275" s="1330">
        <f t="shared" si="33"/>
        <v>639738</v>
      </c>
      <c r="J275" s="1330"/>
      <c r="K275" s="1330"/>
      <c r="L275" s="1330"/>
      <c r="M275" s="1330"/>
    </row>
    <row r="276" spans="1:13">
      <c r="A276" s="1323"/>
      <c r="B276" s="1348"/>
      <c r="C276" s="1333">
        <v>2545</v>
      </c>
      <c r="D276" s="1334">
        <v>44616</v>
      </c>
      <c r="E276" s="1344">
        <v>765145</v>
      </c>
      <c r="F276" s="1328">
        <f t="shared" si="34"/>
        <v>35</v>
      </c>
      <c r="G276" s="1326"/>
      <c r="H276" s="1329"/>
      <c r="I276" s="1330">
        <f t="shared" si="33"/>
        <v>765145</v>
      </c>
      <c r="J276" s="1330"/>
      <c r="K276" s="1330"/>
      <c r="L276" s="1330"/>
      <c r="M276" s="1330"/>
    </row>
    <row r="277" spans="1:13">
      <c r="A277" s="1323"/>
      <c r="B277" s="1348"/>
      <c r="C277" s="1333">
        <v>2553</v>
      </c>
      <c r="D277" s="1334">
        <v>44617</v>
      </c>
      <c r="E277" s="1344">
        <v>669041</v>
      </c>
      <c r="F277" s="1328">
        <f t="shared" si="34"/>
        <v>34</v>
      </c>
      <c r="G277" s="1326"/>
      <c r="H277" s="1329"/>
      <c r="I277" s="1330">
        <f t="shared" si="33"/>
        <v>669041</v>
      </c>
      <c r="J277" s="1330"/>
      <c r="K277" s="1330"/>
      <c r="L277" s="1330"/>
      <c r="M277" s="1330"/>
    </row>
    <row r="278" spans="1:13">
      <c r="A278" s="1323"/>
      <c r="B278" s="1348"/>
      <c r="C278" s="1333">
        <v>2554</v>
      </c>
      <c r="D278" s="1334">
        <v>44617</v>
      </c>
      <c r="E278" s="1344">
        <v>662042</v>
      </c>
      <c r="F278" s="1328">
        <f t="shared" si="34"/>
        <v>34</v>
      </c>
      <c r="G278" s="1326"/>
      <c r="H278" s="1329"/>
      <c r="I278" s="1330">
        <f t="shared" si="33"/>
        <v>662042</v>
      </c>
      <c r="J278" s="1330"/>
      <c r="K278" s="1330"/>
      <c r="L278" s="1330"/>
      <c r="M278" s="1330"/>
    </row>
    <row r="279" spans="1:13">
      <c r="A279" s="1323"/>
      <c r="B279" s="1348"/>
      <c r="C279" s="1333">
        <v>2556</v>
      </c>
      <c r="D279" s="1334">
        <v>44618</v>
      </c>
      <c r="E279" s="1344">
        <v>287298</v>
      </c>
      <c r="F279" s="1328">
        <f t="shared" si="34"/>
        <v>33</v>
      </c>
      <c r="G279" s="1326"/>
      <c r="H279" s="1329"/>
      <c r="I279" s="1330">
        <f t="shared" si="33"/>
        <v>287298</v>
      </c>
      <c r="J279" s="1330"/>
      <c r="K279" s="1330"/>
      <c r="L279" s="1330"/>
      <c r="M279" s="1330"/>
    </row>
    <row r="280" spans="1:13">
      <c r="A280" s="1323"/>
      <c r="B280" s="1348"/>
      <c r="C280" s="1333">
        <v>2567</v>
      </c>
      <c r="D280" s="1334">
        <v>44619</v>
      </c>
      <c r="E280" s="1344">
        <v>290645</v>
      </c>
      <c r="F280" s="1328">
        <f t="shared" si="34"/>
        <v>32</v>
      </c>
      <c r="G280" s="1326"/>
      <c r="H280" s="1329"/>
      <c r="I280" s="1330">
        <f t="shared" ref="I280:I307" si="35">IF(AND($F280&gt;=I$2,$F280&lt;=I$3),$E280,0)</f>
        <v>290645</v>
      </c>
      <c r="J280" s="1330"/>
      <c r="K280" s="1330"/>
      <c r="L280" s="1330"/>
      <c r="M280" s="1330"/>
    </row>
    <row r="281" spans="1:13">
      <c r="A281" s="1323"/>
      <c r="B281" s="1348"/>
      <c r="C281" s="1333">
        <v>2569</v>
      </c>
      <c r="D281" s="1334">
        <v>44619</v>
      </c>
      <c r="E281" s="1344">
        <v>323242</v>
      </c>
      <c r="F281" s="1328">
        <f t="shared" si="34"/>
        <v>32</v>
      </c>
      <c r="G281" s="1326"/>
      <c r="H281" s="1329"/>
      <c r="I281" s="1330">
        <f t="shared" si="35"/>
        <v>323242</v>
      </c>
      <c r="J281" s="1330"/>
      <c r="K281" s="1330"/>
      <c r="L281" s="1330"/>
      <c r="M281" s="1330"/>
    </row>
    <row r="282" spans="1:13">
      <c r="A282" s="1323"/>
      <c r="B282" s="1348"/>
      <c r="C282" s="1333">
        <v>2572</v>
      </c>
      <c r="D282" s="1334">
        <v>44620</v>
      </c>
      <c r="E282" s="1344">
        <v>39355</v>
      </c>
      <c r="F282" s="1328">
        <f t="shared" si="34"/>
        <v>31</v>
      </c>
      <c r="G282" s="1326"/>
      <c r="H282" s="1329"/>
      <c r="I282" s="1330">
        <f t="shared" si="35"/>
        <v>39355</v>
      </c>
      <c r="J282" s="1330"/>
      <c r="K282" s="1330"/>
      <c r="L282" s="1330"/>
      <c r="M282" s="1330"/>
    </row>
    <row r="283" spans="1:13">
      <c r="A283" s="1323"/>
      <c r="B283" s="1348"/>
      <c r="C283" s="1333">
        <v>2583</v>
      </c>
      <c r="D283" s="1334">
        <v>44622</v>
      </c>
      <c r="E283" s="1344">
        <v>194713</v>
      </c>
      <c r="F283" s="1328">
        <f t="shared" si="34"/>
        <v>29</v>
      </c>
      <c r="G283" s="1326"/>
      <c r="H283" s="1329"/>
      <c r="I283" s="1330">
        <f t="shared" si="35"/>
        <v>194713</v>
      </c>
      <c r="J283" s="1330"/>
      <c r="K283" s="1330"/>
      <c r="L283" s="1330"/>
      <c r="M283" s="1330"/>
    </row>
    <row r="284" spans="1:13">
      <c r="A284" s="1323"/>
      <c r="B284" s="1348"/>
      <c r="C284" s="1333">
        <v>2586</v>
      </c>
      <c r="D284" s="1334">
        <v>44622</v>
      </c>
      <c r="E284" s="1344">
        <v>693119</v>
      </c>
      <c r="F284" s="1328">
        <f t="shared" si="34"/>
        <v>29</v>
      </c>
      <c r="G284" s="1326"/>
      <c r="H284" s="1329"/>
      <c r="I284" s="1330">
        <f t="shared" si="35"/>
        <v>693119</v>
      </c>
      <c r="J284" s="1330"/>
      <c r="K284" s="1330"/>
      <c r="L284" s="1330"/>
      <c r="M284" s="1330"/>
    </row>
    <row r="285" spans="1:13">
      <c r="A285" s="1323"/>
      <c r="B285" s="1348"/>
      <c r="C285" s="1333">
        <v>2588</v>
      </c>
      <c r="D285" s="1334">
        <v>44622</v>
      </c>
      <c r="E285" s="1344">
        <v>324454</v>
      </c>
      <c r="F285" s="1328">
        <f t="shared" si="34"/>
        <v>29</v>
      </c>
      <c r="G285" s="1326"/>
      <c r="H285" s="1329"/>
      <c r="I285" s="1330">
        <f t="shared" si="35"/>
        <v>324454</v>
      </c>
      <c r="J285" s="1330"/>
      <c r="K285" s="1330"/>
      <c r="L285" s="1330"/>
      <c r="M285" s="1330"/>
    </row>
    <row r="286" spans="1:13">
      <c r="A286" s="1323"/>
      <c r="B286" s="1348"/>
      <c r="C286" s="1333">
        <v>2595</v>
      </c>
      <c r="D286" s="1334">
        <v>44623</v>
      </c>
      <c r="E286" s="1344">
        <v>664177</v>
      </c>
      <c r="F286" s="1328">
        <f t="shared" si="34"/>
        <v>28</v>
      </c>
      <c r="G286" s="1326"/>
      <c r="H286" s="1329"/>
      <c r="I286" s="1330">
        <f t="shared" si="35"/>
        <v>664177</v>
      </c>
      <c r="J286" s="1330"/>
      <c r="K286" s="1330"/>
      <c r="L286" s="1330"/>
      <c r="M286" s="1330"/>
    </row>
    <row r="287" spans="1:13">
      <c r="A287" s="1323"/>
      <c r="B287" s="1348"/>
      <c r="C287" s="1333">
        <v>2607</v>
      </c>
      <c r="D287" s="1334">
        <v>44625</v>
      </c>
      <c r="E287" s="1344">
        <v>274092</v>
      </c>
      <c r="F287" s="1328">
        <f t="shared" si="34"/>
        <v>26</v>
      </c>
      <c r="G287" s="1326"/>
      <c r="H287" s="1329"/>
      <c r="I287" s="1330">
        <f t="shared" si="35"/>
        <v>274092</v>
      </c>
      <c r="J287" s="1330"/>
      <c r="K287" s="1330"/>
      <c r="L287" s="1330"/>
      <c r="M287" s="1330"/>
    </row>
    <row r="288" spans="1:13">
      <c r="A288" s="1323"/>
      <c r="B288" s="1348"/>
      <c r="C288" s="1333">
        <v>2617</v>
      </c>
      <c r="D288" s="1334">
        <v>44626</v>
      </c>
      <c r="E288" s="1344">
        <v>322583</v>
      </c>
      <c r="F288" s="1328">
        <f t="shared" si="34"/>
        <v>25</v>
      </c>
      <c r="G288" s="1326"/>
      <c r="H288" s="1329"/>
      <c r="I288" s="1330">
        <f t="shared" si="35"/>
        <v>322583</v>
      </c>
      <c r="J288" s="1330"/>
      <c r="K288" s="1330"/>
      <c r="L288" s="1330"/>
      <c r="M288" s="1330"/>
    </row>
    <row r="289" spans="1:13">
      <c r="A289" s="1323"/>
      <c r="B289" s="1348"/>
      <c r="C289" s="1333">
        <v>2620</v>
      </c>
      <c r="D289" s="1334">
        <v>44626</v>
      </c>
      <c r="E289" s="1344">
        <v>318547</v>
      </c>
      <c r="F289" s="1328">
        <f t="shared" si="34"/>
        <v>25</v>
      </c>
      <c r="G289" s="1326"/>
      <c r="H289" s="1329"/>
      <c r="I289" s="1330">
        <f t="shared" si="35"/>
        <v>318547</v>
      </c>
      <c r="J289" s="1330"/>
      <c r="K289" s="1330"/>
      <c r="L289" s="1330"/>
      <c r="M289" s="1330"/>
    </row>
    <row r="290" spans="1:13">
      <c r="A290" s="1323"/>
      <c r="B290" s="1348"/>
      <c r="C290" s="1333">
        <v>2641</v>
      </c>
      <c r="D290" s="1334">
        <v>44628</v>
      </c>
      <c r="E290" s="1344">
        <v>427402</v>
      </c>
      <c r="F290" s="1328">
        <f t="shared" si="34"/>
        <v>23</v>
      </c>
      <c r="G290" s="1326"/>
      <c r="H290" s="1329"/>
      <c r="I290" s="1330">
        <f t="shared" si="35"/>
        <v>427402</v>
      </c>
      <c r="J290" s="1330"/>
      <c r="K290" s="1330"/>
      <c r="L290" s="1330"/>
      <c r="M290" s="1330"/>
    </row>
    <row r="291" spans="1:13">
      <c r="A291" s="1323"/>
      <c r="B291" s="1348"/>
      <c r="C291" s="1333">
        <v>2655</v>
      </c>
      <c r="D291" s="1334">
        <v>44630</v>
      </c>
      <c r="E291" s="1344">
        <v>747443</v>
      </c>
      <c r="F291" s="1328">
        <f t="shared" si="34"/>
        <v>21</v>
      </c>
      <c r="G291" s="1326"/>
      <c r="H291" s="1329"/>
      <c r="I291" s="1330">
        <f t="shared" si="35"/>
        <v>747443</v>
      </c>
      <c r="J291" s="1330"/>
      <c r="K291" s="1330"/>
      <c r="L291" s="1330"/>
      <c r="M291" s="1330"/>
    </row>
    <row r="292" spans="1:13">
      <c r="A292" s="1323"/>
      <c r="B292" s="1348"/>
      <c r="C292" s="1333">
        <v>2656</v>
      </c>
      <c r="D292" s="1334">
        <v>44630</v>
      </c>
      <c r="E292" s="1344">
        <v>303342</v>
      </c>
      <c r="F292" s="1328">
        <f t="shared" si="34"/>
        <v>21</v>
      </c>
      <c r="G292" s="1326"/>
      <c r="H292" s="1329"/>
      <c r="I292" s="1330">
        <f t="shared" si="35"/>
        <v>303342</v>
      </c>
      <c r="J292" s="1330"/>
      <c r="K292" s="1330"/>
      <c r="L292" s="1330"/>
      <c r="M292" s="1330"/>
    </row>
    <row r="293" spans="1:13">
      <c r="A293" s="1323"/>
      <c r="B293" s="1348"/>
      <c r="C293" s="1333">
        <v>2659</v>
      </c>
      <c r="D293" s="1334">
        <v>44630</v>
      </c>
      <c r="E293" s="1344">
        <v>678199</v>
      </c>
      <c r="F293" s="1328">
        <f t="shared" si="34"/>
        <v>21</v>
      </c>
      <c r="G293" s="1326"/>
      <c r="H293" s="1329"/>
      <c r="I293" s="1330">
        <f t="shared" si="35"/>
        <v>678199</v>
      </c>
      <c r="J293" s="1330"/>
      <c r="K293" s="1330"/>
      <c r="L293" s="1330"/>
      <c r="M293" s="1330"/>
    </row>
    <row r="294" spans="1:13">
      <c r="A294" s="1323"/>
      <c r="B294" s="1348"/>
      <c r="C294" s="1333">
        <v>2686</v>
      </c>
      <c r="D294" s="1334">
        <v>44634</v>
      </c>
      <c r="E294" s="1344">
        <v>333168</v>
      </c>
      <c r="F294" s="1328">
        <f t="shared" si="34"/>
        <v>17</v>
      </c>
      <c r="G294" s="1326"/>
      <c r="H294" s="1329"/>
      <c r="I294" s="1330">
        <f t="shared" si="35"/>
        <v>333168</v>
      </c>
      <c r="J294" s="1330"/>
      <c r="K294" s="1330"/>
      <c r="L294" s="1330"/>
      <c r="M294" s="1330"/>
    </row>
    <row r="295" spans="1:13">
      <c r="A295" s="1323"/>
      <c r="B295" s="1348"/>
      <c r="C295" s="1333">
        <v>2687</v>
      </c>
      <c r="D295" s="1334">
        <v>44635</v>
      </c>
      <c r="E295" s="1344">
        <v>55738</v>
      </c>
      <c r="F295" s="1328">
        <f t="shared" si="34"/>
        <v>16</v>
      </c>
      <c r="G295" s="1326"/>
      <c r="H295" s="1329"/>
      <c r="I295" s="1330">
        <f t="shared" si="35"/>
        <v>55738</v>
      </c>
      <c r="J295" s="1330"/>
      <c r="K295" s="1330"/>
      <c r="L295" s="1330"/>
      <c r="M295" s="1330"/>
    </row>
    <row r="296" spans="1:13">
      <c r="A296" s="1323"/>
      <c r="B296" s="1348"/>
      <c r="C296" s="1333">
        <v>2710</v>
      </c>
      <c r="D296" s="1334">
        <v>44637</v>
      </c>
      <c r="E296" s="1344">
        <v>682288</v>
      </c>
      <c r="F296" s="1328">
        <f t="shared" si="34"/>
        <v>14</v>
      </c>
      <c r="G296" s="1326"/>
      <c r="H296" s="1329"/>
      <c r="I296" s="1330">
        <f t="shared" si="35"/>
        <v>682288</v>
      </c>
      <c r="J296" s="1330"/>
      <c r="K296" s="1330"/>
      <c r="L296" s="1330"/>
      <c r="M296" s="1330"/>
    </row>
    <row r="297" spans="1:13">
      <c r="A297" s="1323"/>
      <c r="B297" s="1348"/>
      <c r="C297" s="1333">
        <v>2714</v>
      </c>
      <c r="D297" s="1334">
        <v>44639</v>
      </c>
      <c r="E297" s="1344">
        <v>732246</v>
      </c>
      <c r="F297" s="1328">
        <f t="shared" si="34"/>
        <v>12</v>
      </c>
      <c r="G297" s="1326"/>
      <c r="H297" s="1329"/>
      <c r="I297" s="1330">
        <f t="shared" si="35"/>
        <v>732246</v>
      </c>
      <c r="J297" s="1330"/>
      <c r="K297" s="1330"/>
      <c r="L297" s="1330"/>
      <c r="M297" s="1330"/>
    </row>
    <row r="298" spans="1:13">
      <c r="A298" s="1323"/>
      <c r="B298" s="1348"/>
      <c r="C298" s="1333"/>
      <c r="D298" s="1358">
        <v>43898</v>
      </c>
      <c r="E298" s="1356">
        <v>-77</v>
      </c>
      <c r="F298" s="1328"/>
      <c r="G298" s="1326"/>
      <c r="H298" s="1329"/>
      <c r="I298" s="1330">
        <f t="shared" si="35"/>
        <v>-77</v>
      </c>
      <c r="J298" s="1330"/>
      <c r="K298" s="1330"/>
      <c r="L298" s="1330"/>
      <c r="M298" s="1330"/>
    </row>
    <row r="299" spans="1:13">
      <c r="A299" s="1323"/>
      <c r="B299" s="1348"/>
      <c r="C299" s="1333"/>
      <c r="D299" s="1359">
        <v>44362</v>
      </c>
      <c r="E299" s="1356">
        <v>-5</v>
      </c>
      <c r="F299" s="1328"/>
      <c r="G299" s="1326"/>
      <c r="H299" s="1329"/>
      <c r="I299" s="1330">
        <f t="shared" si="35"/>
        <v>-5</v>
      </c>
      <c r="J299" s="1330"/>
      <c r="K299" s="1330"/>
      <c r="L299" s="1330"/>
      <c r="M299" s="1330"/>
    </row>
    <row r="300" spans="1:13">
      <c r="A300" s="1323"/>
      <c r="B300" s="1348"/>
      <c r="C300" s="1333"/>
      <c r="D300" s="1359"/>
      <c r="E300" s="1356">
        <v>-39</v>
      </c>
      <c r="F300" s="1328"/>
      <c r="G300" s="1326"/>
      <c r="H300" s="1329"/>
      <c r="I300" s="1330">
        <f t="shared" si="35"/>
        <v>-39</v>
      </c>
      <c r="J300" s="1330"/>
      <c r="K300" s="1330"/>
      <c r="L300" s="1330"/>
      <c r="M300" s="1330"/>
    </row>
    <row r="301" spans="1:13">
      <c r="A301" s="1323"/>
      <c r="B301" s="1348"/>
      <c r="C301" s="1333"/>
      <c r="D301" s="1359">
        <v>44559</v>
      </c>
      <c r="E301" s="1356">
        <v>-4</v>
      </c>
      <c r="F301" s="1328"/>
      <c r="G301" s="1326"/>
      <c r="H301" s="1329"/>
      <c r="I301" s="1330">
        <f t="shared" si="35"/>
        <v>-4</v>
      </c>
      <c r="J301" s="1330"/>
      <c r="K301" s="1330"/>
      <c r="L301" s="1330"/>
      <c r="M301" s="1330"/>
    </row>
    <row r="302" spans="1:13">
      <c r="A302" s="1323"/>
      <c r="B302" s="1348"/>
      <c r="C302" s="1333"/>
      <c r="D302" s="1359">
        <v>44562</v>
      </c>
      <c r="E302" s="1356">
        <v>-4</v>
      </c>
      <c r="F302" s="1328"/>
      <c r="G302" s="1326"/>
      <c r="H302" s="1329"/>
      <c r="I302" s="1330">
        <f t="shared" si="35"/>
        <v>-4</v>
      </c>
      <c r="J302" s="1330"/>
      <c r="K302" s="1330"/>
      <c r="L302" s="1330"/>
      <c r="M302" s="1330"/>
    </row>
    <row r="303" spans="1:13">
      <c r="A303" s="1323"/>
      <c r="B303" s="1348"/>
      <c r="C303" s="1333">
        <v>2380</v>
      </c>
      <c r="D303" s="1359">
        <v>44594</v>
      </c>
      <c r="E303" s="1356">
        <v>-12298</v>
      </c>
      <c r="F303" s="1328"/>
      <c r="G303" s="1326"/>
      <c r="H303" s="1329"/>
      <c r="I303" s="1330">
        <f t="shared" si="35"/>
        <v>-12298</v>
      </c>
      <c r="J303" s="1330"/>
      <c r="K303" s="1330"/>
      <c r="L303" s="1330"/>
      <c r="M303" s="1330"/>
    </row>
    <row r="304" spans="1:13">
      <c r="A304" s="1323"/>
      <c r="B304" s="1348"/>
      <c r="C304" s="1333">
        <v>2404</v>
      </c>
      <c r="D304" s="1359">
        <v>44598</v>
      </c>
      <c r="E304" s="1356">
        <v>-24197</v>
      </c>
      <c r="F304" s="1328"/>
      <c r="G304" s="1326"/>
      <c r="H304" s="1329"/>
      <c r="I304" s="1330">
        <f t="shared" si="35"/>
        <v>-24197</v>
      </c>
      <c r="J304" s="1330"/>
      <c r="K304" s="1330"/>
      <c r="L304" s="1330"/>
      <c r="M304" s="1330"/>
    </row>
    <row r="305" spans="1:13">
      <c r="A305" s="1323"/>
      <c r="B305" s="1348"/>
      <c r="C305" s="1333">
        <v>2408</v>
      </c>
      <c r="D305" s="1359">
        <v>44599</v>
      </c>
      <c r="E305" s="1356">
        <v>-12597</v>
      </c>
      <c r="F305" s="1328"/>
      <c r="G305" s="1326"/>
      <c r="H305" s="1329"/>
      <c r="I305" s="1330">
        <f t="shared" si="35"/>
        <v>-12597</v>
      </c>
      <c r="J305" s="1330"/>
      <c r="K305" s="1330"/>
      <c r="L305" s="1330"/>
      <c r="M305" s="1330"/>
    </row>
    <row r="306" spans="1:13">
      <c r="A306" s="1323"/>
      <c r="B306" s="1348"/>
      <c r="C306" s="1333">
        <v>2422</v>
      </c>
      <c r="D306" s="1334">
        <v>44601</v>
      </c>
      <c r="E306" s="1344">
        <v>-29059</v>
      </c>
      <c r="F306" s="1328"/>
      <c r="G306" s="1326"/>
      <c r="H306" s="1329"/>
      <c r="I306" s="1330">
        <f t="shared" si="35"/>
        <v>-29059</v>
      </c>
      <c r="J306" s="1330"/>
      <c r="K306" s="1330"/>
      <c r="L306" s="1330"/>
      <c r="M306" s="1330"/>
    </row>
    <row r="307" spans="1:13">
      <c r="A307" s="1323"/>
      <c r="B307" s="1348"/>
      <c r="C307" s="1333">
        <v>2446</v>
      </c>
      <c r="D307" s="1334">
        <v>44603</v>
      </c>
      <c r="E307" s="1344">
        <v>-1921</v>
      </c>
      <c r="F307" s="1328"/>
      <c r="G307" s="1326"/>
      <c r="H307" s="1329"/>
      <c r="I307" s="1330">
        <f t="shared" si="35"/>
        <v>-1921</v>
      </c>
      <c r="J307" s="1330"/>
      <c r="K307" s="1330"/>
      <c r="L307" s="1330"/>
      <c r="M307" s="1330"/>
    </row>
    <row r="308" spans="1:13">
      <c r="A308" s="1323"/>
      <c r="B308" s="1348"/>
      <c r="C308" s="1325"/>
      <c r="D308" s="1353"/>
      <c r="E308" s="1347"/>
      <c r="F308" s="1328"/>
      <c r="G308" s="1326"/>
      <c r="H308" s="1329"/>
      <c r="I308" s="1330"/>
      <c r="J308" s="1330"/>
      <c r="K308" s="1330"/>
      <c r="L308" s="1330"/>
      <c r="M308" s="1330"/>
    </row>
    <row r="309" spans="1:13">
      <c r="A309" s="1338"/>
      <c r="B309" s="1350"/>
      <c r="C309" s="1340" t="s">
        <v>1724</v>
      </c>
      <c r="D309" s="1341"/>
      <c r="E309" s="1342">
        <f>SUM(E265:E308)</f>
        <v>14471479</v>
      </c>
      <c r="F309" s="1349"/>
      <c r="G309" s="1341"/>
      <c r="H309" s="1341"/>
      <c r="I309" s="1342">
        <f>SUM(I265:I308)</f>
        <v>12736584</v>
      </c>
      <c r="J309" s="1342">
        <f>SUM(J265:J308)</f>
        <v>1734895</v>
      </c>
      <c r="K309" s="1342">
        <f>SUM(K265:K308)</f>
        <v>0</v>
      </c>
      <c r="L309" s="1342">
        <f>SUM(L265:L308)</f>
        <v>0</v>
      </c>
      <c r="M309" s="1342">
        <f>SUM(M265:M308)</f>
        <v>0</v>
      </c>
    </row>
    <row r="310" spans="1:13">
      <c r="A310" s="1323"/>
      <c r="B310" s="1332"/>
      <c r="C310" s="1333"/>
      <c r="D310" s="1334"/>
      <c r="E310" s="1344"/>
      <c r="F310" s="1328">
        <f t="shared" ref="F310:F321" si="36">$D$1-D310</f>
        <v>44651</v>
      </c>
      <c r="G310" s="1326"/>
      <c r="H310" s="1329"/>
      <c r="I310" s="1330">
        <f t="shared" ref="I310:M321" si="37">IF(AND($F310&gt;=I$2,$F310&lt;=I$3),$E310,0)</f>
        <v>0</v>
      </c>
      <c r="J310" s="1330">
        <f t="shared" si="37"/>
        <v>0</v>
      </c>
      <c r="K310" s="1330">
        <f t="shared" si="37"/>
        <v>0</v>
      </c>
      <c r="L310" s="1330">
        <f t="shared" si="37"/>
        <v>0</v>
      </c>
      <c r="M310" s="1330">
        <f t="shared" si="37"/>
        <v>0</v>
      </c>
    </row>
    <row r="311" spans="1:13">
      <c r="A311" s="1323">
        <v>16</v>
      </c>
      <c r="B311" s="1332" t="s">
        <v>296</v>
      </c>
      <c r="C311" s="1333">
        <v>2729</v>
      </c>
      <c r="D311" s="1334">
        <v>44641</v>
      </c>
      <c r="E311" s="1344">
        <v>336328</v>
      </c>
      <c r="F311" s="1328">
        <f t="shared" si="36"/>
        <v>10</v>
      </c>
      <c r="G311" s="1326"/>
      <c r="H311" s="1329"/>
      <c r="I311" s="1330">
        <f t="shared" si="37"/>
        <v>336328</v>
      </c>
      <c r="J311" s="1330">
        <f t="shared" si="37"/>
        <v>0</v>
      </c>
      <c r="K311" s="1330">
        <f t="shared" si="37"/>
        <v>0</v>
      </c>
      <c r="L311" s="1330">
        <f t="shared" si="37"/>
        <v>0</v>
      </c>
      <c r="M311" s="1330">
        <f t="shared" si="37"/>
        <v>0</v>
      </c>
    </row>
    <row r="312" spans="1:13">
      <c r="A312" s="1323"/>
      <c r="B312" s="1348"/>
      <c r="C312" s="1333">
        <v>2748</v>
      </c>
      <c r="D312" s="1334">
        <v>44643</v>
      </c>
      <c r="E312" s="1344">
        <v>101746</v>
      </c>
      <c r="F312" s="1328">
        <f t="shared" si="36"/>
        <v>8</v>
      </c>
      <c r="G312" s="1326"/>
      <c r="H312" s="1329"/>
      <c r="I312" s="1330">
        <f t="shared" si="37"/>
        <v>101746</v>
      </c>
      <c r="J312" s="1330"/>
      <c r="K312" s="1330"/>
      <c r="L312" s="1330"/>
      <c r="M312" s="1330"/>
    </row>
    <row r="313" spans="1:13">
      <c r="A313" s="1323"/>
      <c r="B313" s="1348"/>
      <c r="C313" s="1333">
        <v>2758</v>
      </c>
      <c r="D313" s="1334">
        <v>44644</v>
      </c>
      <c r="E313" s="1344">
        <v>339210</v>
      </c>
      <c r="F313" s="1328">
        <f t="shared" si="36"/>
        <v>7</v>
      </c>
      <c r="G313" s="1326"/>
      <c r="H313" s="1329"/>
      <c r="I313" s="1330">
        <f t="shared" si="37"/>
        <v>339210</v>
      </c>
      <c r="J313" s="1330"/>
      <c r="K313" s="1330"/>
      <c r="L313" s="1330"/>
      <c r="M313" s="1330"/>
    </row>
    <row r="314" spans="1:13">
      <c r="A314" s="1323"/>
      <c r="B314" s="1348"/>
      <c r="C314" s="1333">
        <v>2769</v>
      </c>
      <c r="D314" s="1334">
        <v>44645</v>
      </c>
      <c r="E314" s="1344">
        <v>740183</v>
      </c>
      <c r="F314" s="1328">
        <f t="shared" si="36"/>
        <v>6</v>
      </c>
      <c r="G314" s="1326"/>
      <c r="H314" s="1329"/>
      <c r="I314" s="1330">
        <f t="shared" si="37"/>
        <v>740183</v>
      </c>
      <c r="J314" s="1330"/>
      <c r="K314" s="1330"/>
      <c r="L314" s="1330"/>
      <c r="M314" s="1330"/>
    </row>
    <row r="315" spans="1:13">
      <c r="A315" s="1323"/>
      <c r="B315" s="1348"/>
      <c r="C315" s="1333">
        <v>2770</v>
      </c>
      <c r="D315" s="1334">
        <v>44645</v>
      </c>
      <c r="E315" s="1344">
        <v>753142</v>
      </c>
      <c r="F315" s="1328">
        <f t="shared" si="36"/>
        <v>6</v>
      </c>
      <c r="G315" s="1326"/>
      <c r="H315" s="1329"/>
      <c r="I315" s="1330">
        <f t="shared" si="37"/>
        <v>753142</v>
      </c>
      <c r="J315" s="1330"/>
      <c r="K315" s="1330"/>
      <c r="L315" s="1330"/>
      <c r="M315" s="1330"/>
    </row>
    <row r="316" spans="1:13">
      <c r="A316" s="1323"/>
      <c r="B316" s="1348"/>
      <c r="C316" s="1351">
        <v>2789</v>
      </c>
      <c r="D316" s="1352">
        <v>44649</v>
      </c>
      <c r="E316" s="1344">
        <v>342290</v>
      </c>
      <c r="F316" s="1328">
        <f t="shared" si="36"/>
        <v>2</v>
      </c>
      <c r="G316" s="1326"/>
      <c r="H316" s="1329"/>
      <c r="I316" s="1330">
        <f t="shared" si="37"/>
        <v>342290</v>
      </c>
      <c r="J316" s="1330"/>
      <c r="K316" s="1330"/>
      <c r="L316" s="1330"/>
      <c r="M316" s="1330"/>
    </row>
    <row r="317" spans="1:13">
      <c r="A317" s="1323"/>
      <c r="B317" s="1348"/>
      <c r="C317" s="1351">
        <v>2790</v>
      </c>
      <c r="D317" s="1352">
        <v>44649</v>
      </c>
      <c r="E317" s="1344">
        <v>461593</v>
      </c>
      <c r="F317" s="1328">
        <f t="shared" si="36"/>
        <v>2</v>
      </c>
      <c r="G317" s="1326"/>
      <c r="H317" s="1329"/>
      <c r="I317" s="1330">
        <f t="shared" si="37"/>
        <v>461593</v>
      </c>
      <c r="J317" s="1330"/>
      <c r="K317" s="1330"/>
      <c r="L317" s="1330"/>
      <c r="M317" s="1330"/>
    </row>
    <row r="318" spans="1:13">
      <c r="A318" s="1323"/>
      <c r="B318" s="1348"/>
      <c r="C318" s="1351">
        <v>2795</v>
      </c>
      <c r="D318" s="1352">
        <v>44650</v>
      </c>
      <c r="E318" s="1344">
        <v>363009</v>
      </c>
      <c r="F318" s="1328">
        <f t="shared" si="36"/>
        <v>1</v>
      </c>
      <c r="G318" s="1326"/>
      <c r="H318" s="1329"/>
      <c r="I318" s="1330">
        <f t="shared" si="37"/>
        <v>363009</v>
      </c>
      <c r="J318" s="1330"/>
      <c r="K318" s="1330"/>
      <c r="L318" s="1330"/>
      <c r="M318" s="1330"/>
    </row>
    <row r="319" spans="1:13">
      <c r="A319" s="1323"/>
      <c r="B319" s="1348"/>
      <c r="C319" s="1351">
        <v>2796</v>
      </c>
      <c r="D319" s="1352">
        <v>44650</v>
      </c>
      <c r="E319" s="1344">
        <v>335858</v>
      </c>
      <c r="F319" s="1328">
        <f t="shared" si="36"/>
        <v>1</v>
      </c>
      <c r="G319" s="1326"/>
      <c r="H319" s="1329"/>
      <c r="I319" s="1330">
        <f t="shared" si="37"/>
        <v>335858</v>
      </c>
      <c r="J319" s="1330"/>
      <c r="K319" s="1330"/>
      <c r="L319" s="1330"/>
      <c r="M319" s="1330"/>
    </row>
    <row r="320" spans="1:13">
      <c r="A320" s="1323"/>
      <c r="B320" s="1348"/>
      <c r="C320" s="1351">
        <v>2802</v>
      </c>
      <c r="D320" s="1352">
        <v>44651</v>
      </c>
      <c r="E320" s="1344">
        <v>526857</v>
      </c>
      <c r="F320" s="1328">
        <f t="shared" si="36"/>
        <v>0</v>
      </c>
      <c r="G320" s="1326"/>
      <c r="H320" s="1329"/>
      <c r="I320" s="1330">
        <f t="shared" si="37"/>
        <v>526857</v>
      </c>
      <c r="J320" s="1330"/>
      <c r="K320" s="1330"/>
      <c r="L320" s="1330"/>
      <c r="M320" s="1330"/>
    </row>
    <row r="321" spans="1:13">
      <c r="A321" s="1323"/>
      <c r="B321" s="1348"/>
      <c r="C321" s="1351">
        <v>2809</v>
      </c>
      <c r="D321" s="1352">
        <v>44651</v>
      </c>
      <c r="E321" s="1344">
        <v>322495</v>
      </c>
      <c r="F321" s="1328">
        <f t="shared" si="36"/>
        <v>0</v>
      </c>
      <c r="G321" s="1326"/>
      <c r="H321" s="1329"/>
      <c r="I321" s="1330">
        <f t="shared" si="37"/>
        <v>322495</v>
      </c>
      <c r="J321" s="1330">
        <f t="shared" si="37"/>
        <v>0</v>
      </c>
      <c r="K321" s="1330">
        <f t="shared" si="37"/>
        <v>0</v>
      </c>
      <c r="L321" s="1330">
        <f t="shared" si="37"/>
        <v>0</v>
      </c>
      <c r="M321" s="1330">
        <f t="shared" si="37"/>
        <v>0</v>
      </c>
    </row>
    <row r="322" spans="1:13">
      <c r="A322" s="1323"/>
      <c r="B322" s="1348"/>
      <c r="C322" s="1325"/>
      <c r="D322" s="1353"/>
      <c r="E322" s="1347"/>
      <c r="F322" s="1328"/>
      <c r="G322" s="1326"/>
      <c r="H322" s="1329"/>
      <c r="I322" s="1330"/>
      <c r="J322" s="1330"/>
      <c r="K322" s="1330"/>
      <c r="L322" s="1330"/>
      <c r="M322" s="1330"/>
    </row>
    <row r="323" spans="1:13">
      <c r="A323" s="1338"/>
      <c r="B323" s="1350"/>
      <c r="C323" s="1340" t="s">
        <v>1724</v>
      </c>
      <c r="D323" s="1341"/>
      <c r="E323" s="1342">
        <f>SUM(E311:E322)</f>
        <v>4622711</v>
      </c>
      <c r="F323" s="1349"/>
      <c r="G323" s="1341"/>
      <c r="H323" s="1341"/>
      <c r="I323" s="1342">
        <f t="shared" ref="I323:M323" si="38">SUM(I311:I322)</f>
        <v>4622711</v>
      </c>
      <c r="J323" s="1342">
        <f t="shared" si="38"/>
        <v>0</v>
      </c>
      <c r="K323" s="1342">
        <f t="shared" si="38"/>
        <v>0</v>
      </c>
      <c r="L323" s="1342">
        <f t="shared" si="38"/>
        <v>0</v>
      </c>
      <c r="M323" s="1342">
        <f t="shared" si="38"/>
        <v>0</v>
      </c>
    </row>
    <row r="324" spans="1:13">
      <c r="A324" s="1323"/>
      <c r="B324" s="1332"/>
      <c r="C324" s="1333"/>
      <c r="D324" s="1334"/>
      <c r="E324" s="1344"/>
      <c r="F324" s="1328">
        <f t="shared" ref="F324:F330" si="39">$D$1-D324</f>
        <v>44651</v>
      </c>
      <c r="G324" s="1326"/>
      <c r="H324" s="1329"/>
      <c r="I324" s="1330">
        <f t="shared" ref="I324:M330" si="40">IF(AND($F324&gt;=I$2,$F324&lt;=I$3),$E324,0)</f>
        <v>0</v>
      </c>
      <c r="J324" s="1330">
        <f t="shared" si="40"/>
        <v>0</v>
      </c>
      <c r="K324" s="1330">
        <f t="shared" si="40"/>
        <v>0</v>
      </c>
      <c r="L324" s="1330">
        <f t="shared" si="40"/>
        <v>0</v>
      </c>
      <c r="M324" s="1330">
        <f t="shared" si="40"/>
        <v>0</v>
      </c>
    </row>
    <row r="325" spans="1:13">
      <c r="A325" s="1323">
        <v>17</v>
      </c>
      <c r="B325" s="1332" t="s">
        <v>299</v>
      </c>
      <c r="C325" s="1333">
        <v>2592</v>
      </c>
      <c r="D325" s="1334">
        <v>44623</v>
      </c>
      <c r="E325" s="1344">
        <v>407037</v>
      </c>
      <c r="F325" s="1328">
        <f t="shared" si="39"/>
        <v>28</v>
      </c>
      <c r="G325" s="1326"/>
      <c r="H325" s="1329"/>
      <c r="I325" s="1330">
        <f t="shared" si="40"/>
        <v>407037</v>
      </c>
      <c r="J325" s="1330">
        <f t="shared" si="40"/>
        <v>0</v>
      </c>
      <c r="K325" s="1330">
        <f t="shared" si="40"/>
        <v>0</v>
      </c>
      <c r="L325" s="1330">
        <f t="shared" si="40"/>
        <v>0</v>
      </c>
      <c r="M325" s="1330">
        <f t="shared" si="40"/>
        <v>0</v>
      </c>
    </row>
    <row r="326" spans="1:13">
      <c r="A326" s="1323"/>
      <c r="B326" s="1348"/>
      <c r="C326" s="1333">
        <v>2619</v>
      </c>
      <c r="D326" s="1334">
        <v>44626</v>
      </c>
      <c r="E326" s="1344">
        <v>425240</v>
      </c>
      <c r="F326" s="1328">
        <f t="shared" si="39"/>
        <v>25</v>
      </c>
      <c r="G326" s="1326"/>
      <c r="H326" s="1329"/>
      <c r="I326" s="1330">
        <f t="shared" si="40"/>
        <v>425240</v>
      </c>
      <c r="J326" s="1330">
        <f t="shared" si="40"/>
        <v>0</v>
      </c>
      <c r="K326" s="1330">
        <f t="shared" si="40"/>
        <v>0</v>
      </c>
      <c r="L326" s="1330">
        <f t="shared" si="40"/>
        <v>0</v>
      </c>
      <c r="M326" s="1330">
        <f t="shared" si="40"/>
        <v>0</v>
      </c>
    </row>
    <row r="327" spans="1:13">
      <c r="A327" s="1323"/>
      <c r="B327" s="1348"/>
      <c r="C327" s="1333">
        <v>2728</v>
      </c>
      <c r="D327" s="1334">
        <v>44641</v>
      </c>
      <c r="E327" s="1344">
        <v>781202</v>
      </c>
      <c r="F327" s="1328">
        <f t="shared" si="39"/>
        <v>10</v>
      </c>
      <c r="G327" s="1326"/>
      <c r="H327" s="1329"/>
      <c r="I327" s="1330">
        <f t="shared" si="40"/>
        <v>781202</v>
      </c>
      <c r="J327" s="1330"/>
      <c r="K327" s="1330"/>
      <c r="L327" s="1330"/>
      <c r="M327" s="1330"/>
    </row>
    <row r="328" spans="1:13">
      <c r="A328" s="1323"/>
      <c r="B328" s="1348"/>
      <c r="C328" s="1333">
        <v>2759</v>
      </c>
      <c r="D328" s="1334">
        <v>44644</v>
      </c>
      <c r="E328" s="1344">
        <v>776679</v>
      </c>
      <c r="F328" s="1328">
        <f t="shared" si="39"/>
        <v>7</v>
      </c>
      <c r="G328" s="1326"/>
      <c r="H328" s="1329"/>
      <c r="I328" s="1330">
        <f t="shared" si="40"/>
        <v>776679</v>
      </c>
      <c r="J328" s="1330"/>
      <c r="K328" s="1330"/>
      <c r="L328" s="1330"/>
      <c r="M328" s="1330"/>
    </row>
    <row r="329" spans="1:13">
      <c r="A329" s="1323"/>
      <c r="B329" s="1348"/>
      <c r="C329" s="1333">
        <v>2776</v>
      </c>
      <c r="D329" s="1334">
        <v>44646</v>
      </c>
      <c r="E329" s="1344">
        <v>752024</v>
      </c>
      <c r="F329" s="1328">
        <f t="shared" si="39"/>
        <v>5</v>
      </c>
      <c r="G329" s="1326"/>
      <c r="H329" s="1329"/>
      <c r="I329" s="1330">
        <f t="shared" si="40"/>
        <v>752024</v>
      </c>
      <c r="J329" s="1330"/>
      <c r="K329" s="1330"/>
      <c r="L329" s="1330"/>
      <c r="M329" s="1330"/>
    </row>
    <row r="330" spans="1:13">
      <c r="A330" s="1323"/>
      <c r="B330" s="1348"/>
      <c r="C330" s="1351">
        <v>2798</v>
      </c>
      <c r="D330" s="1352">
        <v>44650</v>
      </c>
      <c r="E330" s="1344">
        <v>287105</v>
      </c>
      <c r="F330" s="1328">
        <f t="shared" si="39"/>
        <v>1</v>
      </c>
      <c r="G330" s="1326"/>
      <c r="H330" s="1329"/>
      <c r="I330" s="1330">
        <f t="shared" si="40"/>
        <v>287105</v>
      </c>
      <c r="J330" s="1330">
        <f t="shared" si="40"/>
        <v>0</v>
      </c>
      <c r="K330" s="1330">
        <f t="shared" si="40"/>
        <v>0</v>
      </c>
      <c r="L330" s="1330">
        <f t="shared" si="40"/>
        <v>0</v>
      </c>
      <c r="M330" s="1330">
        <f t="shared" si="40"/>
        <v>0</v>
      </c>
    </row>
    <row r="331" spans="1:13">
      <c r="A331" s="1323"/>
      <c r="B331" s="1348"/>
      <c r="C331" s="1325"/>
      <c r="D331" s="1353"/>
      <c r="E331" s="1347">
        <v>-3</v>
      </c>
      <c r="F331" s="1328"/>
      <c r="G331" s="1326"/>
      <c r="H331" s="1329"/>
      <c r="I331" s="1330">
        <v>-3</v>
      </c>
      <c r="J331" s="1330"/>
      <c r="K331" s="1330"/>
      <c r="L331" s="1330"/>
      <c r="M331" s="1330"/>
    </row>
    <row r="332" spans="1:13">
      <c r="A332" s="1338"/>
      <c r="B332" s="1350"/>
      <c r="C332" s="1340" t="s">
        <v>1724</v>
      </c>
      <c r="D332" s="1341"/>
      <c r="E332" s="1342">
        <f>SUM(E325:E331)</f>
        <v>3429284</v>
      </c>
      <c r="F332" s="1349"/>
      <c r="G332" s="1341"/>
      <c r="H332" s="1341"/>
      <c r="I332" s="1342">
        <f>SUM(I325:I331)</f>
        <v>3429284</v>
      </c>
      <c r="J332" s="1342">
        <f>SUM(J325:J331)</f>
        <v>0</v>
      </c>
      <c r="K332" s="1342">
        <f>SUM(K325:K331)</f>
        <v>0</v>
      </c>
      <c r="L332" s="1342">
        <f>SUM(L325:L331)</f>
        <v>0</v>
      </c>
      <c r="M332" s="1342">
        <f>SUM(M325:M331)</f>
        <v>0</v>
      </c>
    </row>
    <row r="333" spans="1:13">
      <c r="A333" s="1323"/>
      <c r="B333" s="1332"/>
      <c r="C333" s="1333"/>
      <c r="D333" s="1334"/>
      <c r="E333" s="1344"/>
      <c r="F333" s="1328">
        <f t="shared" ref="F333:F337" si="41">$D$1-D333</f>
        <v>44651</v>
      </c>
      <c r="G333" s="1326"/>
      <c r="H333" s="1329"/>
      <c r="I333" s="1330">
        <f t="shared" ref="I333:M338" si="42">IF(AND($F333&gt;=I$2,$F333&lt;=I$3),$E333,0)</f>
        <v>0</v>
      </c>
      <c r="J333" s="1330">
        <f t="shared" si="42"/>
        <v>0</v>
      </c>
      <c r="K333" s="1330">
        <f t="shared" si="42"/>
        <v>0</v>
      </c>
      <c r="L333" s="1330">
        <f t="shared" si="42"/>
        <v>0</v>
      </c>
      <c r="M333" s="1330">
        <f t="shared" si="42"/>
        <v>0</v>
      </c>
    </row>
    <row r="334" spans="1:13">
      <c r="A334" s="1323">
        <v>18</v>
      </c>
      <c r="B334" s="1332" t="s">
        <v>312</v>
      </c>
      <c r="C334" s="1333">
        <v>2649</v>
      </c>
      <c r="D334" s="1334">
        <v>44629</v>
      </c>
      <c r="E334" s="1344">
        <v>535470</v>
      </c>
      <c r="F334" s="1328">
        <f t="shared" si="41"/>
        <v>22</v>
      </c>
      <c r="G334" s="1326"/>
      <c r="H334" s="1329"/>
      <c r="I334" s="1330">
        <f t="shared" si="42"/>
        <v>535470</v>
      </c>
      <c r="J334" s="1330">
        <f t="shared" si="42"/>
        <v>0</v>
      </c>
      <c r="K334" s="1330">
        <f t="shared" si="42"/>
        <v>0</v>
      </c>
      <c r="L334" s="1330">
        <f t="shared" si="42"/>
        <v>0</v>
      </c>
      <c r="M334" s="1330">
        <f t="shared" si="42"/>
        <v>0</v>
      </c>
    </row>
    <row r="335" spans="1:13">
      <c r="A335" s="1323"/>
      <c r="B335" s="1348"/>
      <c r="C335" s="1333">
        <v>2665</v>
      </c>
      <c r="D335" s="1334">
        <v>44631</v>
      </c>
      <c r="E335" s="1344">
        <v>400825</v>
      </c>
      <c r="F335" s="1328">
        <f t="shared" si="41"/>
        <v>20</v>
      </c>
      <c r="G335" s="1326"/>
      <c r="H335" s="1329"/>
      <c r="I335" s="1330">
        <f t="shared" si="42"/>
        <v>400825</v>
      </c>
      <c r="J335" s="1330">
        <f t="shared" si="42"/>
        <v>0</v>
      </c>
      <c r="K335" s="1330">
        <f t="shared" si="42"/>
        <v>0</v>
      </c>
      <c r="L335" s="1330">
        <f t="shared" si="42"/>
        <v>0</v>
      </c>
      <c r="M335" s="1330">
        <f t="shared" si="42"/>
        <v>0</v>
      </c>
    </row>
    <row r="336" spans="1:13">
      <c r="A336" s="1323"/>
      <c r="B336" s="1348"/>
      <c r="C336" s="1351">
        <v>2787</v>
      </c>
      <c r="D336" s="1352">
        <v>44648</v>
      </c>
      <c r="E336" s="1344">
        <v>241144</v>
      </c>
      <c r="F336" s="1328">
        <f t="shared" si="41"/>
        <v>3</v>
      </c>
      <c r="G336" s="1326"/>
      <c r="H336" s="1329"/>
      <c r="I336" s="1330">
        <f t="shared" si="42"/>
        <v>241144</v>
      </c>
      <c r="J336" s="1330">
        <f t="shared" si="42"/>
        <v>0</v>
      </c>
      <c r="K336" s="1330">
        <f t="shared" si="42"/>
        <v>0</v>
      </c>
      <c r="L336" s="1330">
        <f t="shared" si="42"/>
        <v>0</v>
      </c>
      <c r="M336" s="1330">
        <f t="shared" si="42"/>
        <v>0</v>
      </c>
    </row>
    <row r="337" spans="1:13">
      <c r="A337" s="1323"/>
      <c r="B337" s="1348"/>
      <c r="C337" s="1351">
        <v>2811</v>
      </c>
      <c r="D337" s="1352">
        <v>44651</v>
      </c>
      <c r="E337" s="1344">
        <v>54227</v>
      </c>
      <c r="F337" s="1328">
        <f t="shared" si="41"/>
        <v>0</v>
      </c>
      <c r="G337" s="1326"/>
      <c r="H337" s="1329"/>
      <c r="I337" s="1330">
        <f t="shared" si="42"/>
        <v>54227</v>
      </c>
      <c r="J337" s="1330">
        <f t="shared" si="42"/>
        <v>0</v>
      </c>
      <c r="K337" s="1330">
        <f t="shared" si="42"/>
        <v>0</v>
      </c>
      <c r="L337" s="1330">
        <f t="shared" si="42"/>
        <v>0</v>
      </c>
      <c r="M337" s="1330">
        <f t="shared" si="42"/>
        <v>0</v>
      </c>
    </row>
    <row r="338" spans="1:13">
      <c r="A338" s="1323"/>
      <c r="B338" s="1348"/>
      <c r="C338" s="1333"/>
      <c r="D338" s="1334"/>
      <c r="E338" s="1344">
        <v>1</v>
      </c>
      <c r="F338" s="1328"/>
      <c r="G338" s="1326"/>
      <c r="H338" s="1329"/>
      <c r="I338" s="1330">
        <f t="shared" si="42"/>
        <v>1</v>
      </c>
      <c r="J338" s="1330">
        <f t="shared" si="42"/>
        <v>0</v>
      </c>
      <c r="K338" s="1330">
        <f t="shared" si="42"/>
        <v>0</v>
      </c>
      <c r="L338" s="1330">
        <f t="shared" si="42"/>
        <v>0</v>
      </c>
      <c r="M338" s="1330">
        <f t="shared" si="42"/>
        <v>0</v>
      </c>
    </row>
    <row r="339" spans="1:13">
      <c r="A339" s="1338"/>
      <c r="B339" s="1350"/>
      <c r="C339" s="1340" t="s">
        <v>1724</v>
      </c>
      <c r="D339" s="1341"/>
      <c r="E339" s="1342">
        <f>SUM(E333:E338)</f>
        <v>1231667</v>
      </c>
      <c r="F339" s="1349"/>
      <c r="G339" s="1341"/>
      <c r="H339" s="1341"/>
      <c r="I339" s="1342">
        <f>SUM(I333:I338)</f>
        <v>1231667</v>
      </c>
      <c r="J339" s="1342">
        <f>SUM(J333:J338)</f>
        <v>0</v>
      </c>
      <c r="K339" s="1342">
        <f>SUM(K333:K338)</f>
        <v>0</v>
      </c>
      <c r="L339" s="1342">
        <f>SUM(L333:L338)</f>
        <v>0</v>
      </c>
      <c r="M339" s="1342">
        <f>SUM(M333:M338)</f>
        <v>0</v>
      </c>
    </row>
    <row r="340" spans="1:13">
      <c r="A340" s="1323"/>
      <c r="B340" s="1332"/>
      <c r="C340" s="1333"/>
      <c r="D340" s="1334"/>
      <c r="E340" s="1344"/>
      <c r="F340" s="1328"/>
      <c r="G340" s="1326"/>
      <c r="H340" s="1329"/>
      <c r="I340" s="1330">
        <f t="shared" ref="I340:M343" si="43">IF(AND($F340&gt;=I$2,$F340&lt;=I$3),$E340,0)</f>
        <v>0</v>
      </c>
      <c r="J340" s="1330">
        <f t="shared" si="43"/>
        <v>0</v>
      </c>
      <c r="K340" s="1330">
        <f t="shared" si="43"/>
        <v>0</v>
      </c>
      <c r="L340" s="1330">
        <f t="shared" si="43"/>
        <v>0</v>
      </c>
      <c r="M340" s="1330">
        <f t="shared" si="43"/>
        <v>0</v>
      </c>
    </row>
    <row r="341" spans="1:13">
      <c r="A341" s="1323">
        <v>19</v>
      </c>
      <c r="B341" s="1332" t="s">
        <v>863</v>
      </c>
      <c r="C341" s="1333">
        <v>2005</v>
      </c>
      <c r="D341" s="1334">
        <v>44545</v>
      </c>
      <c r="E341" s="1354">
        <v>106819</v>
      </c>
      <c r="F341" s="1328">
        <f t="shared" ref="F341:F343" si="44">$D$1-D341</f>
        <v>106</v>
      </c>
      <c r="G341" s="1326"/>
      <c r="H341" s="1329"/>
      <c r="I341" s="1330">
        <f t="shared" si="43"/>
        <v>0</v>
      </c>
      <c r="J341" s="1330">
        <f t="shared" si="43"/>
        <v>0</v>
      </c>
      <c r="K341" s="1330">
        <f t="shared" si="43"/>
        <v>0</v>
      </c>
      <c r="L341" s="1330">
        <f t="shared" si="43"/>
        <v>106819</v>
      </c>
      <c r="M341" s="1330">
        <f t="shared" si="43"/>
        <v>0</v>
      </c>
    </row>
    <row r="342" spans="1:13">
      <c r="A342" s="1323"/>
      <c r="B342" s="1348"/>
      <c r="C342" s="1333">
        <v>2238</v>
      </c>
      <c r="D342" s="1334">
        <v>44574</v>
      </c>
      <c r="E342" s="1354">
        <v>481281</v>
      </c>
      <c r="F342" s="1328">
        <f t="shared" si="44"/>
        <v>77</v>
      </c>
      <c r="G342" s="1326"/>
      <c r="H342" s="1329"/>
      <c r="I342" s="1330">
        <f t="shared" si="43"/>
        <v>0</v>
      </c>
      <c r="J342" s="1330">
        <f t="shared" si="43"/>
        <v>0</v>
      </c>
      <c r="K342" s="1330">
        <f t="shared" si="43"/>
        <v>481281</v>
      </c>
      <c r="L342" s="1330">
        <f t="shared" si="43"/>
        <v>0</v>
      </c>
      <c r="M342" s="1330">
        <f t="shared" si="43"/>
        <v>0</v>
      </c>
    </row>
    <row r="343" spans="1:13">
      <c r="A343" s="1323"/>
      <c r="B343" s="1348"/>
      <c r="C343" s="1333">
        <v>2251</v>
      </c>
      <c r="D343" s="1334">
        <v>44575</v>
      </c>
      <c r="E343" s="1344">
        <v>432542</v>
      </c>
      <c r="F343" s="1328">
        <f t="shared" si="44"/>
        <v>76</v>
      </c>
      <c r="G343" s="1326"/>
      <c r="H343" s="1329"/>
      <c r="I343" s="1330">
        <f t="shared" si="43"/>
        <v>0</v>
      </c>
      <c r="J343" s="1330">
        <f t="shared" si="43"/>
        <v>0</v>
      </c>
      <c r="K343" s="1330">
        <f t="shared" si="43"/>
        <v>432542</v>
      </c>
      <c r="L343" s="1330">
        <f t="shared" si="43"/>
        <v>0</v>
      </c>
      <c r="M343" s="1330">
        <f t="shared" si="43"/>
        <v>0</v>
      </c>
    </row>
    <row r="344" spans="1:13">
      <c r="A344" s="1323"/>
      <c r="B344" s="1348"/>
      <c r="C344" s="1325"/>
      <c r="D344" s="1353"/>
      <c r="E344" s="1347">
        <v>2</v>
      </c>
      <c r="F344" s="1328"/>
      <c r="G344" s="1326"/>
      <c r="H344" s="1329"/>
      <c r="I344" s="1330"/>
      <c r="J344" s="1330"/>
      <c r="K344" s="1330">
        <v>2</v>
      </c>
      <c r="L344" s="1330"/>
      <c r="M344" s="1330"/>
    </row>
    <row r="345" spans="1:13">
      <c r="A345" s="1338"/>
      <c r="B345" s="1350"/>
      <c r="C345" s="1340" t="s">
        <v>1724</v>
      </c>
      <c r="D345" s="1341"/>
      <c r="E345" s="1342">
        <f>SUM(E340:E344)</f>
        <v>1020644</v>
      </c>
      <c r="F345" s="1349"/>
      <c r="G345" s="1341"/>
      <c r="H345" s="1341"/>
      <c r="I345" s="1342">
        <f>SUM(I340:I344)</f>
        <v>0</v>
      </c>
      <c r="J345" s="1342">
        <f>SUM(J340:J344)</f>
        <v>0</v>
      </c>
      <c r="K345" s="1342">
        <f>SUM(K340:K344)</f>
        <v>913825</v>
      </c>
      <c r="L345" s="1342">
        <f>SUM(L340:L344)</f>
        <v>106819</v>
      </c>
      <c r="M345" s="1342">
        <f>SUM(M340:M344)</f>
        <v>0</v>
      </c>
    </row>
    <row r="346" spans="1:13">
      <c r="A346" s="1323"/>
      <c r="B346" s="1348"/>
      <c r="C346" s="1333"/>
      <c r="D346" s="1334"/>
      <c r="E346" s="1344"/>
      <c r="F346" s="1328"/>
      <c r="G346" s="1326"/>
      <c r="H346" s="1329"/>
      <c r="I346" s="1330">
        <f t="shared" ref="I346:M352" si="45">IF(AND($F346&gt;=I$2,$F346&lt;=I$3),$E346,0)</f>
        <v>0</v>
      </c>
      <c r="J346" s="1330">
        <f t="shared" si="45"/>
        <v>0</v>
      </c>
      <c r="K346" s="1330">
        <f t="shared" si="45"/>
        <v>0</v>
      </c>
      <c r="L346" s="1330">
        <f t="shared" si="45"/>
        <v>0</v>
      </c>
      <c r="M346" s="1330">
        <f t="shared" si="45"/>
        <v>0</v>
      </c>
    </row>
    <row r="347" spans="1:13">
      <c r="A347" s="1323">
        <v>20</v>
      </c>
      <c r="B347" s="1332" t="s">
        <v>331</v>
      </c>
      <c r="C347" s="1333">
        <v>2518</v>
      </c>
      <c r="D347" s="1334">
        <v>44613</v>
      </c>
      <c r="E347" s="1344">
        <f>863272-996</f>
        <v>862276</v>
      </c>
      <c r="F347" s="1328">
        <f t="shared" ref="F347:F352" si="46">$D$1-D347</f>
        <v>38</v>
      </c>
      <c r="G347" s="1326"/>
      <c r="H347" s="1329"/>
      <c r="I347" s="1330">
        <f t="shared" si="45"/>
        <v>862276</v>
      </c>
      <c r="J347" s="1330">
        <f t="shared" si="45"/>
        <v>0</v>
      </c>
      <c r="K347" s="1330">
        <f t="shared" si="45"/>
        <v>0</v>
      </c>
      <c r="L347" s="1330">
        <f t="shared" si="45"/>
        <v>0</v>
      </c>
      <c r="M347" s="1330">
        <f t="shared" si="45"/>
        <v>0</v>
      </c>
    </row>
    <row r="348" spans="1:13">
      <c r="A348" s="1323"/>
      <c r="B348" s="1348"/>
      <c r="C348" s="1333">
        <v>2580</v>
      </c>
      <c r="D348" s="1334">
        <v>44621</v>
      </c>
      <c r="E348" s="1344">
        <v>1096101</v>
      </c>
      <c r="F348" s="1328">
        <f t="shared" si="46"/>
        <v>30</v>
      </c>
      <c r="G348" s="1326"/>
      <c r="H348" s="1329"/>
      <c r="I348" s="1330">
        <f t="shared" si="45"/>
        <v>1096101</v>
      </c>
      <c r="J348" s="1330">
        <f t="shared" si="45"/>
        <v>0</v>
      </c>
      <c r="K348" s="1330">
        <f t="shared" si="45"/>
        <v>0</v>
      </c>
      <c r="L348" s="1330">
        <f t="shared" si="45"/>
        <v>0</v>
      </c>
      <c r="M348" s="1330">
        <f t="shared" si="45"/>
        <v>0</v>
      </c>
    </row>
    <row r="349" spans="1:13">
      <c r="A349" s="1323"/>
      <c r="B349" s="1348"/>
      <c r="C349" s="1333">
        <v>2632</v>
      </c>
      <c r="D349" s="1334">
        <v>44628</v>
      </c>
      <c r="E349" s="1344">
        <v>934853</v>
      </c>
      <c r="F349" s="1328">
        <f t="shared" si="46"/>
        <v>23</v>
      </c>
      <c r="G349" s="1326"/>
      <c r="H349" s="1329"/>
      <c r="I349" s="1330">
        <f t="shared" si="45"/>
        <v>934853</v>
      </c>
      <c r="J349" s="1330">
        <f t="shared" si="45"/>
        <v>0</v>
      </c>
      <c r="K349" s="1330">
        <f t="shared" si="45"/>
        <v>0</v>
      </c>
      <c r="L349" s="1330">
        <f t="shared" si="45"/>
        <v>0</v>
      </c>
      <c r="M349" s="1330">
        <f t="shared" si="45"/>
        <v>0</v>
      </c>
    </row>
    <row r="350" spans="1:13">
      <c r="A350" s="1323"/>
      <c r="B350" s="1348"/>
      <c r="C350" s="1333">
        <v>2679</v>
      </c>
      <c r="D350" s="1334">
        <v>44633</v>
      </c>
      <c r="E350" s="1344">
        <v>442661</v>
      </c>
      <c r="F350" s="1328">
        <f t="shared" si="46"/>
        <v>18</v>
      </c>
      <c r="G350" s="1326"/>
      <c r="H350" s="1329"/>
      <c r="I350" s="1330">
        <f t="shared" si="45"/>
        <v>442661</v>
      </c>
      <c r="J350" s="1330">
        <f t="shared" si="45"/>
        <v>0</v>
      </c>
      <c r="K350" s="1330">
        <f t="shared" si="45"/>
        <v>0</v>
      </c>
      <c r="L350" s="1330">
        <f t="shared" si="45"/>
        <v>0</v>
      </c>
      <c r="M350" s="1330">
        <f t="shared" si="45"/>
        <v>0</v>
      </c>
    </row>
    <row r="351" spans="1:13">
      <c r="A351" s="1323"/>
      <c r="B351" s="1348"/>
      <c r="C351" s="1333">
        <v>2720</v>
      </c>
      <c r="D351" s="1334">
        <v>44640</v>
      </c>
      <c r="E351" s="1344">
        <v>871792</v>
      </c>
      <c r="F351" s="1328">
        <f t="shared" si="46"/>
        <v>11</v>
      </c>
      <c r="G351" s="1326"/>
      <c r="H351" s="1329"/>
      <c r="I351" s="1330">
        <f t="shared" si="45"/>
        <v>871792</v>
      </c>
      <c r="J351" s="1330">
        <f t="shared" si="45"/>
        <v>0</v>
      </c>
      <c r="K351" s="1330">
        <f t="shared" si="45"/>
        <v>0</v>
      </c>
      <c r="L351" s="1330">
        <f t="shared" si="45"/>
        <v>0</v>
      </c>
      <c r="M351" s="1330">
        <f t="shared" si="45"/>
        <v>0</v>
      </c>
    </row>
    <row r="352" spans="1:13">
      <c r="A352" s="1323"/>
      <c r="B352" s="1348"/>
      <c r="C352" s="1333">
        <v>2775</v>
      </c>
      <c r="D352" s="1334">
        <v>44646</v>
      </c>
      <c r="E352" s="1344">
        <v>1002906</v>
      </c>
      <c r="F352" s="1328">
        <f t="shared" si="46"/>
        <v>5</v>
      </c>
      <c r="G352" s="1326"/>
      <c r="H352" s="1329"/>
      <c r="I352" s="1330">
        <f t="shared" si="45"/>
        <v>1002906</v>
      </c>
      <c r="J352" s="1330">
        <f t="shared" si="45"/>
        <v>0</v>
      </c>
      <c r="K352" s="1330">
        <f t="shared" si="45"/>
        <v>0</v>
      </c>
      <c r="L352" s="1330">
        <f t="shared" si="45"/>
        <v>0</v>
      </c>
      <c r="M352" s="1330">
        <f t="shared" si="45"/>
        <v>0</v>
      </c>
    </row>
    <row r="353" spans="1:13">
      <c r="A353" s="1323"/>
      <c r="B353" s="1348"/>
      <c r="C353" s="1325"/>
      <c r="D353" s="1353"/>
      <c r="E353" s="1347"/>
      <c r="F353" s="1328"/>
      <c r="G353" s="1326"/>
      <c r="H353" s="1329"/>
      <c r="I353" s="1330"/>
      <c r="J353" s="1330"/>
      <c r="K353" s="1330"/>
      <c r="L353" s="1330"/>
      <c r="M353" s="1330"/>
    </row>
    <row r="354" spans="1:13">
      <c r="A354" s="1338"/>
      <c r="B354" s="1350"/>
      <c r="C354" s="1340" t="s">
        <v>1724</v>
      </c>
      <c r="D354" s="1341"/>
      <c r="E354" s="1342">
        <f>SUM(E347:E353)</f>
        <v>5210589</v>
      </c>
      <c r="F354" s="1349"/>
      <c r="G354" s="1341"/>
      <c r="H354" s="1341"/>
      <c r="I354" s="1342">
        <f t="shared" ref="I354:M354" si="47">SUM(I347:I353)</f>
        <v>5210589</v>
      </c>
      <c r="J354" s="1342">
        <f t="shared" si="47"/>
        <v>0</v>
      </c>
      <c r="K354" s="1342">
        <f t="shared" si="47"/>
        <v>0</v>
      </c>
      <c r="L354" s="1342">
        <f t="shared" si="47"/>
        <v>0</v>
      </c>
      <c r="M354" s="1342">
        <f t="shared" si="47"/>
        <v>0</v>
      </c>
    </row>
    <row r="355" spans="1:13">
      <c r="A355" s="1323"/>
      <c r="B355" s="1348"/>
      <c r="C355" s="1333"/>
      <c r="D355" s="1334"/>
      <c r="E355" s="1344"/>
      <c r="F355" s="1328"/>
      <c r="G355" s="1326"/>
      <c r="H355" s="1329"/>
      <c r="I355" s="1330">
        <f t="shared" ref="I355:M358" si="48">IF(AND($F355&gt;=I$2,$F355&lt;=I$3),$E355,0)</f>
        <v>0</v>
      </c>
      <c r="J355" s="1330">
        <f t="shared" si="48"/>
        <v>0</v>
      </c>
      <c r="K355" s="1330">
        <f t="shared" si="48"/>
        <v>0</v>
      </c>
      <c r="L355" s="1330">
        <f t="shared" si="48"/>
        <v>0</v>
      </c>
      <c r="M355" s="1330">
        <f t="shared" si="48"/>
        <v>0</v>
      </c>
    </row>
    <row r="356" spans="1:13">
      <c r="A356" s="1323">
        <v>21</v>
      </c>
      <c r="B356" s="1332" t="s">
        <v>332</v>
      </c>
      <c r="C356" s="1333">
        <v>2636</v>
      </c>
      <c r="D356" s="1334">
        <v>44628</v>
      </c>
      <c r="E356" s="1344">
        <v>105770</v>
      </c>
      <c r="F356" s="1328">
        <f t="shared" ref="F356:F358" si="49">$D$1-D356</f>
        <v>23</v>
      </c>
      <c r="G356" s="1326"/>
      <c r="H356" s="1329"/>
      <c r="I356" s="1330">
        <f t="shared" si="48"/>
        <v>105770</v>
      </c>
      <c r="J356" s="1330">
        <f t="shared" si="48"/>
        <v>0</v>
      </c>
      <c r="K356" s="1330">
        <f t="shared" si="48"/>
        <v>0</v>
      </c>
      <c r="L356" s="1330">
        <f t="shared" si="48"/>
        <v>0</v>
      </c>
      <c r="M356" s="1330">
        <f t="shared" si="48"/>
        <v>0</v>
      </c>
    </row>
    <row r="357" spans="1:13">
      <c r="A357" s="1323"/>
      <c r="B357" s="1348"/>
      <c r="C357" s="1333">
        <v>2637</v>
      </c>
      <c r="D357" s="1334">
        <v>44628</v>
      </c>
      <c r="E357" s="1344">
        <v>107494</v>
      </c>
      <c r="F357" s="1328">
        <f t="shared" si="49"/>
        <v>23</v>
      </c>
      <c r="G357" s="1326"/>
      <c r="H357" s="1329"/>
      <c r="I357" s="1330">
        <f t="shared" si="48"/>
        <v>107494</v>
      </c>
      <c r="J357" s="1330">
        <f t="shared" si="48"/>
        <v>0</v>
      </c>
      <c r="K357" s="1330">
        <f t="shared" si="48"/>
        <v>0</v>
      </c>
      <c r="L357" s="1330">
        <f t="shared" si="48"/>
        <v>0</v>
      </c>
      <c r="M357" s="1330">
        <f t="shared" si="48"/>
        <v>0</v>
      </c>
    </row>
    <row r="358" spans="1:13">
      <c r="A358" s="1323"/>
      <c r="B358" s="1348"/>
      <c r="C358" s="1333">
        <v>2751</v>
      </c>
      <c r="D358" s="1334">
        <v>44643</v>
      </c>
      <c r="E358" s="1344">
        <v>343822</v>
      </c>
      <c r="F358" s="1328">
        <f t="shared" si="49"/>
        <v>8</v>
      </c>
      <c r="G358" s="1326"/>
      <c r="H358" s="1329"/>
      <c r="I358" s="1330">
        <f t="shared" si="48"/>
        <v>343822</v>
      </c>
      <c r="J358" s="1330">
        <f t="shared" si="48"/>
        <v>0</v>
      </c>
      <c r="K358" s="1330">
        <f t="shared" si="48"/>
        <v>0</v>
      </c>
      <c r="L358" s="1330">
        <f t="shared" si="48"/>
        <v>0</v>
      </c>
      <c r="M358" s="1330">
        <f t="shared" si="48"/>
        <v>0</v>
      </c>
    </row>
    <row r="359" spans="1:13">
      <c r="A359" s="1323"/>
      <c r="B359" s="1348"/>
      <c r="C359" s="1325"/>
      <c r="D359" s="1353"/>
      <c r="E359" s="1347"/>
      <c r="F359" s="1328"/>
      <c r="G359" s="1326"/>
      <c r="H359" s="1329"/>
      <c r="I359" s="1330"/>
      <c r="J359" s="1330"/>
      <c r="K359" s="1330"/>
      <c r="L359" s="1330"/>
      <c r="M359" s="1330"/>
    </row>
    <row r="360" spans="1:13">
      <c r="A360" s="1338"/>
      <c r="B360" s="1350"/>
      <c r="C360" s="1340" t="s">
        <v>1724</v>
      </c>
      <c r="D360" s="1341"/>
      <c r="E360" s="1342">
        <f>SUM(E356:E359)</f>
        <v>557086</v>
      </c>
      <c r="F360" s="1349"/>
      <c r="G360" s="1341"/>
      <c r="H360" s="1341"/>
      <c r="I360" s="1342">
        <f t="shared" ref="I360:M360" si="50">SUM(I356:I359)</f>
        <v>557086</v>
      </c>
      <c r="J360" s="1342">
        <f t="shared" si="50"/>
        <v>0</v>
      </c>
      <c r="K360" s="1342">
        <f t="shared" si="50"/>
        <v>0</v>
      </c>
      <c r="L360" s="1342">
        <f t="shared" si="50"/>
        <v>0</v>
      </c>
      <c r="M360" s="1342">
        <f t="shared" si="50"/>
        <v>0</v>
      </c>
    </row>
    <row r="361" spans="1:13">
      <c r="A361" s="1323"/>
      <c r="C361" s="1360"/>
      <c r="D361" s="1361"/>
      <c r="E361" s="1362"/>
      <c r="F361" s="1363"/>
      <c r="G361" s="1360"/>
      <c r="H361" s="1360"/>
      <c r="I361" s="1362"/>
      <c r="J361" s="1362"/>
      <c r="K361" s="1362"/>
      <c r="L361" s="1362"/>
      <c r="M361" s="1362"/>
    </row>
    <row r="362" spans="1:13">
      <c r="A362" s="1323">
        <v>22</v>
      </c>
      <c r="B362" s="1332" t="s">
        <v>335</v>
      </c>
      <c r="C362" s="1333">
        <v>2603</v>
      </c>
      <c r="D362" s="1334">
        <v>44624</v>
      </c>
      <c r="E362" s="1344">
        <v>396667</v>
      </c>
      <c r="F362" s="1328">
        <f t="shared" ref="F362:F363" si="51">$D$1-D362</f>
        <v>27</v>
      </c>
      <c r="G362" s="1326"/>
      <c r="H362" s="1329"/>
      <c r="I362" s="1330">
        <f t="shared" ref="I362:M363" si="52">IF(AND($F362&gt;=I$2,$F362&lt;=I$3),$E362,0)</f>
        <v>396667</v>
      </c>
      <c r="J362" s="1330">
        <f t="shared" si="52"/>
        <v>0</v>
      </c>
      <c r="K362" s="1330">
        <f t="shared" si="52"/>
        <v>0</v>
      </c>
      <c r="L362" s="1330">
        <f t="shared" si="52"/>
        <v>0</v>
      </c>
      <c r="M362" s="1330">
        <f t="shared" si="52"/>
        <v>0</v>
      </c>
    </row>
    <row r="363" spans="1:13">
      <c r="A363" s="1323"/>
      <c r="B363" s="1348"/>
      <c r="C363" s="1333">
        <v>2755</v>
      </c>
      <c r="D363" s="1334">
        <v>44644</v>
      </c>
      <c r="E363" s="1344">
        <v>609279</v>
      </c>
      <c r="F363" s="1328">
        <f t="shared" si="51"/>
        <v>7</v>
      </c>
      <c r="G363" s="1326"/>
      <c r="H363" s="1329"/>
      <c r="I363" s="1330">
        <f t="shared" si="52"/>
        <v>609279</v>
      </c>
      <c r="J363" s="1330">
        <f t="shared" si="52"/>
        <v>0</v>
      </c>
      <c r="K363" s="1330">
        <f t="shared" si="52"/>
        <v>0</v>
      </c>
      <c r="L363" s="1330">
        <f t="shared" si="52"/>
        <v>0</v>
      </c>
      <c r="M363" s="1330">
        <f t="shared" si="52"/>
        <v>0</v>
      </c>
    </row>
    <row r="364" spans="1:13">
      <c r="A364" s="1323"/>
      <c r="B364" s="1348"/>
      <c r="C364" s="1325"/>
      <c r="D364" s="1353"/>
      <c r="E364" s="1347"/>
      <c r="F364" s="1328"/>
      <c r="G364" s="1326"/>
      <c r="H364" s="1329"/>
      <c r="I364" s="1330"/>
      <c r="J364" s="1330"/>
      <c r="K364" s="1330"/>
      <c r="L364" s="1330"/>
      <c r="M364" s="1330"/>
    </row>
    <row r="365" spans="1:13">
      <c r="A365" s="1338"/>
      <c r="B365" s="1350"/>
      <c r="C365" s="1340" t="s">
        <v>1724</v>
      </c>
      <c r="D365" s="1341"/>
      <c r="E365" s="1342">
        <f>SUM(E362:E364)</f>
        <v>1005946</v>
      </c>
      <c r="F365" s="1349"/>
      <c r="G365" s="1341"/>
      <c r="H365" s="1341"/>
      <c r="I365" s="1342">
        <f>SUM(I362:I364)</f>
        <v>1005946</v>
      </c>
      <c r="J365" s="1342">
        <f>SUM(J362:J364)</f>
        <v>0</v>
      </c>
      <c r="K365" s="1342">
        <f>SUM(K362:K364)</f>
        <v>0</v>
      </c>
      <c r="L365" s="1342">
        <f>SUM(L362:L364)</f>
        <v>0</v>
      </c>
      <c r="M365" s="1342">
        <f>SUM(M362:M364)</f>
        <v>0</v>
      </c>
    </row>
    <row r="366" spans="1:13">
      <c r="A366" s="1323"/>
      <c r="C366" s="1360"/>
      <c r="D366" s="1361"/>
      <c r="E366" s="1362"/>
      <c r="F366" s="1363"/>
      <c r="G366" s="1360"/>
      <c r="H366" s="1360"/>
      <c r="I366" s="1362"/>
      <c r="J366" s="1362"/>
      <c r="K366" s="1362"/>
      <c r="L366" s="1362"/>
      <c r="M366" s="1362"/>
    </row>
    <row r="367" spans="1:13">
      <c r="A367" s="1323">
        <v>23</v>
      </c>
      <c r="B367" s="1332" t="s">
        <v>337</v>
      </c>
      <c r="C367" s="1333">
        <v>2599</v>
      </c>
      <c r="D367" s="1334">
        <v>44624</v>
      </c>
      <c r="E367" s="1344">
        <v>281742</v>
      </c>
      <c r="F367" s="1328">
        <f t="shared" ref="F367:F372" si="53">$D$1-D367</f>
        <v>27</v>
      </c>
      <c r="G367" s="1326"/>
      <c r="H367" s="1329"/>
      <c r="I367" s="1330">
        <f t="shared" ref="I367:M372" si="54">IF(AND($F367&gt;=I$2,$F367&lt;=I$3),$E367,0)</f>
        <v>281742</v>
      </c>
      <c r="J367" s="1330">
        <f t="shared" si="54"/>
        <v>0</v>
      </c>
      <c r="K367" s="1330">
        <f t="shared" si="54"/>
        <v>0</v>
      </c>
      <c r="L367" s="1330">
        <f t="shared" si="54"/>
        <v>0</v>
      </c>
      <c r="M367" s="1330">
        <f t="shared" si="54"/>
        <v>0</v>
      </c>
    </row>
    <row r="368" spans="1:13">
      <c r="A368" s="1323"/>
      <c r="B368" s="1336"/>
      <c r="C368" s="1333">
        <v>2613</v>
      </c>
      <c r="D368" s="1334">
        <v>44625</v>
      </c>
      <c r="E368" s="1344">
        <v>457499</v>
      </c>
      <c r="F368" s="1328">
        <f t="shared" si="53"/>
        <v>26</v>
      </c>
      <c r="G368" s="1326"/>
      <c r="H368" s="1329"/>
      <c r="I368" s="1330">
        <f t="shared" si="54"/>
        <v>457499</v>
      </c>
      <c r="J368" s="1330">
        <f t="shared" si="54"/>
        <v>0</v>
      </c>
      <c r="K368" s="1330">
        <f t="shared" si="54"/>
        <v>0</v>
      </c>
      <c r="L368" s="1330">
        <f t="shared" si="54"/>
        <v>0</v>
      </c>
      <c r="M368" s="1330">
        <f t="shared" si="54"/>
        <v>0</v>
      </c>
    </row>
    <row r="369" spans="1:13">
      <c r="A369" s="1323"/>
      <c r="B369" s="1336"/>
      <c r="C369" s="1333">
        <v>2700</v>
      </c>
      <c r="D369" s="1334">
        <v>44636</v>
      </c>
      <c r="E369" s="1344">
        <v>488523</v>
      </c>
      <c r="F369" s="1328">
        <f t="shared" si="53"/>
        <v>15</v>
      </c>
      <c r="G369" s="1326"/>
      <c r="H369" s="1329"/>
      <c r="I369" s="1330">
        <f t="shared" si="54"/>
        <v>488523</v>
      </c>
      <c r="J369" s="1330">
        <f t="shared" si="54"/>
        <v>0</v>
      </c>
      <c r="K369" s="1330">
        <f t="shared" si="54"/>
        <v>0</v>
      </c>
      <c r="L369" s="1330">
        <f t="shared" si="54"/>
        <v>0</v>
      </c>
      <c r="M369" s="1330">
        <f t="shared" si="54"/>
        <v>0</v>
      </c>
    </row>
    <row r="370" spans="1:13">
      <c r="A370" s="1323"/>
      <c r="B370" s="1336"/>
      <c r="C370" s="1333">
        <v>2707</v>
      </c>
      <c r="D370" s="1334">
        <v>44637</v>
      </c>
      <c r="E370" s="1344">
        <v>300926</v>
      </c>
      <c r="F370" s="1328">
        <f t="shared" si="53"/>
        <v>14</v>
      </c>
      <c r="G370" s="1326"/>
      <c r="H370" s="1329"/>
      <c r="I370" s="1330">
        <f t="shared" si="54"/>
        <v>300926</v>
      </c>
      <c r="J370" s="1330">
        <f t="shared" si="54"/>
        <v>0</v>
      </c>
      <c r="K370" s="1330">
        <f t="shared" si="54"/>
        <v>0</v>
      </c>
      <c r="L370" s="1330">
        <f t="shared" si="54"/>
        <v>0</v>
      </c>
      <c r="M370" s="1330">
        <f t="shared" si="54"/>
        <v>0</v>
      </c>
    </row>
    <row r="371" spans="1:13">
      <c r="A371" s="1323"/>
      <c r="B371" s="1336"/>
      <c r="C371" s="1333">
        <v>2753</v>
      </c>
      <c r="D371" s="1334">
        <v>44644</v>
      </c>
      <c r="E371" s="1344">
        <v>52576</v>
      </c>
      <c r="F371" s="1328">
        <f t="shared" si="53"/>
        <v>7</v>
      </c>
      <c r="G371" s="1326"/>
      <c r="H371" s="1329"/>
      <c r="I371" s="1330">
        <f t="shared" si="54"/>
        <v>52576</v>
      </c>
      <c r="J371" s="1330">
        <f t="shared" si="54"/>
        <v>0</v>
      </c>
      <c r="K371" s="1330">
        <f t="shared" si="54"/>
        <v>0</v>
      </c>
      <c r="L371" s="1330">
        <f t="shared" si="54"/>
        <v>0</v>
      </c>
      <c r="M371" s="1330">
        <f t="shared" si="54"/>
        <v>0</v>
      </c>
    </row>
    <row r="372" spans="1:13">
      <c r="A372" s="1323"/>
      <c r="B372" s="1348"/>
      <c r="C372" s="1351">
        <v>2794</v>
      </c>
      <c r="D372" s="1352">
        <v>44650</v>
      </c>
      <c r="E372" s="1344">
        <v>377222</v>
      </c>
      <c r="F372" s="1328">
        <f t="shared" si="53"/>
        <v>1</v>
      </c>
      <c r="G372" s="1326"/>
      <c r="H372" s="1329"/>
      <c r="I372" s="1330">
        <f t="shared" si="54"/>
        <v>377222</v>
      </c>
      <c r="J372" s="1330">
        <f t="shared" si="54"/>
        <v>0</v>
      </c>
      <c r="K372" s="1330">
        <f t="shared" si="54"/>
        <v>0</v>
      </c>
      <c r="L372" s="1330">
        <f t="shared" si="54"/>
        <v>0</v>
      </c>
      <c r="M372" s="1330">
        <f t="shared" si="54"/>
        <v>0</v>
      </c>
    </row>
    <row r="373" spans="1:13">
      <c r="A373" s="1323"/>
      <c r="B373" s="1348"/>
      <c r="C373" s="1325"/>
      <c r="D373" s="1353"/>
      <c r="E373" s="1347"/>
      <c r="F373" s="1328"/>
      <c r="G373" s="1326"/>
      <c r="H373" s="1329"/>
      <c r="I373" s="1330"/>
      <c r="J373" s="1330"/>
      <c r="K373" s="1330"/>
      <c r="L373" s="1330"/>
      <c r="M373" s="1330"/>
    </row>
    <row r="374" spans="1:13">
      <c r="A374" s="1338"/>
      <c r="B374" s="1350"/>
      <c r="C374" s="1340" t="s">
        <v>1724</v>
      </c>
      <c r="D374" s="1341"/>
      <c r="E374" s="1342">
        <f>SUM(E367:E373)</f>
        <v>1958488</v>
      </c>
      <c r="F374" s="1349"/>
      <c r="G374" s="1341"/>
      <c r="H374" s="1341"/>
      <c r="I374" s="1342">
        <f>SUM(I367:I373)</f>
        <v>1958488</v>
      </c>
      <c r="J374" s="1342">
        <f>SUM(J367:J373)</f>
        <v>0</v>
      </c>
      <c r="K374" s="1342">
        <f>SUM(K367:K373)</f>
        <v>0</v>
      </c>
      <c r="L374" s="1342">
        <f>SUM(L367:L373)</f>
        <v>0</v>
      </c>
      <c r="M374" s="1342">
        <f>SUM(M367:M373)</f>
        <v>0</v>
      </c>
    </row>
    <row r="375" spans="1:13">
      <c r="A375" s="1323"/>
      <c r="C375" s="1360"/>
      <c r="D375" s="1361"/>
      <c r="E375" s="1362"/>
      <c r="F375" s="1363"/>
      <c r="G375" s="1360"/>
      <c r="H375" s="1360"/>
      <c r="I375" s="1362"/>
      <c r="J375" s="1362"/>
      <c r="K375" s="1362"/>
      <c r="L375" s="1362"/>
      <c r="M375" s="1362"/>
    </row>
    <row r="376" spans="1:13">
      <c r="A376" s="1323">
        <v>24</v>
      </c>
      <c r="B376" s="1357" t="s">
        <v>379</v>
      </c>
      <c r="C376" s="1351">
        <v>2788</v>
      </c>
      <c r="D376" s="1352">
        <v>44649</v>
      </c>
      <c r="E376" s="1344">
        <v>365534</v>
      </c>
      <c r="F376" s="1328">
        <f t="shared" ref="F376:F377" si="55">$D$1-D376</f>
        <v>2</v>
      </c>
      <c r="G376" s="1326"/>
      <c r="H376" s="1329"/>
      <c r="I376" s="1330">
        <f t="shared" ref="I376:M377" si="56">IF(AND($F376&gt;=I$2,$F376&lt;=I$3),$E376,0)</f>
        <v>365534</v>
      </c>
      <c r="J376" s="1330">
        <f t="shared" si="56"/>
        <v>0</v>
      </c>
      <c r="K376" s="1330">
        <f t="shared" si="56"/>
        <v>0</v>
      </c>
      <c r="L376" s="1330">
        <f t="shared" si="56"/>
        <v>0</v>
      </c>
      <c r="M376" s="1330">
        <f t="shared" si="56"/>
        <v>0</v>
      </c>
    </row>
    <row r="377" spans="1:13">
      <c r="A377" s="1323"/>
      <c r="B377" s="1348"/>
      <c r="C377" s="1333"/>
      <c r="D377" s="1334"/>
      <c r="E377" s="1344"/>
      <c r="F377" s="1328">
        <f t="shared" si="55"/>
        <v>44651</v>
      </c>
      <c r="G377" s="1326"/>
      <c r="H377" s="1329"/>
      <c r="I377" s="1330">
        <f t="shared" si="56"/>
        <v>0</v>
      </c>
      <c r="J377" s="1330">
        <f t="shared" si="56"/>
        <v>0</v>
      </c>
      <c r="K377" s="1330">
        <f t="shared" si="56"/>
        <v>0</v>
      </c>
      <c r="L377" s="1330">
        <f t="shared" si="56"/>
        <v>0</v>
      </c>
      <c r="M377" s="1330">
        <f t="shared" si="56"/>
        <v>0</v>
      </c>
    </row>
    <row r="378" spans="1:13">
      <c r="A378" s="1323"/>
      <c r="B378" s="1348"/>
      <c r="C378" s="1325"/>
      <c r="D378" s="1353"/>
      <c r="E378" s="1347"/>
      <c r="F378" s="1328"/>
      <c r="G378" s="1326"/>
      <c r="H378" s="1329"/>
      <c r="I378" s="1330"/>
      <c r="J378" s="1330"/>
      <c r="K378" s="1330"/>
      <c r="L378" s="1330"/>
      <c r="M378" s="1330"/>
    </row>
    <row r="379" spans="1:13">
      <c r="A379" s="1338"/>
      <c r="B379" s="1350"/>
      <c r="C379" s="1340" t="s">
        <v>1724</v>
      </c>
      <c r="D379" s="1341"/>
      <c r="E379" s="1342">
        <f>SUM(E376:E378)</f>
        <v>365534</v>
      </c>
      <c r="F379" s="1349"/>
      <c r="G379" s="1341"/>
      <c r="H379" s="1341"/>
      <c r="I379" s="1342">
        <f>SUM(I376:I378)</f>
        <v>365534</v>
      </c>
      <c r="J379" s="1342">
        <f>SUM(J376:J378)</f>
        <v>0</v>
      </c>
      <c r="K379" s="1342">
        <f>SUM(K376:K378)</f>
        <v>0</v>
      </c>
      <c r="L379" s="1342">
        <f>SUM(L376:L378)</f>
        <v>0</v>
      </c>
      <c r="M379" s="1342">
        <f>SUM(M376:M378)</f>
        <v>0</v>
      </c>
    </row>
    <row r="380" spans="1:13">
      <c r="A380" s="1323"/>
      <c r="B380" s="1332"/>
      <c r="C380" s="1333"/>
      <c r="D380" s="1334"/>
      <c r="E380" s="1344"/>
      <c r="F380" s="1328"/>
      <c r="G380" s="1326"/>
      <c r="H380" s="1329"/>
      <c r="I380" s="1330"/>
      <c r="J380" s="1330">
        <f t="shared" ref="I380:M395" si="57">IF(AND($F380&gt;=J$2,$F380&lt;=J$3),$E380,0)</f>
        <v>0</v>
      </c>
      <c r="K380" s="1330">
        <f t="shared" si="57"/>
        <v>0</v>
      </c>
      <c r="L380" s="1330">
        <f t="shared" si="57"/>
        <v>0</v>
      </c>
      <c r="M380" s="1330">
        <f t="shared" si="57"/>
        <v>0</v>
      </c>
    </row>
    <row r="381" spans="1:13">
      <c r="A381" s="1323">
        <v>25</v>
      </c>
      <c r="B381" s="1332" t="s">
        <v>400</v>
      </c>
      <c r="C381" s="1333">
        <v>2363</v>
      </c>
      <c r="D381" s="1334">
        <v>44590</v>
      </c>
      <c r="E381" s="1344">
        <v>234695</v>
      </c>
      <c r="F381" s="1328">
        <f t="shared" ref="F381:F444" si="58">$D$1-D381</f>
        <v>61</v>
      </c>
      <c r="G381" s="1326"/>
      <c r="H381" s="1329"/>
      <c r="I381" s="1330">
        <f t="shared" si="57"/>
        <v>0</v>
      </c>
      <c r="J381" s="1330">
        <f t="shared" si="57"/>
        <v>0</v>
      </c>
      <c r="K381" s="1330">
        <f t="shared" si="57"/>
        <v>234695</v>
      </c>
      <c r="L381" s="1330">
        <f t="shared" si="57"/>
        <v>0</v>
      </c>
      <c r="M381" s="1330">
        <f t="shared" si="57"/>
        <v>0</v>
      </c>
    </row>
    <row r="382" spans="1:13">
      <c r="A382" s="1323"/>
      <c r="B382" s="1336"/>
      <c r="C382" s="1333">
        <v>2379</v>
      </c>
      <c r="D382" s="1334">
        <v>44593</v>
      </c>
      <c r="E382" s="1344">
        <v>736412</v>
      </c>
      <c r="F382" s="1328">
        <f t="shared" si="58"/>
        <v>58</v>
      </c>
      <c r="G382" s="1326"/>
      <c r="H382" s="1329"/>
      <c r="I382" s="1330">
        <f t="shared" si="57"/>
        <v>0</v>
      </c>
      <c r="J382" s="1330">
        <f t="shared" si="57"/>
        <v>736412</v>
      </c>
      <c r="K382" s="1330">
        <f t="shared" si="57"/>
        <v>0</v>
      </c>
      <c r="L382" s="1330">
        <f t="shared" si="57"/>
        <v>0</v>
      </c>
      <c r="M382" s="1330">
        <f t="shared" si="57"/>
        <v>0</v>
      </c>
    </row>
    <row r="383" spans="1:13">
      <c r="A383" s="1323"/>
      <c r="B383" s="1336"/>
      <c r="C383" s="1333">
        <v>2388</v>
      </c>
      <c r="D383" s="1334">
        <v>44596</v>
      </c>
      <c r="E383" s="1344">
        <v>630376</v>
      </c>
      <c r="F383" s="1328">
        <f t="shared" si="58"/>
        <v>55</v>
      </c>
      <c r="G383" s="1326"/>
      <c r="H383" s="1329"/>
      <c r="I383" s="1330">
        <f t="shared" si="57"/>
        <v>0</v>
      </c>
      <c r="J383" s="1330">
        <f t="shared" si="57"/>
        <v>630376</v>
      </c>
      <c r="K383" s="1330">
        <f t="shared" si="57"/>
        <v>0</v>
      </c>
      <c r="L383" s="1330">
        <f t="shared" si="57"/>
        <v>0</v>
      </c>
      <c r="M383" s="1330">
        <f t="shared" si="57"/>
        <v>0</v>
      </c>
    </row>
    <row r="384" spans="1:13">
      <c r="A384" s="1323"/>
      <c r="B384" s="1336"/>
      <c r="C384" s="1333">
        <v>2396</v>
      </c>
      <c r="D384" s="1334">
        <v>44597</v>
      </c>
      <c r="E384" s="1344">
        <v>715253</v>
      </c>
      <c r="F384" s="1328">
        <f t="shared" si="58"/>
        <v>54</v>
      </c>
      <c r="G384" s="1326"/>
      <c r="H384" s="1329"/>
      <c r="I384" s="1330">
        <f t="shared" si="57"/>
        <v>0</v>
      </c>
      <c r="J384" s="1330">
        <f t="shared" si="57"/>
        <v>715253</v>
      </c>
      <c r="K384" s="1330">
        <f t="shared" si="57"/>
        <v>0</v>
      </c>
      <c r="L384" s="1330">
        <f t="shared" si="57"/>
        <v>0</v>
      </c>
      <c r="M384" s="1330">
        <f t="shared" si="57"/>
        <v>0</v>
      </c>
    </row>
    <row r="385" spans="1:13">
      <c r="A385" s="1323"/>
      <c r="B385" s="1348"/>
      <c r="C385" s="1333">
        <v>2397</v>
      </c>
      <c r="D385" s="1334">
        <v>44597</v>
      </c>
      <c r="E385" s="1344">
        <v>545192</v>
      </c>
      <c r="F385" s="1328">
        <f t="shared" si="58"/>
        <v>54</v>
      </c>
      <c r="G385" s="1326"/>
      <c r="H385" s="1329"/>
      <c r="I385" s="1330">
        <f t="shared" si="57"/>
        <v>0</v>
      </c>
      <c r="J385" s="1330">
        <f t="shared" si="57"/>
        <v>545192</v>
      </c>
      <c r="K385" s="1330">
        <f t="shared" si="57"/>
        <v>0</v>
      </c>
      <c r="L385" s="1330">
        <f t="shared" si="57"/>
        <v>0</v>
      </c>
      <c r="M385" s="1330">
        <f t="shared" si="57"/>
        <v>0</v>
      </c>
    </row>
    <row r="386" spans="1:13">
      <c r="A386" s="1323"/>
      <c r="B386" s="1348"/>
      <c r="C386" s="1333">
        <v>2432</v>
      </c>
      <c r="D386" s="1334">
        <v>44602</v>
      </c>
      <c r="E386" s="1344">
        <v>699294</v>
      </c>
      <c r="F386" s="1328">
        <f t="shared" si="58"/>
        <v>49</v>
      </c>
      <c r="G386" s="1326"/>
      <c r="H386" s="1329"/>
      <c r="I386" s="1330">
        <f t="shared" si="57"/>
        <v>0</v>
      </c>
      <c r="J386" s="1330">
        <f t="shared" si="57"/>
        <v>699294</v>
      </c>
      <c r="K386" s="1330">
        <f t="shared" si="57"/>
        <v>0</v>
      </c>
      <c r="L386" s="1330">
        <f t="shared" si="57"/>
        <v>0</v>
      </c>
      <c r="M386" s="1330">
        <f t="shared" si="57"/>
        <v>0</v>
      </c>
    </row>
    <row r="387" spans="1:13">
      <c r="A387" s="1323"/>
      <c r="B387" s="1348"/>
      <c r="C387" s="1333">
        <v>2439</v>
      </c>
      <c r="D387" s="1334">
        <v>44603</v>
      </c>
      <c r="E387" s="1344">
        <v>298923</v>
      </c>
      <c r="F387" s="1328">
        <f t="shared" si="58"/>
        <v>48</v>
      </c>
      <c r="G387" s="1326"/>
      <c r="H387" s="1329"/>
      <c r="I387" s="1330">
        <f t="shared" si="57"/>
        <v>0</v>
      </c>
      <c r="J387" s="1330">
        <f t="shared" si="57"/>
        <v>298923</v>
      </c>
      <c r="K387" s="1330">
        <f t="shared" si="57"/>
        <v>0</v>
      </c>
      <c r="L387" s="1330">
        <f t="shared" si="57"/>
        <v>0</v>
      </c>
      <c r="M387" s="1330">
        <f t="shared" si="57"/>
        <v>0</v>
      </c>
    </row>
    <row r="388" spans="1:13">
      <c r="A388" s="1323"/>
      <c r="B388" s="1348"/>
      <c r="C388" s="1333">
        <v>2448</v>
      </c>
      <c r="D388" s="1334">
        <v>44604</v>
      </c>
      <c r="E388" s="1344">
        <v>699830</v>
      </c>
      <c r="F388" s="1328">
        <f t="shared" si="58"/>
        <v>47</v>
      </c>
      <c r="G388" s="1326"/>
      <c r="H388" s="1329"/>
      <c r="I388" s="1330">
        <f t="shared" si="57"/>
        <v>0</v>
      </c>
      <c r="J388" s="1330">
        <f t="shared" si="57"/>
        <v>699830</v>
      </c>
      <c r="K388" s="1330">
        <f t="shared" si="57"/>
        <v>0</v>
      </c>
      <c r="L388" s="1330">
        <f t="shared" si="57"/>
        <v>0</v>
      </c>
      <c r="M388" s="1330">
        <f t="shared" si="57"/>
        <v>0</v>
      </c>
    </row>
    <row r="389" spans="1:13">
      <c r="A389" s="1323"/>
      <c r="B389" s="1348"/>
      <c r="C389" s="1333">
        <v>2463</v>
      </c>
      <c r="D389" s="1334">
        <v>44606</v>
      </c>
      <c r="E389" s="1344">
        <v>77473</v>
      </c>
      <c r="F389" s="1328">
        <f t="shared" si="58"/>
        <v>45</v>
      </c>
      <c r="G389" s="1326"/>
      <c r="H389" s="1329"/>
      <c r="I389" s="1330">
        <f t="shared" si="57"/>
        <v>77473</v>
      </c>
      <c r="J389" s="1330">
        <f t="shared" si="57"/>
        <v>0</v>
      </c>
      <c r="K389" s="1330">
        <f t="shared" si="57"/>
        <v>0</v>
      </c>
      <c r="L389" s="1330">
        <f t="shared" si="57"/>
        <v>0</v>
      </c>
      <c r="M389" s="1330">
        <f t="shared" si="57"/>
        <v>0</v>
      </c>
    </row>
    <row r="390" spans="1:13">
      <c r="A390" s="1323"/>
      <c r="B390" s="1348"/>
      <c r="C390" s="1333">
        <v>2470</v>
      </c>
      <c r="D390" s="1334">
        <v>44607</v>
      </c>
      <c r="E390" s="1344">
        <v>738139</v>
      </c>
      <c r="F390" s="1328">
        <f t="shared" si="58"/>
        <v>44</v>
      </c>
      <c r="G390" s="1326"/>
      <c r="H390" s="1329"/>
      <c r="I390" s="1330">
        <f t="shared" si="57"/>
        <v>738139</v>
      </c>
      <c r="J390" s="1330">
        <f t="shared" si="57"/>
        <v>0</v>
      </c>
      <c r="K390" s="1330">
        <f t="shared" si="57"/>
        <v>0</v>
      </c>
      <c r="L390" s="1330">
        <f t="shared" si="57"/>
        <v>0</v>
      </c>
      <c r="M390" s="1330">
        <f t="shared" si="57"/>
        <v>0</v>
      </c>
    </row>
    <row r="391" spans="1:13">
      <c r="A391" s="1323"/>
      <c r="B391" s="1348"/>
      <c r="C391" s="1333">
        <v>2472</v>
      </c>
      <c r="D391" s="1334">
        <v>44607</v>
      </c>
      <c r="E391" s="1344">
        <v>157099</v>
      </c>
      <c r="F391" s="1328">
        <f t="shared" si="58"/>
        <v>44</v>
      </c>
      <c r="G391" s="1326"/>
      <c r="H391" s="1329"/>
      <c r="I391" s="1330">
        <f t="shared" si="57"/>
        <v>157099</v>
      </c>
      <c r="J391" s="1330">
        <f t="shared" si="57"/>
        <v>0</v>
      </c>
      <c r="K391" s="1330">
        <f t="shared" si="57"/>
        <v>0</v>
      </c>
      <c r="L391" s="1330">
        <f t="shared" si="57"/>
        <v>0</v>
      </c>
      <c r="M391" s="1330">
        <f t="shared" si="57"/>
        <v>0</v>
      </c>
    </row>
    <row r="392" spans="1:13">
      <c r="A392" s="1323"/>
      <c r="B392" s="1348"/>
      <c r="C392" s="1333">
        <v>2512</v>
      </c>
      <c r="D392" s="1334">
        <v>44612</v>
      </c>
      <c r="E392" s="1344">
        <v>785682</v>
      </c>
      <c r="F392" s="1328">
        <f t="shared" si="58"/>
        <v>39</v>
      </c>
      <c r="G392" s="1326"/>
      <c r="H392" s="1329"/>
      <c r="I392" s="1330">
        <f t="shared" si="57"/>
        <v>785682</v>
      </c>
      <c r="J392" s="1330">
        <f t="shared" si="57"/>
        <v>0</v>
      </c>
      <c r="K392" s="1330">
        <f t="shared" si="57"/>
        <v>0</v>
      </c>
      <c r="L392" s="1330">
        <f t="shared" si="57"/>
        <v>0</v>
      </c>
      <c r="M392" s="1330">
        <f t="shared" si="57"/>
        <v>0</v>
      </c>
    </row>
    <row r="393" spans="1:13">
      <c r="A393" s="1323"/>
      <c r="B393" s="1348"/>
      <c r="C393" s="1333">
        <v>2548</v>
      </c>
      <c r="D393" s="1334">
        <v>44617</v>
      </c>
      <c r="E393" s="1344">
        <v>459346</v>
      </c>
      <c r="F393" s="1328">
        <f t="shared" si="58"/>
        <v>34</v>
      </c>
      <c r="G393" s="1326"/>
      <c r="H393" s="1329"/>
      <c r="I393" s="1330">
        <f t="shared" si="57"/>
        <v>459346</v>
      </c>
      <c r="J393" s="1330">
        <f t="shared" si="57"/>
        <v>0</v>
      </c>
      <c r="K393" s="1330">
        <f t="shared" si="57"/>
        <v>0</v>
      </c>
      <c r="L393" s="1330">
        <f t="shared" si="57"/>
        <v>0</v>
      </c>
      <c r="M393" s="1330">
        <f t="shared" si="57"/>
        <v>0</v>
      </c>
    </row>
    <row r="394" spans="1:13">
      <c r="A394" s="1323"/>
      <c r="B394" s="1348"/>
      <c r="C394" s="1333">
        <v>2549</v>
      </c>
      <c r="D394" s="1334">
        <v>44617</v>
      </c>
      <c r="E394" s="1344">
        <v>464862</v>
      </c>
      <c r="F394" s="1328">
        <f t="shared" si="58"/>
        <v>34</v>
      </c>
      <c r="G394" s="1326"/>
      <c r="H394" s="1329"/>
      <c r="I394" s="1330">
        <f t="shared" si="57"/>
        <v>464862</v>
      </c>
      <c r="J394" s="1330">
        <f t="shared" si="57"/>
        <v>0</v>
      </c>
      <c r="K394" s="1330">
        <f t="shared" si="57"/>
        <v>0</v>
      </c>
      <c r="L394" s="1330">
        <f t="shared" si="57"/>
        <v>0</v>
      </c>
      <c r="M394" s="1330">
        <f t="shared" si="57"/>
        <v>0</v>
      </c>
    </row>
    <row r="395" spans="1:13">
      <c r="A395" s="1323"/>
      <c r="B395" s="1348"/>
      <c r="C395" s="1333">
        <v>2551</v>
      </c>
      <c r="D395" s="1334">
        <v>44617</v>
      </c>
      <c r="E395" s="1344">
        <v>326195</v>
      </c>
      <c r="F395" s="1328">
        <f t="shared" si="58"/>
        <v>34</v>
      </c>
      <c r="G395" s="1326"/>
      <c r="H395" s="1329"/>
      <c r="I395" s="1330">
        <f t="shared" si="57"/>
        <v>326195</v>
      </c>
      <c r="J395" s="1330">
        <f t="shared" si="57"/>
        <v>0</v>
      </c>
      <c r="K395" s="1330">
        <f t="shared" si="57"/>
        <v>0</v>
      </c>
      <c r="L395" s="1330">
        <f t="shared" si="57"/>
        <v>0</v>
      </c>
      <c r="M395" s="1330">
        <f t="shared" si="57"/>
        <v>0</v>
      </c>
    </row>
    <row r="396" spans="1:13">
      <c r="A396" s="1323"/>
      <c r="B396" s="1348"/>
      <c r="C396" s="1333">
        <v>2563</v>
      </c>
      <c r="D396" s="1334">
        <v>44618</v>
      </c>
      <c r="E396" s="1344">
        <v>393366</v>
      </c>
      <c r="F396" s="1328">
        <f t="shared" si="58"/>
        <v>33</v>
      </c>
      <c r="G396" s="1326"/>
      <c r="H396" s="1329"/>
      <c r="I396" s="1330">
        <f t="shared" ref="I396:M446" si="59">IF(AND($F396&gt;=I$2,$F396&lt;=I$3),$E396,0)</f>
        <v>393366</v>
      </c>
      <c r="J396" s="1330">
        <f t="shared" si="59"/>
        <v>0</v>
      </c>
      <c r="K396" s="1330">
        <f t="shared" si="59"/>
        <v>0</v>
      </c>
      <c r="L396" s="1330">
        <f t="shared" si="59"/>
        <v>0</v>
      </c>
      <c r="M396" s="1330">
        <f t="shared" si="59"/>
        <v>0</v>
      </c>
    </row>
    <row r="397" spans="1:13">
      <c r="A397" s="1323"/>
      <c r="B397" s="1348"/>
      <c r="C397" s="1333">
        <v>2564</v>
      </c>
      <c r="D397" s="1334">
        <v>44618</v>
      </c>
      <c r="E397" s="1344">
        <v>118048</v>
      </c>
      <c r="F397" s="1328">
        <f t="shared" si="58"/>
        <v>33</v>
      </c>
      <c r="G397" s="1326"/>
      <c r="H397" s="1329"/>
      <c r="I397" s="1330">
        <f t="shared" si="59"/>
        <v>118048</v>
      </c>
      <c r="J397" s="1330">
        <f t="shared" si="59"/>
        <v>0</v>
      </c>
      <c r="K397" s="1330">
        <f t="shared" si="59"/>
        <v>0</v>
      </c>
      <c r="L397" s="1330">
        <f t="shared" si="59"/>
        <v>0</v>
      </c>
      <c r="M397" s="1330">
        <f t="shared" si="59"/>
        <v>0</v>
      </c>
    </row>
    <row r="398" spans="1:13">
      <c r="A398" s="1323"/>
      <c r="B398" s="1348"/>
      <c r="C398" s="1333">
        <v>2566</v>
      </c>
      <c r="D398" s="1334">
        <v>44619</v>
      </c>
      <c r="E398" s="1344">
        <v>969916</v>
      </c>
      <c r="F398" s="1328">
        <f t="shared" si="58"/>
        <v>32</v>
      </c>
      <c r="G398" s="1326"/>
      <c r="H398" s="1329"/>
      <c r="I398" s="1330">
        <f t="shared" si="59"/>
        <v>969916</v>
      </c>
      <c r="J398" s="1330">
        <f t="shared" si="59"/>
        <v>0</v>
      </c>
      <c r="K398" s="1330">
        <f t="shared" si="59"/>
        <v>0</v>
      </c>
      <c r="L398" s="1330">
        <f t="shared" si="59"/>
        <v>0</v>
      </c>
      <c r="M398" s="1330">
        <f t="shared" si="59"/>
        <v>0</v>
      </c>
    </row>
    <row r="399" spans="1:13">
      <c r="A399" s="1323"/>
      <c r="B399" s="1348"/>
      <c r="C399" s="1333">
        <v>2568</v>
      </c>
      <c r="D399" s="1334">
        <v>44619</v>
      </c>
      <c r="E399" s="1344">
        <v>1014247</v>
      </c>
      <c r="F399" s="1328">
        <f t="shared" si="58"/>
        <v>32</v>
      </c>
      <c r="G399" s="1326"/>
      <c r="H399" s="1329"/>
      <c r="I399" s="1330">
        <f t="shared" si="59"/>
        <v>1014247</v>
      </c>
      <c r="J399" s="1330">
        <f t="shared" si="59"/>
        <v>0</v>
      </c>
      <c r="K399" s="1330">
        <f t="shared" si="59"/>
        <v>0</v>
      </c>
      <c r="L399" s="1330">
        <f t="shared" si="59"/>
        <v>0</v>
      </c>
      <c r="M399" s="1330">
        <f t="shared" si="59"/>
        <v>0</v>
      </c>
    </row>
    <row r="400" spans="1:13">
      <c r="A400" s="1323"/>
      <c r="B400" s="1348"/>
      <c r="C400" s="1333">
        <v>2571</v>
      </c>
      <c r="D400" s="1334">
        <v>44620</v>
      </c>
      <c r="E400" s="1344">
        <v>79480</v>
      </c>
      <c r="F400" s="1328">
        <f t="shared" si="58"/>
        <v>31</v>
      </c>
      <c r="G400" s="1326"/>
      <c r="H400" s="1329"/>
      <c r="I400" s="1330">
        <f t="shared" si="59"/>
        <v>79480</v>
      </c>
      <c r="J400" s="1330">
        <f t="shared" si="59"/>
        <v>0</v>
      </c>
      <c r="K400" s="1330">
        <f t="shared" si="59"/>
        <v>0</v>
      </c>
      <c r="L400" s="1330">
        <f t="shared" si="59"/>
        <v>0</v>
      </c>
      <c r="M400" s="1330">
        <f t="shared" si="59"/>
        <v>0</v>
      </c>
    </row>
    <row r="401" spans="1:13">
      <c r="A401" s="1323"/>
      <c r="B401" s="1348"/>
      <c r="C401" s="1333">
        <v>2575</v>
      </c>
      <c r="D401" s="1334">
        <v>44620</v>
      </c>
      <c r="E401" s="1344">
        <v>816541</v>
      </c>
      <c r="F401" s="1328">
        <f t="shared" si="58"/>
        <v>31</v>
      </c>
      <c r="G401" s="1326"/>
      <c r="H401" s="1329"/>
      <c r="I401" s="1330">
        <f t="shared" si="59"/>
        <v>816541</v>
      </c>
      <c r="J401" s="1330">
        <f t="shared" si="59"/>
        <v>0</v>
      </c>
      <c r="K401" s="1330">
        <f t="shared" si="59"/>
        <v>0</v>
      </c>
      <c r="L401" s="1330">
        <f t="shared" si="59"/>
        <v>0</v>
      </c>
      <c r="M401" s="1330">
        <f t="shared" si="59"/>
        <v>0</v>
      </c>
    </row>
    <row r="402" spans="1:13">
      <c r="A402" s="1323"/>
      <c r="B402" s="1348"/>
      <c r="C402" s="1333">
        <v>2614</v>
      </c>
      <c r="D402" s="1334">
        <v>44625</v>
      </c>
      <c r="E402" s="1344">
        <v>704283</v>
      </c>
      <c r="F402" s="1328">
        <f t="shared" si="58"/>
        <v>26</v>
      </c>
      <c r="G402" s="1326"/>
      <c r="H402" s="1329"/>
      <c r="I402" s="1330">
        <f t="shared" si="59"/>
        <v>704283</v>
      </c>
      <c r="J402" s="1330">
        <f t="shared" si="59"/>
        <v>0</v>
      </c>
      <c r="K402" s="1330">
        <f t="shared" si="59"/>
        <v>0</v>
      </c>
      <c r="L402" s="1330">
        <f t="shared" si="59"/>
        <v>0</v>
      </c>
      <c r="M402" s="1330">
        <f t="shared" si="59"/>
        <v>0</v>
      </c>
    </row>
    <row r="403" spans="1:13">
      <c r="A403" s="1323"/>
      <c r="B403" s="1348"/>
      <c r="C403" s="1333">
        <v>2616</v>
      </c>
      <c r="D403" s="1334">
        <v>44625</v>
      </c>
      <c r="E403" s="1344">
        <v>875404</v>
      </c>
      <c r="F403" s="1328">
        <f t="shared" si="58"/>
        <v>26</v>
      </c>
      <c r="G403" s="1326"/>
      <c r="H403" s="1329"/>
      <c r="I403" s="1330">
        <f t="shared" si="59"/>
        <v>875404</v>
      </c>
      <c r="J403" s="1330">
        <f t="shared" si="59"/>
        <v>0</v>
      </c>
      <c r="K403" s="1330">
        <f t="shared" si="59"/>
        <v>0</v>
      </c>
      <c r="L403" s="1330">
        <f t="shared" si="59"/>
        <v>0</v>
      </c>
      <c r="M403" s="1330">
        <f t="shared" si="59"/>
        <v>0</v>
      </c>
    </row>
    <row r="404" spans="1:13">
      <c r="A404" s="1323"/>
      <c r="B404" s="1348"/>
      <c r="C404" s="1333">
        <v>2621</v>
      </c>
      <c r="D404" s="1334">
        <v>44626</v>
      </c>
      <c r="E404" s="1344">
        <v>742393</v>
      </c>
      <c r="F404" s="1328">
        <f t="shared" si="58"/>
        <v>25</v>
      </c>
      <c r="G404" s="1326"/>
      <c r="H404" s="1329"/>
      <c r="I404" s="1330">
        <f t="shared" si="59"/>
        <v>742393</v>
      </c>
      <c r="J404" s="1330">
        <f t="shared" si="59"/>
        <v>0</v>
      </c>
      <c r="K404" s="1330">
        <f t="shared" si="59"/>
        <v>0</v>
      </c>
      <c r="L404" s="1330">
        <f t="shared" si="59"/>
        <v>0</v>
      </c>
      <c r="M404" s="1330">
        <f t="shared" si="59"/>
        <v>0</v>
      </c>
    </row>
    <row r="405" spans="1:13">
      <c r="A405" s="1323"/>
      <c r="B405" s="1348"/>
      <c r="C405" s="1333">
        <v>2627</v>
      </c>
      <c r="D405" s="1334">
        <v>44627</v>
      </c>
      <c r="E405" s="1344">
        <v>735386</v>
      </c>
      <c r="F405" s="1328">
        <f t="shared" si="58"/>
        <v>24</v>
      </c>
      <c r="G405" s="1326"/>
      <c r="H405" s="1329"/>
      <c r="I405" s="1330">
        <f t="shared" si="59"/>
        <v>735386</v>
      </c>
      <c r="J405" s="1330">
        <f t="shared" si="59"/>
        <v>0</v>
      </c>
      <c r="K405" s="1330">
        <f t="shared" si="59"/>
        <v>0</v>
      </c>
      <c r="L405" s="1330">
        <f t="shared" si="59"/>
        <v>0</v>
      </c>
      <c r="M405" s="1330">
        <f t="shared" si="59"/>
        <v>0</v>
      </c>
    </row>
    <row r="406" spans="1:13">
      <c r="A406" s="1323"/>
      <c r="B406" s="1348"/>
      <c r="C406" s="1333">
        <v>2629</v>
      </c>
      <c r="D406" s="1334">
        <v>44627</v>
      </c>
      <c r="E406" s="1344">
        <v>714499</v>
      </c>
      <c r="F406" s="1328">
        <f t="shared" si="58"/>
        <v>24</v>
      </c>
      <c r="G406" s="1326"/>
      <c r="H406" s="1329"/>
      <c r="I406" s="1330">
        <f t="shared" si="59"/>
        <v>714499</v>
      </c>
      <c r="J406" s="1330">
        <f t="shared" si="59"/>
        <v>0</v>
      </c>
      <c r="K406" s="1330">
        <f t="shared" si="59"/>
        <v>0</v>
      </c>
      <c r="L406" s="1330">
        <f t="shared" si="59"/>
        <v>0</v>
      </c>
      <c r="M406" s="1330">
        <f t="shared" si="59"/>
        <v>0</v>
      </c>
    </row>
    <row r="407" spans="1:13">
      <c r="A407" s="1323"/>
      <c r="B407" s="1348"/>
      <c r="C407" s="1333">
        <v>2631</v>
      </c>
      <c r="D407" s="1334">
        <v>44627</v>
      </c>
      <c r="E407" s="1344">
        <v>725999</v>
      </c>
      <c r="F407" s="1328">
        <f t="shared" si="58"/>
        <v>24</v>
      </c>
      <c r="G407" s="1326"/>
      <c r="H407" s="1329"/>
      <c r="I407" s="1330">
        <f t="shared" si="59"/>
        <v>725999</v>
      </c>
      <c r="J407" s="1330">
        <f t="shared" si="59"/>
        <v>0</v>
      </c>
      <c r="K407" s="1330">
        <f t="shared" si="59"/>
        <v>0</v>
      </c>
      <c r="L407" s="1330">
        <f t="shared" si="59"/>
        <v>0</v>
      </c>
      <c r="M407" s="1330">
        <f t="shared" si="59"/>
        <v>0</v>
      </c>
    </row>
    <row r="408" spans="1:13">
      <c r="A408" s="1323"/>
      <c r="B408" s="1348"/>
      <c r="C408" s="1333">
        <v>2634</v>
      </c>
      <c r="D408" s="1334">
        <v>44628</v>
      </c>
      <c r="E408" s="1344">
        <v>743671</v>
      </c>
      <c r="F408" s="1328">
        <f t="shared" si="58"/>
        <v>23</v>
      </c>
      <c r="G408" s="1326"/>
      <c r="H408" s="1329"/>
      <c r="I408" s="1330">
        <f t="shared" si="59"/>
        <v>743671</v>
      </c>
      <c r="J408" s="1330">
        <f t="shared" si="59"/>
        <v>0</v>
      </c>
      <c r="K408" s="1330">
        <f t="shared" si="59"/>
        <v>0</v>
      </c>
      <c r="L408" s="1330">
        <f t="shared" si="59"/>
        <v>0</v>
      </c>
      <c r="M408" s="1330">
        <f t="shared" si="59"/>
        <v>0</v>
      </c>
    </row>
    <row r="409" spans="1:13">
      <c r="A409" s="1323"/>
      <c r="B409" s="1348"/>
      <c r="C409" s="1333">
        <v>2635</v>
      </c>
      <c r="D409" s="1334">
        <v>44628</v>
      </c>
      <c r="E409" s="1344">
        <v>752354</v>
      </c>
      <c r="F409" s="1328">
        <f t="shared" si="58"/>
        <v>23</v>
      </c>
      <c r="G409" s="1326"/>
      <c r="H409" s="1329"/>
      <c r="I409" s="1330">
        <f t="shared" si="59"/>
        <v>752354</v>
      </c>
      <c r="J409" s="1330">
        <f t="shared" si="59"/>
        <v>0</v>
      </c>
      <c r="K409" s="1330">
        <f t="shared" si="59"/>
        <v>0</v>
      </c>
      <c r="L409" s="1330">
        <f t="shared" si="59"/>
        <v>0</v>
      </c>
      <c r="M409" s="1330">
        <f t="shared" si="59"/>
        <v>0</v>
      </c>
    </row>
    <row r="410" spans="1:13">
      <c r="A410" s="1323"/>
      <c r="B410" s="1348"/>
      <c r="C410" s="1333">
        <v>2638</v>
      </c>
      <c r="D410" s="1334">
        <v>44628</v>
      </c>
      <c r="E410" s="1344">
        <v>807769</v>
      </c>
      <c r="F410" s="1328">
        <f t="shared" si="58"/>
        <v>23</v>
      </c>
      <c r="G410" s="1326"/>
      <c r="H410" s="1329"/>
      <c r="I410" s="1330">
        <f t="shared" si="59"/>
        <v>807769</v>
      </c>
      <c r="J410" s="1330">
        <f t="shared" si="59"/>
        <v>0</v>
      </c>
      <c r="K410" s="1330">
        <f t="shared" si="59"/>
        <v>0</v>
      </c>
      <c r="L410" s="1330">
        <f t="shared" si="59"/>
        <v>0</v>
      </c>
      <c r="M410" s="1330">
        <f t="shared" si="59"/>
        <v>0</v>
      </c>
    </row>
    <row r="411" spans="1:13">
      <c r="A411" s="1323"/>
      <c r="B411" s="1348"/>
      <c r="C411" s="1333">
        <v>2642</v>
      </c>
      <c r="D411" s="1334">
        <v>44629</v>
      </c>
      <c r="E411" s="1344">
        <v>85808</v>
      </c>
      <c r="F411" s="1328">
        <f t="shared" si="58"/>
        <v>22</v>
      </c>
      <c r="G411" s="1326"/>
      <c r="H411" s="1329"/>
      <c r="I411" s="1330">
        <f t="shared" si="59"/>
        <v>85808</v>
      </c>
      <c r="J411" s="1330">
        <f t="shared" si="59"/>
        <v>0</v>
      </c>
      <c r="K411" s="1330">
        <f t="shared" si="59"/>
        <v>0</v>
      </c>
      <c r="L411" s="1330">
        <f t="shared" si="59"/>
        <v>0</v>
      </c>
      <c r="M411" s="1330">
        <f t="shared" si="59"/>
        <v>0</v>
      </c>
    </row>
    <row r="412" spans="1:13">
      <c r="A412" s="1323"/>
      <c r="B412" s="1348"/>
      <c r="C412" s="1333">
        <v>2645</v>
      </c>
      <c r="D412" s="1334">
        <v>44629</v>
      </c>
      <c r="E412" s="1344">
        <v>713746</v>
      </c>
      <c r="F412" s="1328">
        <f t="shared" si="58"/>
        <v>22</v>
      </c>
      <c r="G412" s="1326"/>
      <c r="H412" s="1329"/>
      <c r="I412" s="1330">
        <f t="shared" si="59"/>
        <v>713746</v>
      </c>
      <c r="J412" s="1330">
        <f t="shared" si="59"/>
        <v>0</v>
      </c>
      <c r="K412" s="1330">
        <f t="shared" si="59"/>
        <v>0</v>
      </c>
      <c r="L412" s="1330">
        <f t="shared" si="59"/>
        <v>0</v>
      </c>
      <c r="M412" s="1330">
        <f t="shared" si="59"/>
        <v>0</v>
      </c>
    </row>
    <row r="413" spans="1:13">
      <c r="A413" s="1323"/>
      <c r="B413" s="1348"/>
      <c r="C413" s="1333">
        <v>2648</v>
      </c>
      <c r="D413" s="1334">
        <v>44629</v>
      </c>
      <c r="E413" s="1344">
        <v>876473</v>
      </c>
      <c r="F413" s="1328">
        <f t="shared" si="58"/>
        <v>22</v>
      </c>
      <c r="G413" s="1326"/>
      <c r="H413" s="1329"/>
      <c r="I413" s="1330">
        <f t="shared" si="59"/>
        <v>876473</v>
      </c>
      <c r="J413" s="1330">
        <f t="shared" si="59"/>
        <v>0</v>
      </c>
      <c r="K413" s="1330">
        <f t="shared" si="59"/>
        <v>0</v>
      </c>
      <c r="L413" s="1330">
        <f t="shared" si="59"/>
        <v>0</v>
      </c>
      <c r="M413" s="1330">
        <f t="shared" si="59"/>
        <v>0</v>
      </c>
    </row>
    <row r="414" spans="1:13">
      <c r="A414" s="1323"/>
      <c r="B414" s="1348"/>
      <c r="C414" s="1333">
        <v>2653</v>
      </c>
      <c r="D414" s="1334">
        <v>44630</v>
      </c>
      <c r="E414" s="1344">
        <v>279541</v>
      </c>
      <c r="F414" s="1328">
        <f t="shared" si="58"/>
        <v>21</v>
      </c>
      <c r="G414" s="1326"/>
      <c r="H414" s="1329"/>
      <c r="I414" s="1330">
        <f t="shared" si="59"/>
        <v>279541</v>
      </c>
      <c r="J414" s="1330">
        <f t="shared" si="59"/>
        <v>0</v>
      </c>
      <c r="K414" s="1330">
        <f t="shared" si="59"/>
        <v>0</v>
      </c>
      <c r="L414" s="1330">
        <f t="shared" si="59"/>
        <v>0</v>
      </c>
      <c r="M414" s="1330">
        <f t="shared" si="59"/>
        <v>0</v>
      </c>
    </row>
    <row r="415" spans="1:13">
      <c r="A415" s="1323"/>
      <c r="B415" s="1348"/>
      <c r="C415" s="1333">
        <v>2666</v>
      </c>
      <c r="D415" s="1334">
        <v>44631</v>
      </c>
      <c r="E415" s="1344">
        <v>711762</v>
      </c>
      <c r="F415" s="1328">
        <f t="shared" si="58"/>
        <v>20</v>
      </c>
      <c r="G415" s="1326"/>
      <c r="H415" s="1329"/>
      <c r="I415" s="1330">
        <f t="shared" si="59"/>
        <v>711762</v>
      </c>
      <c r="J415" s="1330">
        <f t="shared" si="59"/>
        <v>0</v>
      </c>
      <c r="K415" s="1330">
        <f t="shared" si="59"/>
        <v>0</v>
      </c>
      <c r="L415" s="1330">
        <f t="shared" si="59"/>
        <v>0</v>
      </c>
      <c r="M415" s="1330">
        <f t="shared" si="59"/>
        <v>0</v>
      </c>
    </row>
    <row r="416" spans="1:13">
      <c r="A416" s="1323"/>
      <c r="B416" s="1348"/>
      <c r="C416" s="1333">
        <v>2667</v>
      </c>
      <c r="D416" s="1334">
        <v>44631</v>
      </c>
      <c r="E416" s="1344">
        <v>716258</v>
      </c>
      <c r="F416" s="1328">
        <f t="shared" si="58"/>
        <v>20</v>
      </c>
      <c r="G416" s="1326"/>
      <c r="H416" s="1329"/>
      <c r="I416" s="1330">
        <f t="shared" si="59"/>
        <v>716258</v>
      </c>
      <c r="J416" s="1330">
        <f t="shared" si="59"/>
        <v>0</v>
      </c>
      <c r="K416" s="1330">
        <f t="shared" si="59"/>
        <v>0</v>
      </c>
      <c r="L416" s="1330">
        <f t="shared" si="59"/>
        <v>0</v>
      </c>
      <c r="M416" s="1330">
        <f t="shared" si="59"/>
        <v>0</v>
      </c>
    </row>
    <row r="417" spans="1:13">
      <c r="A417" s="1323"/>
      <c r="B417" s="1348"/>
      <c r="C417" s="1333">
        <v>2671</v>
      </c>
      <c r="D417" s="1334">
        <v>44632</v>
      </c>
      <c r="E417" s="1344">
        <v>706184</v>
      </c>
      <c r="F417" s="1328">
        <f t="shared" si="58"/>
        <v>19</v>
      </c>
      <c r="G417" s="1326"/>
      <c r="H417" s="1329"/>
      <c r="I417" s="1330">
        <f t="shared" si="59"/>
        <v>706184</v>
      </c>
      <c r="J417" s="1330">
        <f t="shared" si="59"/>
        <v>0</v>
      </c>
      <c r="K417" s="1330">
        <f t="shared" si="59"/>
        <v>0</v>
      </c>
      <c r="L417" s="1330">
        <f t="shared" si="59"/>
        <v>0</v>
      </c>
      <c r="M417" s="1330">
        <f t="shared" si="59"/>
        <v>0</v>
      </c>
    </row>
    <row r="418" spans="1:13">
      <c r="A418" s="1323"/>
      <c r="B418" s="1348"/>
      <c r="C418" s="1333">
        <v>2672</v>
      </c>
      <c r="D418" s="1334">
        <v>44632</v>
      </c>
      <c r="E418" s="1344">
        <v>713922</v>
      </c>
      <c r="F418" s="1328">
        <f t="shared" si="58"/>
        <v>19</v>
      </c>
      <c r="G418" s="1326"/>
      <c r="H418" s="1329"/>
      <c r="I418" s="1330">
        <f t="shared" si="59"/>
        <v>713922</v>
      </c>
      <c r="J418" s="1330">
        <f t="shared" si="59"/>
        <v>0</v>
      </c>
      <c r="K418" s="1330">
        <f t="shared" si="59"/>
        <v>0</v>
      </c>
      <c r="L418" s="1330">
        <f t="shared" si="59"/>
        <v>0</v>
      </c>
      <c r="M418" s="1330">
        <f t="shared" si="59"/>
        <v>0</v>
      </c>
    </row>
    <row r="419" spans="1:13">
      <c r="A419" s="1323"/>
      <c r="B419" s="1348"/>
      <c r="C419" s="1333">
        <v>2673</v>
      </c>
      <c r="D419" s="1334">
        <v>44633</v>
      </c>
      <c r="E419" s="1344">
        <v>66840</v>
      </c>
      <c r="F419" s="1328">
        <f t="shared" si="58"/>
        <v>18</v>
      </c>
      <c r="G419" s="1326"/>
      <c r="H419" s="1329"/>
      <c r="I419" s="1330">
        <f t="shared" si="59"/>
        <v>66840</v>
      </c>
      <c r="J419" s="1330">
        <f t="shared" si="59"/>
        <v>0</v>
      </c>
      <c r="K419" s="1330">
        <f t="shared" si="59"/>
        <v>0</v>
      </c>
      <c r="L419" s="1330">
        <f t="shared" si="59"/>
        <v>0</v>
      </c>
      <c r="M419" s="1330">
        <f t="shared" si="59"/>
        <v>0</v>
      </c>
    </row>
    <row r="420" spans="1:13">
      <c r="A420" s="1323"/>
      <c r="B420" s="1348"/>
      <c r="C420" s="1333">
        <v>2675</v>
      </c>
      <c r="D420" s="1334">
        <v>44633</v>
      </c>
      <c r="E420" s="1344">
        <v>786158</v>
      </c>
      <c r="F420" s="1328">
        <f t="shared" si="58"/>
        <v>18</v>
      </c>
      <c r="G420" s="1326"/>
      <c r="H420" s="1329"/>
      <c r="I420" s="1330">
        <f t="shared" si="59"/>
        <v>786158</v>
      </c>
      <c r="J420" s="1330">
        <f t="shared" si="59"/>
        <v>0</v>
      </c>
      <c r="K420" s="1330">
        <f t="shared" si="59"/>
        <v>0</v>
      </c>
      <c r="L420" s="1330">
        <f t="shared" si="59"/>
        <v>0</v>
      </c>
      <c r="M420" s="1330">
        <f t="shared" si="59"/>
        <v>0</v>
      </c>
    </row>
    <row r="421" spans="1:13">
      <c r="A421" s="1323"/>
      <c r="B421" s="1348"/>
      <c r="C421" s="1333">
        <v>2681</v>
      </c>
      <c r="D421" s="1334">
        <v>44633</v>
      </c>
      <c r="E421" s="1344">
        <v>135001</v>
      </c>
      <c r="F421" s="1328">
        <f t="shared" si="58"/>
        <v>18</v>
      </c>
      <c r="G421" s="1326"/>
      <c r="H421" s="1329"/>
      <c r="I421" s="1330">
        <f t="shared" si="59"/>
        <v>135001</v>
      </c>
      <c r="J421" s="1330">
        <f t="shared" si="59"/>
        <v>0</v>
      </c>
      <c r="K421" s="1330">
        <f t="shared" si="59"/>
        <v>0</v>
      </c>
      <c r="L421" s="1330">
        <f t="shared" si="59"/>
        <v>0</v>
      </c>
      <c r="M421" s="1330">
        <f t="shared" si="59"/>
        <v>0</v>
      </c>
    </row>
    <row r="422" spans="1:13">
      <c r="A422" s="1323"/>
      <c r="B422" s="1348"/>
      <c r="C422" s="1333">
        <v>2682</v>
      </c>
      <c r="D422" s="1334">
        <v>44634</v>
      </c>
      <c r="E422" s="1344">
        <v>738692</v>
      </c>
      <c r="F422" s="1328">
        <f t="shared" si="58"/>
        <v>17</v>
      </c>
      <c r="G422" s="1326"/>
      <c r="H422" s="1329"/>
      <c r="I422" s="1330">
        <f t="shared" si="59"/>
        <v>738692</v>
      </c>
      <c r="J422" s="1330">
        <f t="shared" si="59"/>
        <v>0</v>
      </c>
      <c r="K422" s="1330">
        <f t="shared" si="59"/>
        <v>0</v>
      </c>
      <c r="L422" s="1330">
        <f t="shared" si="59"/>
        <v>0</v>
      </c>
      <c r="M422" s="1330">
        <f t="shared" si="59"/>
        <v>0</v>
      </c>
    </row>
    <row r="423" spans="1:13">
      <c r="A423" s="1323"/>
      <c r="B423" s="1348"/>
      <c r="C423" s="1333">
        <v>2683</v>
      </c>
      <c r="D423" s="1334">
        <v>44634</v>
      </c>
      <c r="E423" s="1344">
        <v>728169</v>
      </c>
      <c r="F423" s="1328">
        <f t="shared" si="58"/>
        <v>17</v>
      </c>
      <c r="G423" s="1326"/>
      <c r="H423" s="1329"/>
      <c r="I423" s="1330">
        <f t="shared" si="59"/>
        <v>728169</v>
      </c>
      <c r="J423" s="1330">
        <f t="shared" si="59"/>
        <v>0</v>
      </c>
      <c r="K423" s="1330">
        <f t="shared" si="59"/>
        <v>0</v>
      </c>
      <c r="L423" s="1330">
        <f t="shared" si="59"/>
        <v>0</v>
      </c>
      <c r="M423" s="1330">
        <f t="shared" si="59"/>
        <v>0</v>
      </c>
    </row>
    <row r="424" spans="1:13">
      <c r="A424" s="1323"/>
      <c r="B424" s="1348"/>
      <c r="C424" s="1333">
        <v>2685</v>
      </c>
      <c r="D424" s="1334">
        <v>44634</v>
      </c>
      <c r="E424" s="1344">
        <v>993295</v>
      </c>
      <c r="F424" s="1328">
        <f t="shared" si="58"/>
        <v>17</v>
      </c>
      <c r="G424" s="1326"/>
      <c r="H424" s="1329"/>
      <c r="I424" s="1330">
        <f t="shared" si="59"/>
        <v>993295</v>
      </c>
      <c r="J424" s="1330">
        <f t="shared" si="59"/>
        <v>0</v>
      </c>
      <c r="K424" s="1330">
        <f t="shared" si="59"/>
        <v>0</v>
      </c>
      <c r="L424" s="1330">
        <f t="shared" si="59"/>
        <v>0</v>
      </c>
      <c r="M424" s="1330">
        <f t="shared" si="59"/>
        <v>0</v>
      </c>
    </row>
    <row r="425" spans="1:13">
      <c r="A425" s="1323"/>
      <c r="B425" s="1348"/>
      <c r="C425" s="1333">
        <v>2696</v>
      </c>
      <c r="D425" s="1334">
        <v>44635</v>
      </c>
      <c r="E425" s="1344">
        <v>225780</v>
      </c>
      <c r="F425" s="1328">
        <f t="shared" si="58"/>
        <v>16</v>
      </c>
      <c r="G425" s="1326"/>
      <c r="H425" s="1329"/>
      <c r="I425" s="1330">
        <f t="shared" si="59"/>
        <v>225780</v>
      </c>
      <c r="J425" s="1330">
        <f t="shared" si="59"/>
        <v>0</v>
      </c>
      <c r="K425" s="1330">
        <f t="shared" si="59"/>
        <v>0</v>
      </c>
      <c r="L425" s="1330">
        <f t="shared" si="59"/>
        <v>0</v>
      </c>
      <c r="M425" s="1330">
        <f t="shared" si="59"/>
        <v>0</v>
      </c>
    </row>
    <row r="426" spans="1:13">
      <c r="A426" s="1323"/>
      <c r="B426" s="1348"/>
      <c r="C426" s="1333">
        <v>2697</v>
      </c>
      <c r="D426" s="1334">
        <v>44635</v>
      </c>
      <c r="E426" s="1344">
        <v>88867</v>
      </c>
      <c r="F426" s="1328">
        <f t="shared" si="58"/>
        <v>16</v>
      </c>
      <c r="G426" s="1326"/>
      <c r="H426" s="1329"/>
      <c r="I426" s="1330">
        <f t="shared" si="59"/>
        <v>88867</v>
      </c>
      <c r="J426" s="1330">
        <f t="shared" si="59"/>
        <v>0</v>
      </c>
      <c r="K426" s="1330">
        <f t="shared" si="59"/>
        <v>0</v>
      </c>
      <c r="L426" s="1330">
        <f t="shared" si="59"/>
        <v>0</v>
      </c>
      <c r="M426" s="1330">
        <f t="shared" si="59"/>
        <v>0</v>
      </c>
    </row>
    <row r="427" spans="1:13">
      <c r="A427" s="1323"/>
      <c r="B427" s="1348"/>
      <c r="C427" s="1333">
        <v>2698</v>
      </c>
      <c r="D427" s="1334">
        <v>44636</v>
      </c>
      <c r="E427" s="1344">
        <v>718321</v>
      </c>
      <c r="F427" s="1328">
        <f t="shared" si="58"/>
        <v>15</v>
      </c>
      <c r="G427" s="1326"/>
      <c r="H427" s="1329"/>
      <c r="I427" s="1330">
        <f t="shared" si="59"/>
        <v>718321</v>
      </c>
      <c r="J427" s="1330">
        <f t="shared" si="59"/>
        <v>0</v>
      </c>
      <c r="K427" s="1330">
        <f t="shared" si="59"/>
        <v>0</v>
      </c>
      <c r="L427" s="1330">
        <f t="shared" si="59"/>
        <v>0</v>
      </c>
      <c r="M427" s="1330">
        <f t="shared" si="59"/>
        <v>0</v>
      </c>
    </row>
    <row r="428" spans="1:13">
      <c r="A428" s="1323"/>
      <c r="B428" s="1348"/>
      <c r="C428" s="1333">
        <v>2699</v>
      </c>
      <c r="D428" s="1334">
        <v>44636</v>
      </c>
      <c r="E428" s="1344">
        <v>718243</v>
      </c>
      <c r="F428" s="1328">
        <f t="shared" si="58"/>
        <v>15</v>
      </c>
      <c r="G428" s="1326"/>
      <c r="H428" s="1329"/>
      <c r="I428" s="1330">
        <f t="shared" si="59"/>
        <v>718243</v>
      </c>
      <c r="J428" s="1330">
        <f t="shared" si="59"/>
        <v>0</v>
      </c>
      <c r="K428" s="1330">
        <f t="shared" si="59"/>
        <v>0</v>
      </c>
      <c r="L428" s="1330">
        <f t="shared" si="59"/>
        <v>0</v>
      </c>
      <c r="M428" s="1330">
        <f t="shared" si="59"/>
        <v>0</v>
      </c>
    </row>
    <row r="429" spans="1:13">
      <c r="A429" s="1323"/>
      <c r="B429" s="1348"/>
      <c r="C429" s="1333">
        <v>2708</v>
      </c>
      <c r="D429" s="1334">
        <v>44637</v>
      </c>
      <c r="E429" s="1344">
        <v>187215</v>
      </c>
      <c r="F429" s="1328">
        <f t="shared" si="58"/>
        <v>14</v>
      </c>
      <c r="G429" s="1326"/>
      <c r="H429" s="1329"/>
      <c r="I429" s="1330">
        <f t="shared" si="59"/>
        <v>187215</v>
      </c>
      <c r="J429" s="1330">
        <f t="shared" si="59"/>
        <v>0</v>
      </c>
      <c r="K429" s="1330">
        <f t="shared" si="59"/>
        <v>0</v>
      </c>
      <c r="L429" s="1330">
        <f t="shared" si="59"/>
        <v>0</v>
      </c>
      <c r="M429" s="1330">
        <f t="shared" si="59"/>
        <v>0</v>
      </c>
    </row>
    <row r="430" spans="1:13">
      <c r="A430" s="1323"/>
      <c r="B430" s="1348"/>
      <c r="C430" s="1333">
        <v>2711</v>
      </c>
      <c r="D430" s="1334">
        <v>44637</v>
      </c>
      <c r="E430" s="1344">
        <v>748783</v>
      </c>
      <c r="F430" s="1328">
        <f t="shared" si="58"/>
        <v>14</v>
      </c>
      <c r="G430" s="1326"/>
      <c r="H430" s="1329"/>
      <c r="I430" s="1330">
        <f t="shared" si="59"/>
        <v>748783</v>
      </c>
      <c r="J430" s="1330">
        <f t="shared" si="59"/>
        <v>0</v>
      </c>
      <c r="K430" s="1330">
        <f t="shared" si="59"/>
        <v>0</v>
      </c>
      <c r="L430" s="1330">
        <f t="shared" si="59"/>
        <v>0</v>
      </c>
      <c r="M430" s="1330">
        <f t="shared" si="59"/>
        <v>0</v>
      </c>
    </row>
    <row r="431" spans="1:13">
      <c r="A431" s="1323"/>
      <c r="B431" s="1348"/>
      <c r="C431" s="1333">
        <v>2713</v>
      </c>
      <c r="D431" s="1334">
        <v>44639</v>
      </c>
      <c r="E431" s="1344">
        <v>1002947</v>
      </c>
      <c r="F431" s="1328">
        <f t="shared" si="58"/>
        <v>12</v>
      </c>
      <c r="G431" s="1326"/>
      <c r="H431" s="1329"/>
      <c r="I431" s="1330">
        <f t="shared" si="59"/>
        <v>1002947</v>
      </c>
      <c r="J431" s="1330">
        <f t="shared" si="59"/>
        <v>0</v>
      </c>
      <c r="K431" s="1330">
        <f t="shared" si="59"/>
        <v>0</v>
      </c>
      <c r="L431" s="1330">
        <f t="shared" si="59"/>
        <v>0</v>
      </c>
      <c r="M431" s="1330">
        <f t="shared" si="59"/>
        <v>0</v>
      </c>
    </row>
    <row r="432" spans="1:13">
      <c r="A432" s="1323"/>
      <c r="B432" s="1348"/>
      <c r="C432" s="1333">
        <v>2716</v>
      </c>
      <c r="D432" s="1334">
        <v>44639</v>
      </c>
      <c r="E432" s="1344">
        <v>428776</v>
      </c>
      <c r="F432" s="1328">
        <f t="shared" si="58"/>
        <v>12</v>
      </c>
      <c r="G432" s="1326"/>
      <c r="H432" s="1329"/>
      <c r="I432" s="1330">
        <f t="shared" si="59"/>
        <v>428776</v>
      </c>
      <c r="J432" s="1330">
        <f t="shared" si="59"/>
        <v>0</v>
      </c>
      <c r="K432" s="1330">
        <f t="shared" si="59"/>
        <v>0</v>
      </c>
      <c r="L432" s="1330">
        <f t="shared" si="59"/>
        <v>0</v>
      </c>
      <c r="M432" s="1330">
        <f t="shared" si="59"/>
        <v>0</v>
      </c>
    </row>
    <row r="433" spans="1:13">
      <c r="A433" s="1323"/>
      <c r="B433" s="1348"/>
      <c r="C433" s="1333">
        <v>2725</v>
      </c>
      <c r="D433" s="1334">
        <v>44641</v>
      </c>
      <c r="E433" s="1344">
        <v>530931</v>
      </c>
      <c r="F433" s="1328">
        <f t="shared" si="58"/>
        <v>10</v>
      </c>
      <c r="G433" s="1326"/>
      <c r="H433" s="1329"/>
      <c r="I433" s="1330">
        <f t="shared" si="59"/>
        <v>530931</v>
      </c>
      <c r="J433" s="1330">
        <f t="shared" si="59"/>
        <v>0</v>
      </c>
      <c r="K433" s="1330">
        <f t="shared" si="59"/>
        <v>0</v>
      </c>
      <c r="L433" s="1330">
        <f t="shared" si="59"/>
        <v>0</v>
      </c>
      <c r="M433" s="1330">
        <f t="shared" si="59"/>
        <v>0</v>
      </c>
    </row>
    <row r="434" spans="1:13">
      <c r="A434" s="1323"/>
      <c r="B434" s="1348"/>
      <c r="C434" s="1333">
        <v>2730</v>
      </c>
      <c r="D434" s="1334">
        <v>44641</v>
      </c>
      <c r="E434" s="1344">
        <v>721855</v>
      </c>
      <c r="F434" s="1328">
        <f t="shared" si="58"/>
        <v>10</v>
      </c>
      <c r="G434" s="1326"/>
      <c r="H434" s="1329"/>
      <c r="I434" s="1330">
        <f t="shared" si="59"/>
        <v>721855</v>
      </c>
      <c r="J434" s="1330">
        <f t="shared" si="59"/>
        <v>0</v>
      </c>
      <c r="K434" s="1330">
        <f t="shared" si="59"/>
        <v>0</v>
      </c>
      <c r="L434" s="1330">
        <f t="shared" si="59"/>
        <v>0</v>
      </c>
      <c r="M434" s="1330">
        <f t="shared" si="59"/>
        <v>0</v>
      </c>
    </row>
    <row r="435" spans="1:13">
      <c r="A435" s="1323"/>
      <c r="B435" s="1348"/>
      <c r="C435" s="1333">
        <v>2731</v>
      </c>
      <c r="D435" s="1334">
        <v>44641</v>
      </c>
      <c r="E435" s="1344">
        <v>736063</v>
      </c>
      <c r="F435" s="1328">
        <f t="shared" si="58"/>
        <v>10</v>
      </c>
      <c r="G435" s="1326"/>
      <c r="H435" s="1329"/>
      <c r="I435" s="1330">
        <f t="shared" si="59"/>
        <v>736063</v>
      </c>
      <c r="J435" s="1330">
        <f t="shared" si="59"/>
        <v>0</v>
      </c>
      <c r="K435" s="1330">
        <f t="shared" si="59"/>
        <v>0</v>
      </c>
      <c r="L435" s="1330">
        <f t="shared" si="59"/>
        <v>0</v>
      </c>
      <c r="M435" s="1330">
        <f t="shared" si="59"/>
        <v>0</v>
      </c>
    </row>
    <row r="436" spans="1:13">
      <c r="A436" s="1323"/>
      <c r="B436" s="1348"/>
      <c r="C436" s="1333">
        <v>2743</v>
      </c>
      <c r="D436" s="1334">
        <v>44643</v>
      </c>
      <c r="E436" s="1344">
        <v>1028459</v>
      </c>
      <c r="F436" s="1328">
        <f t="shared" si="58"/>
        <v>8</v>
      </c>
      <c r="G436" s="1326"/>
      <c r="H436" s="1329"/>
      <c r="I436" s="1330">
        <f t="shared" si="59"/>
        <v>1028459</v>
      </c>
      <c r="J436" s="1330">
        <f t="shared" si="59"/>
        <v>0</v>
      </c>
      <c r="K436" s="1330">
        <f t="shared" si="59"/>
        <v>0</v>
      </c>
      <c r="L436" s="1330">
        <f t="shared" si="59"/>
        <v>0</v>
      </c>
      <c r="M436" s="1330">
        <f t="shared" si="59"/>
        <v>0</v>
      </c>
    </row>
    <row r="437" spans="1:13">
      <c r="A437" s="1323"/>
      <c r="B437" s="1348"/>
      <c r="C437" s="1333">
        <v>2750</v>
      </c>
      <c r="D437" s="1334">
        <v>44643</v>
      </c>
      <c r="E437" s="1344">
        <v>534982</v>
      </c>
      <c r="F437" s="1328">
        <f t="shared" si="58"/>
        <v>8</v>
      </c>
      <c r="G437" s="1326"/>
      <c r="H437" s="1329"/>
      <c r="I437" s="1330">
        <f t="shared" si="59"/>
        <v>534982</v>
      </c>
      <c r="J437" s="1330">
        <f t="shared" si="59"/>
        <v>0</v>
      </c>
      <c r="K437" s="1330">
        <f t="shared" si="59"/>
        <v>0</v>
      </c>
      <c r="L437" s="1330">
        <f t="shared" si="59"/>
        <v>0</v>
      </c>
      <c r="M437" s="1330">
        <f t="shared" si="59"/>
        <v>0</v>
      </c>
    </row>
    <row r="438" spans="1:13">
      <c r="A438" s="1323"/>
      <c r="B438" s="1348"/>
      <c r="C438" s="1333">
        <v>2752</v>
      </c>
      <c r="D438" s="1334">
        <v>44643</v>
      </c>
      <c r="E438" s="1344">
        <v>718535</v>
      </c>
      <c r="F438" s="1328">
        <f t="shared" si="58"/>
        <v>8</v>
      </c>
      <c r="G438" s="1326"/>
      <c r="H438" s="1329"/>
      <c r="I438" s="1330">
        <f t="shared" si="59"/>
        <v>718535</v>
      </c>
      <c r="J438" s="1330">
        <f t="shared" si="59"/>
        <v>0</v>
      </c>
      <c r="K438" s="1330">
        <f t="shared" si="59"/>
        <v>0</v>
      </c>
      <c r="L438" s="1330">
        <f t="shared" si="59"/>
        <v>0</v>
      </c>
      <c r="M438" s="1330">
        <f t="shared" si="59"/>
        <v>0</v>
      </c>
    </row>
    <row r="439" spans="1:13">
      <c r="A439" s="1323"/>
      <c r="B439" s="1348"/>
      <c r="C439" s="1333">
        <v>2754</v>
      </c>
      <c r="D439" s="1334">
        <v>44644</v>
      </c>
      <c r="E439" s="1344">
        <v>753146</v>
      </c>
      <c r="F439" s="1328">
        <f t="shared" si="58"/>
        <v>7</v>
      </c>
      <c r="G439" s="1326"/>
      <c r="H439" s="1329"/>
      <c r="I439" s="1330">
        <f t="shared" si="59"/>
        <v>753146</v>
      </c>
      <c r="J439" s="1330">
        <f t="shared" si="59"/>
        <v>0</v>
      </c>
      <c r="K439" s="1330">
        <f t="shared" si="59"/>
        <v>0</v>
      </c>
      <c r="L439" s="1330">
        <f t="shared" si="59"/>
        <v>0</v>
      </c>
      <c r="M439" s="1330">
        <f t="shared" si="59"/>
        <v>0</v>
      </c>
    </row>
    <row r="440" spans="1:13">
      <c r="A440" s="1323"/>
      <c r="B440" s="1348"/>
      <c r="C440" s="1333">
        <v>2760</v>
      </c>
      <c r="D440" s="1334">
        <v>44644</v>
      </c>
      <c r="E440" s="1344">
        <v>735716</v>
      </c>
      <c r="F440" s="1328">
        <f t="shared" si="58"/>
        <v>7</v>
      </c>
      <c r="G440" s="1326"/>
      <c r="H440" s="1329"/>
      <c r="I440" s="1330">
        <f t="shared" si="59"/>
        <v>735716</v>
      </c>
      <c r="J440" s="1330">
        <f t="shared" si="59"/>
        <v>0</v>
      </c>
      <c r="K440" s="1330">
        <f t="shared" si="59"/>
        <v>0</v>
      </c>
      <c r="L440" s="1330">
        <f t="shared" si="59"/>
        <v>0</v>
      </c>
      <c r="M440" s="1330">
        <f t="shared" si="59"/>
        <v>0</v>
      </c>
    </row>
    <row r="441" spans="1:13">
      <c r="A441" s="1323"/>
      <c r="B441" s="1348"/>
      <c r="C441" s="1333">
        <v>2764</v>
      </c>
      <c r="D441" s="1334">
        <v>44645</v>
      </c>
      <c r="E441" s="1344">
        <v>740585</v>
      </c>
      <c r="F441" s="1328">
        <f t="shared" si="58"/>
        <v>6</v>
      </c>
      <c r="G441" s="1326"/>
      <c r="H441" s="1329"/>
      <c r="I441" s="1330">
        <f t="shared" si="59"/>
        <v>740585</v>
      </c>
      <c r="J441" s="1330">
        <f t="shared" si="59"/>
        <v>0</v>
      </c>
      <c r="K441" s="1330">
        <f t="shared" si="59"/>
        <v>0</v>
      </c>
      <c r="L441" s="1330">
        <f t="shared" si="59"/>
        <v>0</v>
      </c>
      <c r="M441" s="1330">
        <f t="shared" si="59"/>
        <v>0</v>
      </c>
    </row>
    <row r="442" spans="1:13">
      <c r="A442" s="1323"/>
      <c r="B442" s="1348"/>
      <c r="C442" s="1333">
        <v>2766</v>
      </c>
      <c r="D442" s="1334">
        <v>44645</v>
      </c>
      <c r="E442" s="1344">
        <v>937990</v>
      </c>
      <c r="F442" s="1328">
        <f t="shared" si="58"/>
        <v>6</v>
      </c>
      <c r="G442" s="1326"/>
      <c r="H442" s="1329"/>
      <c r="I442" s="1330">
        <f t="shared" si="59"/>
        <v>937990</v>
      </c>
      <c r="J442" s="1330">
        <f t="shared" si="59"/>
        <v>0</v>
      </c>
      <c r="K442" s="1330">
        <f t="shared" si="59"/>
        <v>0</v>
      </c>
      <c r="L442" s="1330">
        <f t="shared" si="59"/>
        <v>0</v>
      </c>
      <c r="M442" s="1330">
        <f t="shared" si="59"/>
        <v>0</v>
      </c>
    </row>
    <row r="443" spans="1:13">
      <c r="A443" s="1323"/>
      <c r="B443" s="1348"/>
      <c r="C443" s="1333">
        <v>2771</v>
      </c>
      <c r="D443" s="1334">
        <v>44645</v>
      </c>
      <c r="E443" s="1344">
        <v>515814</v>
      </c>
      <c r="F443" s="1328">
        <f t="shared" si="58"/>
        <v>6</v>
      </c>
      <c r="G443" s="1326"/>
      <c r="H443" s="1329"/>
      <c r="I443" s="1330">
        <f t="shared" si="59"/>
        <v>515814</v>
      </c>
      <c r="J443" s="1330">
        <f t="shared" si="59"/>
        <v>0</v>
      </c>
      <c r="K443" s="1330">
        <f t="shared" si="59"/>
        <v>0</v>
      </c>
      <c r="L443" s="1330">
        <f t="shared" si="59"/>
        <v>0</v>
      </c>
      <c r="M443" s="1330">
        <f t="shared" si="59"/>
        <v>0</v>
      </c>
    </row>
    <row r="444" spans="1:13">
      <c r="A444" s="1323"/>
      <c r="B444" s="1348"/>
      <c r="C444" s="1333">
        <v>2772</v>
      </c>
      <c r="D444" s="1334">
        <v>44645</v>
      </c>
      <c r="E444" s="1344">
        <v>261302</v>
      </c>
      <c r="F444" s="1328">
        <f t="shared" si="58"/>
        <v>6</v>
      </c>
      <c r="G444" s="1326"/>
      <c r="H444" s="1329"/>
      <c r="I444" s="1330">
        <f t="shared" si="59"/>
        <v>261302</v>
      </c>
      <c r="J444" s="1330">
        <f t="shared" si="59"/>
        <v>0</v>
      </c>
      <c r="K444" s="1330">
        <f t="shared" si="59"/>
        <v>0</v>
      </c>
      <c r="L444" s="1330">
        <f t="shared" si="59"/>
        <v>0</v>
      </c>
      <c r="M444" s="1330">
        <f t="shared" si="59"/>
        <v>0</v>
      </c>
    </row>
    <row r="445" spans="1:13">
      <c r="A445" s="1323"/>
      <c r="B445" s="1348"/>
      <c r="C445" s="1333">
        <v>2773</v>
      </c>
      <c r="D445" s="1334">
        <v>44645</v>
      </c>
      <c r="E445" s="1344">
        <v>467835</v>
      </c>
      <c r="F445" s="1328">
        <f t="shared" ref="F445:F454" si="60">$D$1-D445</f>
        <v>6</v>
      </c>
      <c r="G445" s="1326"/>
      <c r="H445" s="1329"/>
      <c r="I445" s="1330">
        <f t="shared" si="59"/>
        <v>467835</v>
      </c>
      <c r="J445" s="1330">
        <f t="shared" si="59"/>
        <v>0</v>
      </c>
      <c r="K445" s="1330">
        <f t="shared" si="59"/>
        <v>0</v>
      </c>
      <c r="L445" s="1330">
        <f t="shared" si="59"/>
        <v>0</v>
      </c>
      <c r="M445" s="1330">
        <f t="shared" si="59"/>
        <v>0</v>
      </c>
    </row>
    <row r="446" spans="1:13">
      <c r="A446" s="1323"/>
      <c r="B446" s="1348"/>
      <c r="C446" s="1333">
        <v>2781</v>
      </c>
      <c r="D446" s="1334">
        <v>44647</v>
      </c>
      <c r="E446" s="1344">
        <v>730133</v>
      </c>
      <c r="F446" s="1328">
        <f t="shared" si="60"/>
        <v>4</v>
      </c>
      <c r="G446" s="1326"/>
      <c r="H446" s="1329"/>
      <c r="I446" s="1330">
        <f t="shared" si="59"/>
        <v>730133</v>
      </c>
      <c r="J446" s="1330">
        <f t="shared" si="59"/>
        <v>0</v>
      </c>
      <c r="K446" s="1330">
        <f t="shared" si="59"/>
        <v>0</v>
      </c>
      <c r="L446" s="1330">
        <f t="shared" si="59"/>
        <v>0</v>
      </c>
      <c r="M446" s="1330">
        <f t="shared" si="59"/>
        <v>0</v>
      </c>
    </row>
    <row r="447" spans="1:13">
      <c r="A447" s="1323"/>
      <c r="B447" s="1348"/>
      <c r="C447" s="1351">
        <v>2793</v>
      </c>
      <c r="D447" s="1352">
        <v>44649</v>
      </c>
      <c r="E447" s="1344">
        <v>725778</v>
      </c>
      <c r="F447" s="1328">
        <f t="shared" si="60"/>
        <v>2</v>
      </c>
      <c r="G447" s="1326"/>
      <c r="H447" s="1329"/>
      <c r="I447" s="1330">
        <f t="shared" ref="I447:M454" si="61">IF(AND($F447&gt;=I$2,$F447&lt;=I$3),$E447,0)</f>
        <v>725778</v>
      </c>
      <c r="J447" s="1330">
        <f t="shared" si="61"/>
        <v>0</v>
      </c>
      <c r="K447" s="1330">
        <f t="shared" si="61"/>
        <v>0</v>
      </c>
      <c r="L447" s="1330">
        <f t="shared" si="61"/>
        <v>0</v>
      </c>
      <c r="M447" s="1330">
        <f t="shared" si="61"/>
        <v>0</v>
      </c>
    </row>
    <row r="448" spans="1:13">
      <c r="A448" s="1323"/>
      <c r="B448" s="1348"/>
      <c r="C448" s="1351">
        <v>2797</v>
      </c>
      <c r="D448" s="1352">
        <v>44650</v>
      </c>
      <c r="E448" s="1344">
        <v>522636</v>
      </c>
      <c r="F448" s="1328">
        <f t="shared" si="60"/>
        <v>1</v>
      </c>
      <c r="G448" s="1326"/>
      <c r="H448" s="1329"/>
      <c r="I448" s="1330">
        <f t="shared" si="61"/>
        <v>522636</v>
      </c>
      <c r="J448" s="1330">
        <f t="shared" si="61"/>
        <v>0</v>
      </c>
      <c r="K448" s="1330">
        <f t="shared" si="61"/>
        <v>0</v>
      </c>
      <c r="L448" s="1330">
        <f t="shared" si="61"/>
        <v>0</v>
      </c>
      <c r="M448" s="1330">
        <f t="shared" si="61"/>
        <v>0</v>
      </c>
    </row>
    <row r="449" spans="1:13">
      <c r="A449" s="1323"/>
      <c r="B449" s="1348"/>
      <c r="C449" s="1351">
        <v>2801</v>
      </c>
      <c r="D449" s="1352">
        <v>44650</v>
      </c>
      <c r="E449" s="1344">
        <v>742804</v>
      </c>
      <c r="F449" s="1328">
        <f t="shared" si="60"/>
        <v>1</v>
      </c>
      <c r="G449" s="1326"/>
      <c r="H449" s="1329"/>
      <c r="I449" s="1330">
        <f t="shared" si="61"/>
        <v>742804</v>
      </c>
      <c r="J449" s="1330">
        <f t="shared" si="61"/>
        <v>0</v>
      </c>
      <c r="K449" s="1330">
        <f t="shared" si="61"/>
        <v>0</v>
      </c>
      <c r="L449" s="1330">
        <f t="shared" si="61"/>
        <v>0</v>
      </c>
      <c r="M449" s="1330">
        <f t="shared" si="61"/>
        <v>0</v>
      </c>
    </row>
    <row r="450" spans="1:13">
      <c r="A450" s="1323"/>
      <c r="B450" s="1348"/>
      <c r="C450" s="1351">
        <v>2805</v>
      </c>
      <c r="D450" s="1352">
        <v>44651</v>
      </c>
      <c r="E450" s="1344">
        <v>368135</v>
      </c>
      <c r="F450" s="1328">
        <f t="shared" si="60"/>
        <v>0</v>
      </c>
      <c r="G450" s="1326"/>
      <c r="H450" s="1329"/>
      <c r="I450" s="1330">
        <f t="shared" si="61"/>
        <v>368135</v>
      </c>
      <c r="J450" s="1330">
        <f t="shared" si="61"/>
        <v>0</v>
      </c>
      <c r="K450" s="1330">
        <f t="shared" si="61"/>
        <v>0</v>
      </c>
      <c r="L450" s="1330">
        <f t="shared" si="61"/>
        <v>0</v>
      </c>
      <c r="M450" s="1330">
        <f t="shared" si="61"/>
        <v>0</v>
      </c>
    </row>
    <row r="451" spans="1:13">
      <c r="A451" s="1323"/>
      <c r="B451" s="1348"/>
      <c r="C451" s="1351">
        <v>2806</v>
      </c>
      <c r="D451" s="1352">
        <v>44651</v>
      </c>
      <c r="E451" s="1344">
        <v>350032</v>
      </c>
      <c r="F451" s="1328">
        <f t="shared" si="60"/>
        <v>0</v>
      </c>
      <c r="G451" s="1326"/>
      <c r="H451" s="1329"/>
      <c r="I451" s="1330">
        <f t="shared" si="61"/>
        <v>350032</v>
      </c>
      <c r="J451" s="1330">
        <f t="shared" si="61"/>
        <v>0</v>
      </c>
      <c r="K451" s="1330">
        <f t="shared" si="61"/>
        <v>0</v>
      </c>
      <c r="L451" s="1330">
        <f t="shared" si="61"/>
        <v>0</v>
      </c>
      <c r="M451" s="1330">
        <f t="shared" si="61"/>
        <v>0</v>
      </c>
    </row>
    <row r="452" spans="1:13">
      <c r="A452" s="1323"/>
      <c r="B452" s="1348"/>
      <c r="C452" s="1351">
        <v>2807</v>
      </c>
      <c r="D452" s="1352">
        <v>44651</v>
      </c>
      <c r="E452" s="1344">
        <v>227557</v>
      </c>
      <c r="F452" s="1328">
        <f t="shared" si="60"/>
        <v>0</v>
      </c>
      <c r="G452" s="1326"/>
      <c r="H452" s="1329"/>
      <c r="I452" s="1330">
        <f t="shared" si="61"/>
        <v>227557</v>
      </c>
      <c r="J452" s="1330">
        <f t="shared" si="61"/>
        <v>0</v>
      </c>
      <c r="K452" s="1330">
        <f t="shared" si="61"/>
        <v>0</v>
      </c>
      <c r="L452" s="1330">
        <f t="shared" si="61"/>
        <v>0</v>
      </c>
      <c r="M452" s="1330">
        <f t="shared" si="61"/>
        <v>0</v>
      </c>
    </row>
    <row r="453" spans="1:13">
      <c r="A453" s="1323"/>
      <c r="B453" s="1348"/>
      <c r="C453" s="1351">
        <v>2808</v>
      </c>
      <c r="D453" s="1352">
        <v>44651</v>
      </c>
      <c r="E453" s="1344">
        <v>304876</v>
      </c>
      <c r="F453" s="1328">
        <f t="shared" si="60"/>
        <v>0</v>
      </c>
      <c r="G453" s="1326"/>
      <c r="H453" s="1329"/>
      <c r="I453" s="1330">
        <f t="shared" si="61"/>
        <v>304876</v>
      </c>
      <c r="J453" s="1330">
        <f t="shared" si="61"/>
        <v>0</v>
      </c>
      <c r="K453" s="1330">
        <f t="shared" si="61"/>
        <v>0</v>
      </c>
      <c r="L453" s="1330">
        <f t="shared" si="61"/>
        <v>0</v>
      </c>
      <c r="M453" s="1330">
        <f t="shared" si="61"/>
        <v>0</v>
      </c>
    </row>
    <row r="454" spans="1:13">
      <c r="A454" s="1323"/>
      <c r="B454" s="1348"/>
      <c r="C454" s="1351">
        <v>2813</v>
      </c>
      <c r="D454" s="1352">
        <v>44651</v>
      </c>
      <c r="E454" s="1344">
        <v>253873</v>
      </c>
      <c r="F454" s="1328">
        <f t="shared" si="60"/>
        <v>0</v>
      </c>
      <c r="G454" s="1326"/>
      <c r="H454" s="1329"/>
      <c r="I454" s="1330">
        <f t="shared" si="61"/>
        <v>253873</v>
      </c>
      <c r="J454" s="1330">
        <f t="shared" si="61"/>
        <v>0</v>
      </c>
      <c r="K454" s="1330">
        <f t="shared" si="61"/>
        <v>0</v>
      </c>
      <c r="L454" s="1330">
        <f t="shared" si="61"/>
        <v>0</v>
      </c>
      <c r="M454" s="1330">
        <f t="shared" si="61"/>
        <v>0</v>
      </c>
    </row>
    <row r="455" spans="1:13">
      <c r="A455" s="1323"/>
      <c r="B455" s="1348" t="s">
        <v>2522</v>
      </c>
      <c r="C455" s="1351"/>
      <c r="D455" s="1352"/>
      <c r="E455" s="1344">
        <v>2881</v>
      </c>
      <c r="F455" s="1328"/>
      <c r="G455" s="1326"/>
      <c r="H455" s="1329"/>
      <c r="I455" s="1330">
        <v>2881</v>
      </c>
      <c r="J455" s="1330"/>
      <c r="K455" s="1330"/>
      <c r="L455" s="1330"/>
      <c r="M455" s="1330"/>
    </row>
    <row r="456" spans="1:13">
      <c r="A456" s="1323"/>
      <c r="B456" s="1348"/>
      <c r="C456" s="1325"/>
      <c r="D456" s="1353"/>
      <c r="E456" s="1347"/>
      <c r="F456" s="1328"/>
      <c r="G456" s="1326"/>
      <c r="H456" s="1329"/>
      <c r="I456" s="1330"/>
      <c r="J456" s="1330"/>
      <c r="K456" s="1330"/>
      <c r="L456" s="1330"/>
      <c r="M456" s="1330"/>
    </row>
    <row r="457" spans="1:13">
      <c r="A457" s="1338"/>
      <c r="B457" s="1350"/>
      <c r="C457" s="1340" t="s">
        <v>1724</v>
      </c>
      <c r="D457" s="1341"/>
      <c r="E457" s="1342">
        <f>SUM(E380:E456)</f>
        <v>43044826</v>
      </c>
      <c r="F457" s="1349"/>
      <c r="G457" s="1341"/>
      <c r="H457" s="1341"/>
      <c r="I457" s="1342">
        <f t="shared" ref="I457:M457" si="62">SUM(I380:I456)</f>
        <v>38484851</v>
      </c>
      <c r="J457" s="1342">
        <f t="shared" si="62"/>
        <v>4325280</v>
      </c>
      <c r="K457" s="1342">
        <f t="shared" si="62"/>
        <v>234695</v>
      </c>
      <c r="L457" s="1342">
        <f t="shared" si="62"/>
        <v>0</v>
      </c>
      <c r="M457" s="1342">
        <f t="shared" si="62"/>
        <v>0</v>
      </c>
    </row>
    <row r="458" spans="1:13">
      <c r="A458" s="1323"/>
      <c r="C458" s="1360"/>
      <c r="D458" s="1361"/>
      <c r="E458" s="1362"/>
      <c r="F458" s="1363"/>
      <c r="G458" s="1360"/>
      <c r="H458" s="1360"/>
      <c r="I458" s="1362"/>
      <c r="J458" s="1362"/>
      <c r="K458" s="1362"/>
      <c r="L458" s="1362"/>
      <c r="M458" s="1362"/>
    </row>
    <row r="459" spans="1:13" s="1369" customFormat="1">
      <c r="A459" s="1364"/>
      <c r="B459" s="1365"/>
      <c r="C459" s="1366" t="s">
        <v>2523</v>
      </c>
      <c r="D459" s="1367"/>
      <c r="E459" s="1368">
        <f>+E13+E19+E28+E68+E75+E80+E111+E117+E123+E131+E228+E235+E256+E263+E309+E323+E332+E339+E345+E354+E360+E365+E374+E379+E457</f>
        <v>166642239</v>
      </c>
      <c r="F459" s="1368"/>
      <c r="G459" s="1366"/>
      <c r="H459" s="1366"/>
      <c r="I459" s="1368">
        <f t="shared" ref="I459:M459" si="63">+I13+I19+I28+I68+I75+I80+I111+I117+I123+I131+I228+I235+I256+I263+I309+I323+I332+I339+I345+I354+I360+I365+I374+I379+I457</f>
        <v>153471900</v>
      </c>
      <c r="J459" s="1368">
        <f t="shared" si="63"/>
        <v>11696669</v>
      </c>
      <c r="K459" s="1368">
        <f t="shared" si="63"/>
        <v>1280486</v>
      </c>
      <c r="L459" s="1368">
        <f t="shared" si="63"/>
        <v>193185</v>
      </c>
      <c r="M459" s="1368">
        <f t="shared" si="63"/>
        <v>0</v>
      </c>
    </row>
    <row r="460" spans="1:13">
      <c r="B460" s="230"/>
      <c r="D460" s="1370"/>
    </row>
  </sheetData>
  <conditionalFormatting sqref="C4:C5">
    <cfRule type="duplicateValues" dxfId="3" priority="2"/>
  </conditionalFormatting>
  <conditionalFormatting sqref="B4">
    <cfRule type="duplicateValues" dxfId="2" priority="1"/>
  </conditionalFormatting>
  <pageMargins left="3.937007874015748E-2" right="3.937007874015748E-2" top="0.74803149606299213" bottom="0.23622047244094491" header="0.31496062992125984" footer="0.31496062992125984"/>
  <pageSetup paperSize="9" scale="65" orientation="landscape" r:id="rId1"/>
  <headerFooter>
    <oddHeader>&amp;R&amp;P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C2:L39"/>
  <sheetViews>
    <sheetView view="pageBreakPreview" zoomScale="60" zoomScaleNormal="58" workbookViewId="0">
      <selection activeCell="I10" sqref="I10"/>
    </sheetView>
  </sheetViews>
  <sheetFormatPr defaultColWidth="8.85546875" defaultRowHeight="15"/>
  <cols>
    <col min="1" max="2" width="8.85546875" style="230"/>
    <col min="3" max="3" width="59.28515625" style="230" bestFit="1" customWidth="1"/>
    <col min="4" max="4" width="5.5703125" style="230" bestFit="1" customWidth="1"/>
    <col min="5" max="5" width="8.85546875" style="230"/>
    <col min="6" max="6" width="42.140625" style="230" bestFit="1" customWidth="1"/>
    <col min="7" max="8" width="8.85546875" style="230"/>
    <col min="9" max="9" width="27.42578125" style="230" bestFit="1" customWidth="1"/>
    <col min="10" max="10" width="22.42578125" style="230" bestFit="1" customWidth="1"/>
    <col min="11" max="16384" width="8.85546875" style="230"/>
  </cols>
  <sheetData>
    <row r="2" spans="3:12" ht="15.75">
      <c r="C2" s="2343" t="s">
        <v>1870</v>
      </c>
      <c r="D2" s="2344"/>
      <c r="E2" s="2344"/>
      <c r="F2" s="2344"/>
      <c r="G2" s="2344"/>
      <c r="H2" s="2344"/>
      <c r="I2" s="2344"/>
      <c r="J2" s="2345"/>
    </row>
    <row r="3" spans="3:12" ht="15.75">
      <c r="C3" s="616"/>
      <c r="D3" s="617"/>
      <c r="E3" s="617"/>
      <c r="F3" s="618"/>
      <c r="G3" s="618"/>
      <c r="H3" s="618"/>
      <c r="I3" s="617"/>
      <c r="J3" s="619"/>
    </row>
    <row r="4" spans="3:12" ht="15.75">
      <c r="C4" s="2346" t="s">
        <v>3457</v>
      </c>
      <c r="D4" s="2347"/>
      <c r="E4" s="2347"/>
      <c r="F4" s="2347"/>
      <c r="G4" s="2347"/>
      <c r="H4" s="2347"/>
      <c r="I4" s="2347"/>
      <c r="J4" s="2348"/>
    </row>
    <row r="5" spans="3:12" ht="15.75">
      <c r="C5" s="616"/>
      <c r="D5" s="617"/>
      <c r="E5" s="617"/>
      <c r="F5" s="618"/>
      <c r="G5" s="618"/>
      <c r="H5" s="618"/>
      <c r="I5" s="617"/>
      <c r="J5" s="619"/>
    </row>
    <row r="6" spans="3:12" ht="15.75">
      <c r="C6" s="2349">
        <v>44651</v>
      </c>
      <c r="D6" s="2350"/>
      <c r="E6" s="2350"/>
      <c r="F6" s="2350"/>
      <c r="G6" s="2350"/>
      <c r="H6" s="2350"/>
      <c r="I6" s="2350"/>
      <c r="J6" s="2351"/>
    </row>
    <row r="7" spans="3:12" ht="15.75">
      <c r="C7" s="620"/>
      <c r="D7" s="621"/>
      <c r="E7" s="621"/>
      <c r="F7" s="622"/>
      <c r="G7" s="622"/>
      <c r="H7" s="622"/>
      <c r="I7" s="621"/>
      <c r="J7" s="623">
        <f>+L11</f>
        <v>0.25168000000000001</v>
      </c>
      <c r="L7" s="624">
        <v>0.22</v>
      </c>
    </row>
    <row r="8" spans="3:12" ht="15.75">
      <c r="C8" s="625" t="s">
        <v>9</v>
      </c>
      <c r="D8" s="626"/>
      <c r="E8" s="626"/>
      <c r="F8" s="627"/>
      <c r="G8" s="627"/>
      <c r="H8" s="627"/>
      <c r="I8" s="628" t="s">
        <v>2072</v>
      </c>
      <c r="J8" s="628" t="s">
        <v>2073</v>
      </c>
      <c r="L8" s="629">
        <f>+L7*0.1</f>
        <v>2.2000000000000002E-2</v>
      </c>
    </row>
    <row r="9" spans="3:12" ht="15.75">
      <c r="C9" s="630"/>
      <c r="D9" s="631"/>
      <c r="E9" s="631"/>
      <c r="F9" s="632"/>
      <c r="G9" s="633"/>
      <c r="H9" s="632"/>
      <c r="I9" s="634"/>
      <c r="J9" s="634"/>
      <c r="L9" s="635">
        <f>+L7+L8</f>
        <v>0.24199999999999999</v>
      </c>
    </row>
    <row r="10" spans="3:12" ht="15.75">
      <c r="C10" s="636">
        <v>43922</v>
      </c>
      <c r="D10" s="637"/>
      <c r="E10" s="637"/>
      <c r="F10" s="638"/>
      <c r="G10" s="639"/>
      <c r="H10" s="638"/>
      <c r="I10" s="639">
        <f>+BSPL!I36</f>
        <v>19475120.165946875</v>
      </c>
      <c r="J10" s="640"/>
      <c r="L10" s="635">
        <f>+L9*0.04</f>
        <v>9.6799999999999994E-3</v>
      </c>
    </row>
    <row r="11" spans="3:12" ht="15.75">
      <c r="C11" s="641"/>
      <c r="D11" s="642"/>
      <c r="E11" s="642"/>
      <c r="F11" s="643"/>
      <c r="G11" s="644"/>
      <c r="H11" s="643"/>
      <c r="I11" s="645"/>
      <c r="J11" s="645"/>
      <c r="L11" s="646">
        <f>+L9+L10</f>
        <v>0.25168000000000001</v>
      </c>
    </row>
    <row r="12" spans="3:12" ht="15.75">
      <c r="C12" s="647" t="s">
        <v>2074</v>
      </c>
      <c r="D12" s="642"/>
      <c r="E12" s="642"/>
      <c r="F12" s="643"/>
      <c r="G12" s="644"/>
      <c r="H12" s="643"/>
      <c r="I12" s="645"/>
      <c r="J12" s="645"/>
    </row>
    <row r="13" spans="3:12" ht="15.75">
      <c r="C13" s="641" t="s">
        <v>2075</v>
      </c>
      <c r="D13" s="648"/>
      <c r="E13" s="648"/>
      <c r="F13" s="649"/>
      <c r="G13" s="650"/>
      <c r="H13" s="649"/>
      <c r="I13" s="651">
        <f>+Depreciation!K71-Depreciation!K63-[68]Building!$EB$464</f>
        <v>159222754.06426284</v>
      </c>
      <c r="J13" s="645"/>
    </row>
    <row r="14" spans="3:12" ht="15.75">
      <c r="C14" s="641" t="s">
        <v>2076</v>
      </c>
      <c r="D14" s="648"/>
      <c r="E14" s="648"/>
      <c r="F14" s="649"/>
      <c r="G14" s="650"/>
      <c r="H14" s="649"/>
      <c r="I14" s="651">
        <f>+'IT Dep'!P61-'IT Dep'!P21</f>
        <v>92429234.648681045</v>
      </c>
      <c r="J14" s="645"/>
    </row>
    <row r="15" spans="3:12" ht="16.5" thickBot="1">
      <c r="C15" s="647"/>
      <c r="D15" s="648"/>
      <c r="E15" s="648"/>
      <c r="F15" s="652" t="s">
        <v>2077</v>
      </c>
      <c r="G15" s="653"/>
      <c r="H15" s="652"/>
      <c r="I15" s="654">
        <f>+I13-I14</f>
        <v>66793519.415581793</v>
      </c>
      <c r="J15" s="655">
        <f>I15*$J$7</f>
        <v>16810592.966513626</v>
      </c>
    </row>
    <row r="16" spans="3:12" ht="16.5" thickTop="1">
      <c r="C16" s="647"/>
      <c r="D16" s="648"/>
      <c r="E16" s="648"/>
      <c r="F16" s="649"/>
      <c r="G16" s="650"/>
      <c r="H16" s="649"/>
      <c r="I16" s="650"/>
      <c r="J16" s="645"/>
    </row>
    <row r="17" spans="3:10" ht="15.75">
      <c r="C17" s="641"/>
      <c r="D17" s="648"/>
      <c r="E17" s="648"/>
      <c r="F17" s="649"/>
      <c r="G17" s="650"/>
      <c r="H17" s="649"/>
      <c r="I17" s="645"/>
      <c r="J17" s="645"/>
    </row>
    <row r="18" spans="3:10" ht="15.75">
      <c r="C18" s="641" t="s">
        <v>2078</v>
      </c>
      <c r="D18" s="648"/>
      <c r="E18" s="648"/>
      <c r="F18" s="649"/>
      <c r="G18" s="650"/>
      <c r="H18" s="649"/>
      <c r="I18" s="656">
        <f>+COI!I22</f>
        <v>1486209</v>
      </c>
      <c r="J18" s="645"/>
    </row>
    <row r="19" spans="3:10" ht="15.75">
      <c r="C19" s="641" t="s">
        <v>2079</v>
      </c>
      <c r="D19" s="648"/>
      <c r="E19" s="648"/>
      <c r="F19" s="649"/>
      <c r="G19" s="650"/>
      <c r="H19" s="649"/>
      <c r="I19" s="656">
        <f>+COI!I18</f>
        <v>912232</v>
      </c>
      <c r="J19" s="645"/>
    </row>
    <row r="20" spans="3:10" ht="15.75">
      <c r="C20" s="641" t="s">
        <v>2080</v>
      </c>
      <c r="D20" s="648"/>
      <c r="E20" s="648"/>
      <c r="F20" s="649"/>
      <c r="G20" s="650"/>
      <c r="H20" s="649"/>
      <c r="I20" s="656">
        <f>+GETPIVOTDATA("Sum of Cr. Final 21-22",Pivot!$A$3,"PARTICULARS","Leave Encashment Payable","Note",20,"BS Main Head","Short Term Provisions","BS Sub Head","Provision for Employee Benefit")</f>
        <v>221807</v>
      </c>
      <c r="J20" s="645"/>
    </row>
    <row r="21" spans="3:10" ht="16.5" thickBot="1">
      <c r="C21" s="641"/>
      <c r="D21" s="648"/>
      <c r="E21" s="648"/>
      <c r="F21" s="648"/>
      <c r="G21" s="645"/>
      <c r="H21" s="648"/>
      <c r="I21" s="657">
        <f>SUM(I17:I20)</f>
        <v>2620248</v>
      </c>
      <c r="J21" s="655">
        <f>I21*$J$7</f>
        <v>659464.01664000005</v>
      </c>
    </row>
    <row r="22" spans="3:10" ht="16.5" thickTop="1">
      <c r="C22" s="641"/>
      <c r="D22" s="648"/>
      <c r="E22" s="648"/>
      <c r="F22" s="649"/>
      <c r="G22" s="650"/>
      <c r="H22" s="649"/>
      <c r="I22" s="658"/>
      <c r="J22" s="644"/>
    </row>
    <row r="23" spans="3:10" ht="15.75">
      <c r="C23" s="641" t="s">
        <v>2081</v>
      </c>
      <c r="D23" s="648"/>
      <c r="E23" s="648"/>
      <c r="F23" s="649"/>
      <c r="G23" s="650"/>
      <c r="H23" s="649"/>
      <c r="I23" s="650">
        <v>0</v>
      </c>
      <c r="J23" s="645"/>
    </row>
    <row r="24" spans="3:10" ht="16.5" thickBot="1">
      <c r="C24" s="641" t="s">
        <v>610</v>
      </c>
      <c r="D24" s="648"/>
      <c r="E24" s="648"/>
      <c r="F24" s="649"/>
      <c r="G24" s="650"/>
      <c r="H24" s="649"/>
      <c r="I24" s="650">
        <v>0</v>
      </c>
      <c r="J24" s="655">
        <f>(SUM(I23:I24))*$J$7</f>
        <v>0</v>
      </c>
    </row>
    <row r="25" spans="3:10" ht="17.25" thickTop="1" thickBot="1">
      <c r="C25" s="647"/>
      <c r="D25" s="642"/>
      <c r="E25" s="642"/>
      <c r="F25" s="652" t="s">
        <v>2082</v>
      </c>
      <c r="G25" s="653"/>
      <c r="H25" s="652"/>
      <c r="I25" s="654">
        <f>I21+I24+I23</f>
        <v>2620248</v>
      </c>
      <c r="J25" s="654">
        <f>SUM(J21:J24)</f>
        <v>659464.01664000005</v>
      </c>
    </row>
    <row r="26" spans="3:10" ht="16.5" thickTop="1">
      <c r="C26" s="641"/>
      <c r="D26" s="648"/>
      <c r="E26" s="648"/>
      <c r="F26" s="659"/>
      <c r="G26" s="660"/>
      <c r="H26" s="659"/>
      <c r="I26" s="650"/>
      <c r="J26" s="661"/>
    </row>
    <row r="27" spans="3:10" ht="15.75">
      <c r="C27" s="641" t="s">
        <v>2083</v>
      </c>
      <c r="D27" s="648"/>
      <c r="E27" s="648"/>
      <c r="F27" s="659"/>
      <c r="G27" s="660"/>
      <c r="H27" s="659"/>
      <c r="I27" s="650"/>
      <c r="J27" s="650">
        <f>+J25</f>
        <v>659464.01664000005</v>
      </c>
    </row>
    <row r="28" spans="3:10" ht="15.75">
      <c r="C28" s="641" t="s">
        <v>2084</v>
      </c>
      <c r="D28" s="648"/>
      <c r="E28" s="648"/>
      <c r="F28" s="659"/>
      <c r="G28" s="660"/>
      <c r="H28" s="659"/>
      <c r="I28" s="650"/>
      <c r="J28" s="650">
        <f>+J15</f>
        <v>16810592.966513626</v>
      </c>
    </row>
    <row r="29" spans="3:10" ht="16.5" thickBot="1">
      <c r="C29" s="647"/>
      <c r="D29" s="642"/>
      <c r="E29" s="642"/>
      <c r="F29" s="652" t="str">
        <f>IF(J27&gt;J28,"Net Deferred Tax Asset","Net Deferred Tax Liability")</f>
        <v>Net Deferred Tax Liability</v>
      </c>
      <c r="G29" s="653"/>
      <c r="H29" s="652"/>
      <c r="I29" s="654">
        <f>IF(I27&gt;I28,(I27-I28),(I28-I27))</f>
        <v>0</v>
      </c>
      <c r="J29" s="654">
        <f>IF(J27&gt;J28,(J27-J28),(J28-J27))</f>
        <v>16151128.949873626</v>
      </c>
    </row>
    <row r="30" spans="3:10" ht="16.5" thickTop="1">
      <c r="C30" s="641"/>
      <c r="D30" s="642"/>
      <c r="E30" s="648"/>
      <c r="F30" s="649"/>
      <c r="G30" s="650"/>
      <c r="H30" s="649"/>
      <c r="I30" s="644"/>
      <c r="J30" s="645"/>
    </row>
    <row r="31" spans="3:10" ht="15.75">
      <c r="C31" s="641" t="str">
        <f>IF(J28&lt;J27,"Closing Balance of Deferred Tax Assets","Closing Balance of Deferred Tax Liability")</f>
        <v>Closing Balance of Deferred Tax Liability</v>
      </c>
      <c r="D31" s="642"/>
      <c r="E31" s="648"/>
      <c r="F31" s="649"/>
      <c r="G31" s="650"/>
      <c r="H31" s="649"/>
      <c r="I31" s="650">
        <f>IF(J28&lt;J27,(J27-J28),(J28-J27))</f>
        <v>16151128.949873626</v>
      </c>
      <c r="J31" s="662"/>
    </row>
    <row r="32" spans="3:10" ht="15.75">
      <c r="C32" s="641" t="s">
        <v>2085</v>
      </c>
      <c r="D32" s="642"/>
      <c r="E32" s="648"/>
      <c r="F32" s="649"/>
      <c r="G32" s="650"/>
      <c r="H32" s="649"/>
      <c r="I32" s="650">
        <f>+I10</f>
        <v>19475120.165946875</v>
      </c>
      <c r="J32" s="645"/>
    </row>
    <row r="33" spans="3:10" ht="15.75">
      <c r="C33" s="641"/>
      <c r="D33" s="642"/>
      <c r="E33" s="648"/>
      <c r="F33" s="649"/>
      <c r="G33" s="650"/>
      <c r="H33" s="649"/>
      <c r="I33" s="650"/>
      <c r="J33" s="645"/>
    </row>
    <row r="34" spans="3:10" ht="16.5" thickBot="1">
      <c r="C34" s="663" t="s">
        <v>2086</v>
      </c>
      <c r="D34" s="642"/>
      <c r="E34" s="648"/>
      <c r="F34" s="649"/>
      <c r="G34" s="650"/>
      <c r="H34" s="649"/>
      <c r="I34" s="654">
        <f>I31-I32</f>
        <v>-3323991.2160732485</v>
      </c>
      <c r="J34" s="645"/>
    </row>
    <row r="35" spans="3:10" ht="16.5" thickTop="1">
      <c r="C35" s="664"/>
      <c r="D35" s="665"/>
      <c r="E35" s="666"/>
      <c r="F35" s="667"/>
      <c r="G35" s="668"/>
      <c r="H35" s="667"/>
      <c r="I35" s="669"/>
      <c r="J35" s="670"/>
    </row>
    <row r="36" spans="3:10" ht="15.75">
      <c r="C36" s="647"/>
      <c r="D36" s="642"/>
      <c r="E36" s="648"/>
      <c r="F36" s="649"/>
      <c r="G36" s="650"/>
      <c r="H36" s="649"/>
      <c r="I36" s="644"/>
      <c r="J36" s="645"/>
    </row>
    <row r="37" spans="3:10" ht="15.75">
      <c r="C37" s="647" t="s">
        <v>2087</v>
      </c>
      <c r="D37" s="648"/>
      <c r="E37" s="648"/>
      <c r="F37" s="649"/>
      <c r="G37" s="650"/>
      <c r="H37" s="649"/>
      <c r="I37" s="645"/>
      <c r="J37" s="645"/>
    </row>
    <row r="38" spans="3:10" ht="15.75">
      <c r="C38" s="671" t="s">
        <v>2088</v>
      </c>
      <c r="D38" s="672" t="s">
        <v>2089</v>
      </c>
      <c r="E38" s="637"/>
      <c r="F38" s="673"/>
      <c r="G38" s="674"/>
      <c r="H38" s="673"/>
      <c r="I38" s="675">
        <f>J39</f>
        <v>-3323991.2160732485</v>
      </c>
      <c r="J38" s="676"/>
    </row>
    <row r="39" spans="3:10" ht="15.75">
      <c r="C39" s="677" t="s">
        <v>2090</v>
      </c>
      <c r="D39" s="678"/>
      <c r="E39" s="678"/>
      <c r="F39" s="679"/>
      <c r="G39" s="680"/>
      <c r="H39" s="679"/>
      <c r="I39" s="681"/>
      <c r="J39" s="682">
        <f>I34</f>
        <v>-3323991.2160732485</v>
      </c>
    </row>
  </sheetData>
  <mergeCells count="3">
    <mergeCell ref="C2:J2"/>
    <mergeCell ref="C4:J4"/>
    <mergeCell ref="C6:J6"/>
  </mergeCells>
  <pageMargins left="0.7" right="0.7" top="0.75" bottom="0.75" header="0.3" footer="0.3"/>
  <pageSetup paperSize="9" scale="47" orientation="portrait" r:id="rId1"/>
  <colBreaks count="1" manualBreakCount="1">
    <brk id="10"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3:Q79"/>
  <sheetViews>
    <sheetView view="pageBreakPreview" topLeftCell="A11" zoomScale="60" zoomScaleNormal="65" workbookViewId="0">
      <selection activeCell="F24" sqref="F24"/>
    </sheetView>
  </sheetViews>
  <sheetFormatPr defaultColWidth="8" defaultRowHeight="15"/>
  <cols>
    <col min="1" max="1" width="9.140625" style="689" customWidth="1"/>
    <col min="2" max="2" width="8" style="688" customWidth="1"/>
    <col min="3" max="3" width="27.42578125" style="689" customWidth="1"/>
    <col min="4" max="4" width="17.42578125" style="689" customWidth="1"/>
    <col min="5" max="5" width="19.85546875" style="689" bestFit="1" customWidth="1"/>
    <col min="6" max="6" width="18" style="690" bestFit="1" customWidth="1"/>
    <col min="7" max="7" width="17.28515625" style="689" bestFit="1" customWidth="1"/>
    <col min="8" max="8" width="18.42578125" style="689" hidden="1" customWidth="1"/>
    <col min="9" max="9" width="20" style="689" hidden="1" customWidth="1"/>
    <col min="10" max="10" width="15.140625" style="689" bestFit="1" customWidth="1"/>
    <col min="11" max="11" width="18.5703125" style="689" bestFit="1" customWidth="1"/>
    <col min="12" max="12" width="18" style="689" customWidth="1"/>
    <col min="13" max="13" width="23.28515625" style="689" customWidth="1"/>
    <col min="14" max="14" width="25.85546875" style="689" customWidth="1"/>
    <col min="15" max="15" width="22.28515625" style="689" customWidth="1"/>
    <col min="16" max="16" width="20.42578125" style="689" bestFit="1" customWidth="1"/>
    <col min="17" max="17" width="21.85546875" style="689" customWidth="1"/>
    <col min="18" max="16384" width="8" style="689"/>
  </cols>
  <sheetData>
    <row r="3" spans="2:17">
      <c r="L3" s="691"/>
      <c r="M3" s="691"/>
    </row>
    <row r="4" spans="2:17">
      <c r="B4" s="2355" t="s">
        <v>2190</v>
      </c>
      <c r="C4" s="2356"/>
      <c r="D4" s="2356"/>
      <c r="E4" s="2356"/>
      <c r="F4" s="2356"/>
      <c r="G4" s="2356"/>
      <c r="H4" s="2356"/>
      <c r="I4" s="2356"/>
      <c r="J4" s="2356"/>
      <c r="K4" s="2356"/>
      <c r="L4" s="2356"/>
      <c r="M4" s="2356"/>
      <c r="N4" s="2356"/>
      <c r="O4" s="2356"/>
      <c r="P4" s="2356"/>
      <c r="Q4" s="2357"/>
    </row>
    <row r="5" spans="2:17">
      <c r="B5" s="692"/>
      <c r="C5" s="693"/>
      <c r="D5" s="693"/>
      <c r="E5" s="693"/>
      <c r="F5" s="694"/>
      <c r="G5" s="693"/>
      <c r="H5" s="693"/>
      <c r="I5" s="693"/>
      <c r="J5" s="693"/>
      <c r="K5" s="693"/>
      <c r="L5" s="693"/>
      <c r="M5" s="693"/>
      <c r="N5" s="693"/>
      <c r="O5" s="693"/>
      <c r="P5" s="693"/>
      <c r="Q5" s="695"/>
    </row>
    <row r="6" spans="2:17">
      <c r="B6" s="2358" t="s">
        <v>2456</v>
      </c>
      <c r="C6" s="2359"/>
      <c r="D6" s="2359"/>
      <c r="E6" s="2359"/>
      <c r="F6" s="2359"/>
      <c r="G6" s="2359"/>
      <c r="H6" s="2359"/>
      <c r="I6" s="2359"/>
      <c r="J6" s="2359"/>
      <c r="K6" s="2359"/>
      <c r="L6" s="2359"/>
      <c r="M6" s="2359"/>
      <c r="N6" s="2359"/>
      <c r="O6" s="2359"/>
      <c r="P6" s="2359"/>
      <c r="Q6" s="2360"/>
    </row>
    <row r="7" spans="2:17">
      <c r="B7" s="696"/>
      <c r="C7" s="697"/>
      <c r="D7" s="697"/>
      <c r="E7" s="697"/>
      <c r="F7" s="694"/>
      <c r="G7" s="697"/>
      <c r="H7" s="697"/>
      <c r="I7" s="697"/>
      <c r="J7" s="697"/>
      <c r="K7" s="697"/>
      <c r="L7" s="697"/>
      <c r="M7" s="697"/>
      <c r="N7" s="697"/>
      <c r="O7" s="697"/>
      <c r="P7" s="697"/>
      <c r="Q7" s="695"/>
    </row>
    <row r="8" spans="2:17">
      <c r="B8" s="2361" t="s">
        <v>2191</v>
      </c>
      <c r="C8" s="2362"/>
      <c r="D8" s="2362"/>
      <c r="E8" s="2362"/>
      <c r="F8" s="2362"/>
      <c r="G8" s="2362"/>
      <c r="H8" s="2362"/>
      <c r="I8" s="2362"/>
      <c r="J8" s="2362"/>
      <c r="K8" s="2362"/>
      <c r="L8" s="2362"/>
      <c r="M8" s="2362"/>
      <c r="N8" s="2362"/>
      <c r="O8" s="2362"/>
      <c r="P8" s="2362"/>
      <c r="Q8" s="2363"/>
    </row>
    <row r="9" spans="2:17">
      <c r="B9" s="692"/>
      <c r="C9" s="693"/>
      <c r="D9" s="693"/>
      <c r="E9" s="693"/>
      <c r="F9" s="694"/>
      <c r="G9" s="693"/>
      <c r="H9" s="693"/>
      <c r="I9" s="693"/>
      <c r="J9" s="693"/>
      <c r="K9" s="693"/>
      <c r="L9" s="693"/>
      <c r="M9" s="693"/>
      <c r="N9" s="693"/>
      <c r="O9" s="693"/>
      <c r="P9" s="693"/>
      <c r="Q9" s="695"/>
    </row>
    <row r="10" spans="2:17">
      <c r="B10" s="2364" t="s">
        <v>2192</v>
      </c>
      <c r="C10" s="2365"/>
      <c r="D10" s="2365"/>
      <c r="E10" s="2365"/>
      <c r="F10" s="2365"/>
      <c r="G10" s="2365"/>
      <c r="H10" s="2365"/>
      <c r="I10" s="2365"/>
      <c r="J10" s="2365"/>
      <c r="K10" s="2365"/>
      <c r="L10" s="2365"/>
      <c r="M10" s="2365"/>
      <c r="N10" s="2365"/>
      <c r="O10" s="2365"/>
      <c r="P10" s="2365"/>
      <c r="Q10" s="2366"/>
    </row>
    <row r="11" spans="2:17">
      <c r="B11" s="698"/>
      <c r="C11" s="694"/>
      <c r="D11" s="694"/>
      <c r="E11" s="694"/>
      <c r="F11" s="694"/>
      <c r="G11" s="694"/>
      <c r="H11" s="694"/>
      <c r="I11" s="694"/>
      <c r="J11" s="694"/>
      <c r="K11" s="694"/>
      <c r="L11" s="694"/>
      <c r="M11" s="694"/>
      <c r="N11" s="694"/>
      <c r="O11" s="694"/>
      <c r="P11" s="694"/>
      <c r="Q11" s="695"/>
    </row>
    <row r="12" spans="2:17">
      <c r="B12" s="2364" t="s">
        <v>2193</v>
      </c>
      <c r="C12" s="2365"/>
      <c r="D12" s="2365"/>
      <c r="E12" s="2365"/>
      <c r="F12" s="2365"/>
      <c r="G12" s="2365"/>
      <c r="H12" s="2365"/>
      <c r="I12" s="2365"/>
      <c r="J12" s="2365"/>
      <c r="K12" s="2365"/>
      <c r="L12" s="2365"/>
      <c r="M12" s="2365"/>
      <c r="N12" s="2365"/>
      <c r="O12" s="2365"/>
      <c r="P12" s="2365"/>
      <c r="Q12" s="2366"/>
    </row>
    <row r="13" spans="2:17">
      <c r="B13" s="699"/>
      <c r="C13" s="700"/>
      <c r="D13" s="701"/>
      <c r="E13" s="700"/>
      <c r="F13" s="700"/>
      <c r="G13" s="700"/>
      <c r="H13" s="700"/>
      <c r="I13" s="700"/>
      <c r="J13" s="700"/>
      <c r="K13" s="700"/>
      <c r="L13" s="700"/>
      <c r="M13" s="700"/>
      <c r="N13" s="700"/>
      <c r="O13" s="700"/>
      <c r="P13" s="700"/>
      <c r="Q13" s="695"/>
    </row>
    <row r="14" spans="2:17">
      <c r="B14" s="702" t="s">
        <v>1935</v>
      </c>
      <c r="C14" s="703" t="s">
        <v>2194</v>
      </c>
      <c r="D14" s="704" t="s">
        <v>2195</v>
      </c>
      <c r="E14" s="705" t="s">
        <v>2196</v>
      </c>
      <c r="F14" s="2367" t="s">
        <v>1686</v>
      </c>
      <c r="G14" s="2368"/>
      <c r="H14" s="2369" t="s">
        <v>2197</v>
      </c>
      <c r="I14" s="2370"/>
      <c r="J14" s="706" t="s">
        <v>2198</v>
      </c>
      <c r="K14" s="705" t="s">
        <v>1249</v>
      </c>
      <c r="L14" s="705" t="s">
        <v>2199</v>
      </c>
      <c r="M14" s="2352" t="s">
        <v>2200</v>
      </c>
      <c r="N14" s="2352" t="s">
        <v>2201</v>
      </c>
      <c r="O14" s="2352" t="s">
        <v>2202</v>
      </c>
      <c r="P14" s="705" t="s">
        <v>2203</v>
      </c>
      <c r="Q14" s="2352" t="s">
        <v>2204</v>
      </c>
    </row>
    <row r="15" spans="2:17">
      <c r="B15" s="707"/>
      <c r="C15" s="708"/>
      <c r="D15" s="709" t="s">
        <v>2205</v>
      </c>
      <c r="E15" s="709" t="s">
        <v>2453</v>
      </c>
      <c r="F15" s="694" t="s">
        <v>2206</v>
      </c>
      <c r="G15" s="709" t="s">
        <v>2207</v>
      </c>
      <c r="H15" s="694" t="s">
        <v>2206</v>
      </c>
      <c r="I15" s="709" t="s">
        <v>2207</v>
      </c>
      <c r="J15" s="709"/>
      <c r="K15" s="708"/>
      <c r="L15" s="709" t="s">
        <v>2208</v>
      </c>
      <c r="M15" s="2353"/>
      <c r="N15" s="2353"/>
      <c r="O15" s="2353"/>
      <c r="P15" s="710">
        <v>44651</v>
      </c>
      <c r="Q15" s="2353"/>
    </row>
    <row r="16" spans="2:17">
      <c r="B16" s="711"/>
      <c r="C16" s="712"/>
      <c r="D16" s="713"/>
      <c r="E16" s="712"/>
      <c r="F16" s="714" t="s">
        <v>1654</v>
      </c>
      <c r="G16" s="714" t="s">
        <v>1654</v>
      </c>
      <c r="H16" s="714" t="s">
        <v>1654</v>
      </c>
      <c r="I16" s="714" t="s">
        <v>1654</v>
      </c>
      <c r="J16" s="714"/>
      <c r="K16" s="712"/>
      <c r="L16" s="715" t="s">
        <v>1626</v>
      </c>
      <c r="M16" s="2354"/>
      <c r="N16" s="2354"/>
      <c r="O16" s="2354"/>
      <c r="P16" s="712"/>
      <c r="Q16" s="2354"/>
    </row>
    <row r="17" spans="2:17">
      <c r="B17" s="716"/>
      <c r="C17" s="717"/>
      <c r="D17" s="718"/>
      <c r="E17" s="719"/>
      <c r="F17" s="719"/>
      <c r="G17" s="719"/>
      <c r="H17" s="719"/>
      <c r="I17" s="719"/>
      <c r="J17" s="719"/>
      <c r="K17" s="719"/>
      <c r="L17" s="709"/>
      <c r="M17" s="709"/>
      <c r="N17" s="709"/>
      <c r="O17" s="709"/>
      <c r="P17" s="719"/>
      <c r="Q17" s="720"/>
    </row>
    <row r="18" spans="2:17">
      <c r="B18" s="721"/>
      <c r="C18" s="722" t="s">
        <v>2209</v>
      </c>
      <c r="D18" s="723"/>
      <c r="E18" s="719"/>
      <c r="F18" s="719"/>
      <c r="G18" s="719"/>
      <c r="H18" s="719"/>
      <c r="I18" s="719"/>
      <c r="J18" s="719"/>
      <c r="K18" s="719"/>
      <c r="L18" s="709"/>
      <c r="M18" s="709"/>
      <c r="N18" s="709"/>
      <c r="O18" s="709"/>
      <c r="P18" s="719"/>
      <c r="Q18" s="720"/>
    </row>
    <row r="19" spans="2:17">
      <c r="B19" s="724">
        <v>1</v>
      </c>
      <c r="C19" s="725" t="s">
        <v>2210</v>
      </c>
      <c r="D19" s="726">
        <v>0</v>
      </c>
      <c r="E19" s="727">
        <v>1156704</v>
      </c>
      <c r="F19" s="727"/>
      <c r="G19" s="727"/>
      <c r="H19" s="727">
        <v>0</v>
      </c>
      <c r="I19" s="727">
        <v>0</v>
      </c>
      <c r="J19" s="727">
        <v>0</v>
      </c>
      <c r="K19" s="727">
        <f>SUM(F19:G19)</f>
        <v>0</v>
      </c>
      <c r="L19" s="728">
        <f>+((E19+F19-J19)*D19+(G19*D19/2))</f>
        <v>0</v>
      </c>
      <c r="M19" s="728">
        <v>0</v>
      </c>
      <c r="N19" s="728">
        <v>0</v>
      </c>
      <c r="O19" s="728">
        <f>SUM(L19:N19)</f>
        <v>0</v>
      </c>
      <c r="P19" s="727">
        <f>+E19+K19-L19</f>
        <v>1156704</v>
      </c>
      <c r="Q19" s="728">
        <v>0</v>
      </c>
    </row>
    <row r="20" spans="2:17">
      <c r="B20" s="729"/>
      <c r="C20" s="730"/>
      <c r="D20" s="712"/>
      <c r="E20" s="719"/>
      <c r="F20" s="719"/>
      <c r="G20" s="719"/>
      <c r="H20" s="719"/>
      <c r="I20" s="719"/>
      <c r="J20" s="719"/>
      <c r="K20" s="719"/>
      <c r="L20" s="709"/>
      <c r="M20" s="709"/>
      <c r="N20" s="709"/>
      <c r="O20" s="709"/>
      <c r="P20" s="719"/>
      <c r="Q20" s="720"/>
    </row>
    <row r="21" spans="2:17">
      <c r="B21" s="724"/>
      <c r="C21" s="731" t="s">
        <v>2211</v>
      </c>
      <c r="D21" s="732"/>
      <c r="E21" s="733">
        <f t="shared" ref="E21:P21" si="0">SUM(E19:E20)</f>
        <v>1156704</v>
      </c>
      <c r="F21" s="733">
        <f t="shared" si="0"/>
        <v>0</v>
      </c>
      <c r="G21" s="733">
        <f t="shared" si="0"/>
        <v>0</v>
      </c>
      <c r="H21" s="733">
        <f t="shared" si="0"/>
        <v>0</v>
      </c>
      <c r="I21" s="733">
        <f t="shared" si="0"/>
        <v>0</v>
      </c>
      <c r="J21" s="733">
        <f t="shared" si="0"/>
        <v>0</v>
      </c>
      <c r="K21" s="733">
        <f>SUM(K19:K20)</f>
        <v>0</v>
      </c>
      <c r="L21" s="733">
        <f t="shared" si="0"/>
        <v>0</v>
      </c>
      <c r="M21" s="733">
        <f t="shared" si="0"/>
        <v>0</v>
      </c>
      <c r="N21" s="733">
        <f t="shared" si="0"/>
        <v>0</v>
      </c>
      <c r="O21" s="733">
        <f>O19</f>
        <v>0</v>
      </c>
      <c r="P21" s="733">
        <f t="shared" si="0"/>
        <v>1156704</v>
      </c>
      <c r="Q21" s="733">
        <f>SUM(Q19:Q20)</f>
        <v>0</v>
      </c>
    </row>
    <row r="22" spans="2:17">
      <c r="B22" s="716"/>
      <c r="C22" s="717"/>
      <c r="D22" s="718"/>
      <c r="E22" s="719"/>
      <c r="F22" s="719"/>
      <c r="G22" s="719"/>
      <c r="H22" s="719"/>
      <c r="I22" s="719"/>
      <c r="J22" s="719"/>
      <c r="K22" s="719"/>
      <c r="L22" s="709"/>
      <c r="M22" s="709"/>
      <c r="N22" s="709"/>
      <c r="O22" s="709"/>
      <c r="P22" s="719"/>
      <c r="Q22" s="720"/>
    </row>
    <row r="23" spans="2:17">
      <c r="B23" s="721"/>
      <c r="C23" s="722" t="s">
        <v>2212</v>
      </c>
      <c r="D23" s="723"/>
      <c r="E23" s="719"/>
      <c r="F23" s="719"/>
      <c r="G23" s="734"/>
      <c r="H23" s="734"/>
      <c r="I23" s="734"/>
      <c r="J23" s="719"/>
      <c r="K23" s="719"/>
      <c r="L23" s="709"/>
      <c r="M23" s="709"/>
      <c r="N23" s="709"/>
      <c r="O23" s="709"/>
      <c r="P23" s="719"/>
      <c r="Q23" s="709"/>
    </row>
    <row r="24" spans="2:17">
      <c r="B24" s="724">
        <v>2</v>
      </c>
      <c r="C24" s="725" t="s">
        <v>521</v>
      </c>
      <c r="D24" s="726">
        <v>0.1</v>
      </c>
      <c r="E24" s="1776">
        <v>21086592.380115032</v>
      </c>
      <c r="F24" s="727">
        <v>1489309</v>
      </c>
      <c r="G24" s="735">
        <v>873838</v>
      </c>
      <c r="H24" s="735">
        <v>0</v>
      </c>
      <c r="I24" s="735">
        <v>0</v>
      </c>
      <c r="J24" s="727"/>
      <c r="K24" s="727">
        <f>SUM(F24:G24)-J24</f>
        <v>2363147</v>
      </c>
      <c r="L24" s="728">
        <f>+((E24+F24-J24)*D24)+(G24*D24/2)</f>
        <v>2301282.0380115034</v>
      </c>
      <c r="M24" s="728">
        <v>0</v>
      </c>
      <c r="N24" s="728">
        <v>0</v>
      </c>
      <c r="O24" s="728">
        <f>SUM(L24:N24)</f>
        <v>2301282.0380115034</v>
      </c>
      <c r="P24" s="727">
        <f>+E24+K24-L24</f>
        <v>21148457.34210353</v>
      </c>
      <c r="Q24" s="728">
        <v>0</v>
      </c>
    </row>
    <row r="25" spans="2:17">
      <c r="B25" s="729"/>
      <c r="C25" s="730"/>
      <c r="D25" s="712"/>
      <c r="E25" s="719"/>
      <c r="F25" s="719"/>
      <c r="G25" s="719"/>
      <c r="H25" s="719"/>
      <c r="I25" s="719"/>
      <c r="J25" s="719"/>
      <c r="K25" s="719"/>
      <c r="L25" s="709"/>
      <c r="M25" s="709"/>
      <c r="N25" s="709"/>
      <c r="O25" s="709"/>
      <c r="P25" s="719"/>
      <c r="Q25" s="720"/>
    </row>
    <row r="26" spans="2:17">
      <c r="B26" s="724"/>
      <c r="C26" s="731" t="s">
        <v>2213</v>
      </c>
      <c r="D26" s="732"/>
      <c r="E26" s="733">
        <f t="shared" ref="E26:P26" si="1">+E24</f>
        <v>21086592.380115032</v>
      </c>
      <c r="F26" s="733">
        <f>+F24</f>
        <v>1489309</v>
      </c>
      <c r="G26" s="733">
        <f t="shared" si="1"/>
        <v>873838</v>
      </c>
      <c r="H26" s="733"/>
      <c r="I26" s="733"/>
      <c r="J26" s="733">
        <f>J24</f>
        <v>0</v>
      </c>
      <c r="K26" s="733">
        <f t="shared" si="1"/>
        <v>2363147</v>
      </c>
      <c r="L26" s="733">
        <f>+L24</f>
        <v>2301282.0380115034</v>
      </c>
      <c r="M26" s="733">
        <f t="shared" si="1"/>
        <v>0</v>
      </c>
      <c r="N26" s="733">
        <f t="shared" si="1"/>
        <v>0</v>
      </c>
      <c r="O26" s="733">
        <f>O24</f>
        <v>2301282.0380115034</v>
      </c>
      <c r="P26" s="733">
        <f t="shared" si="1"/>
        <v>21148457.34210353</v>
      </c>
      <c r="Q26" s="733">
        <f>+Q24</f>
        <v>0</v>
      </c>
    </row>
    <row r="27" spans="2:17">
      <c r="B27" s="716"/>
      <c r="C27" s="717"/>
      <c r="D27" s="718"/>
      <c r="E27" s="719"/>
      <c r="F27" s="719"/>
      <c r="G27" s="719"/>
      <c r="H27" s="719"/>
      <c r="I27" s="719"/>
      <c r="J27" s="719"/>
      <c r="K27" s="719"/>
      <c r="L27" s="709"/>
      <c r="M27" s="709"/>
      <c r="N27" s="709"/>
      <c r="O27" s="709"/>
      <c r="P27" s="719"/>
      <c r="Q27" s="720"/>
    </row>
    <row r="28" spans="2:17">
      <c r="B28" s="736"/>
      <c r="C28" s="722" t="s">
        <v>2214</v>
      </c>
      <c r="D28" s="737"/>
      <c r="E28" s="727"/>
      <c r="F28" s="735"/>
      <c r="G28" s="734"/>
      <c r="H28" s="734"/>
      <c r="I28" s="734"/>
      <c r="J28" s="734"/>
      <c r="K28" s="738"/>
      <c r="L28" s="739"/>
      <c r="M28" s="739"/>
      <c r="N28" s="739"/>
      <c r="O28" s="739"/>
      <c r="P28" s="727"/>
      <c r="Q28" s="739"/>
    </row>
    <row r="29" spans="2:17">
      <c r="B29" s="736">
        <v>3</v>
      </c>
      <c r="C29" s="725" t="s">
        <v>2215</v>
      </c>
      <c r="D29" s="726">
        <v>0.1</v>
      </c>
      <c r="E29" s="727">
        <v>642113.40303046955</v>
      </c>
      <c r="F29" s="735">
        <v>13983</v>
      </c>
      <c r="G29" s="735">
        <v>0</v>
      </c>
      <c r="H29" s="735">
        <v>0</v>
      </c>
      <c r="I29" s="735">
        <v>0</v>
      </c>
      <c r="J29" s="735">
        <v>0</v>
      </c>
      <c r="K29" s="727">
        <f>SUM(F29:G29)-J29</f>
        <v>13983</v>
      </c>
      <c r="L29" s="728">
        <f>+((E29+F29-J29)*D29)+(G29*D29/2)</f>
        <v>65609.640303046952</v>
      </c>
      <c r="M29" s="728">
        <v>0</v>
      </c>
      <c r="N29" s="728">
        <v>0</v>
      </c>
      <c r="O29" s="728">
        <f>SUM(L29:N29)</f>
        <v>65609.640303046952</v>
      </c>
      <c r="P29" s="727">
        <f>+E29+K29-L29</f>
        <v>590486.76272742264</v>
      </c>
      <c r="Q29" s="728">
        <v>0</v>
      </c>
    </row>
    <row r="30" spans="2:17">
      <c r="B30" s="736"/>
      <c r="C30" s="740"/>
      <c r="D30" s="726"/>
      <c r="E30" s="727"/>
      <c r="F30" s="735"/>
      <c r="G30" s="735"/>
      <c r="H30" s="735"/>
      <c r="I30" s="735"/>
      <c r="J30" s="735"/>
      <c r="K30" s="727"/>
      <c r="L30" s="728"/>
      <c r="M30" s="728"/>
      <c r="N30" s="728"/>
      <c r="O30" s="728"/>
      <c r="P30" s="727"/>
      <c r="Q30" s="728"/>
    </row>
    <row r="31" spans="2:17">
      <c r="B31" s="741"/>
      <c r="C31" s="731" t="s">
        <v>1249</v>
      </c>
      <c r="D31" s="742"/>
      <c r="E31" s="733">
        <f>E29</f>
        <v>642113.40303046955</v>
      </c>
      <c r="F31" s="733">
        <f t="shared" ref="F31:Q31" si="2">F29</f>
        <v>13983</v>
      </c>
      <c r="G31" s="733">
        <f t="shared" si="2"/>
        <v>0</v>
      </c>
      <c r="H31" s="733">
        <f t="shared" si="2"/>
        <v>0</v>
      </c>
      <c r="I31" s="733">
        <f t="shared" si="2"/>
        <v>0</v>
      </c>
      <c r="J31" s="733">
        <f t="shared" si="2"/>
        <v>0</v>
      </c>
      <c r="K31" s="733">
        <f t="shared" si="2"/>
        <v>13983</v>
      </c>
      <c r="L31" s="733">
        <f t="shared" si="2"/>
        <v>65609.640303046952</v>
      </c>
      <c r="M31" s="733">
        <f t="shared" si="2"/>
        <v>0</v>
      </c>
      <c r="N31" s="733">
        <f t="shared" si="2"/>
        <v>0</v>
      </c>
      <c r="O31" s="733">
        <f>O29</f>
        <v>65609.640303046952</v>
      </c>
      <c r="P31" s="733">
        <f t="shared" si="2"/>
        <v>590486.76272742264</v>
      </c>
      <c r="Q31" s="733">
        <f t="shared" si="2"/>
        <v>0</v>
      </c>
    </row>
    <row r="32" spans="2:17">
      <c r="B32" s="743"/>
      <c r="C32" s="720"/>
      <c r="D32" s="744"/>
      <c r="E32" s="744"/>
      <c r="F32" s="719"/>
      <c r="G32" s="719"/>
      <c r="H32" s="719"/>
      <c r="I32" s="719"/>
      <c r="J32" s="719"/>
      <c r="K32" s="719"/>
      <c r="L32" s="709"/>
      <c r="M32" s="709"/>
      <c r="N32" s="709"/>
      <c r="O32" s="709"/>
      <c r="P32" s="719"/>
      <c r="Q32" s="720"/>
    </row>
    <row r="33" spans="2:17">
      <c r="B33" s="707">
        <v>4</v>
      </c>
      <c r="C33" s="745" t="s">
        <v>2216</v>
      </c>
      <c r="D33" s="726">
        <v>0.1</v>
      </c>
      <c r="E33" s="727">
        <v>12908685.729693444</v>
      </c>
      <c r="F33" s="735">
        <v>260980</v>
      </c>
      <c r="G33" s="735">
        <v>9500</v>
      </c>
      <c r="H33" s="735">
        <v>0</v>
      </c>
      <c r="I33" s="735">
        <v>0</v>
      </c>
      <c r="J33" s="746"/>
      <c r="K33" s="727">
        <f>SUM(F33:G33)-J33</f>
        <v>270480</v>
      </c>
      <c r="L33" s="728">
        <f>+((E33+F33-J33)*D33)+(G33*D33/2)</f>
        <v>1317441.5729693444</v>
      </c>
      <c r="M33" s="728">
        <v>0</v>
      </c>
      <c r="N33" s="728">
        <v>0</v>
      </c>
      <c r="O33" s="728">
        <f>SUM(L33:N33)</f>
        <v>1317441.5729693444</v>
      </c>
      <c r="P33" s="727">
        <f>+E33+K33-L33</f>
        <v>11861724.156724099</v>
      </c>
      <c r="Q33" s="728">
        <v>0</v>
      </c>
    </row>
    <row r="34" spans="2:17">
      <c r="B34" s="743"/>
      <c r="C34" s="720"/>
      <c r="D34" s="744"/>
      <c r="E34" s="744"/>
      <c r="F34" s="719"/>
      <c r="G34" s="719"/>
      <c r="H34" s="719"/>
      <c r="I34" s="719"/>
      <c r="J34" s="719"/>
      <c r="K34" s="719"/>
      <c r="L34" s="709"/>
      <c r="M34" s="709"/>
      <c r="N34" s="709"/>
      <c r="O34" s="709"/>
      <c r="P34" s="719"/>
      <c r="Q34" s="720"/>
    </row>
    <row r="35" spans="2:17">
      <c r="B35" s="741"/>
      <c r="C35" s="747" t="s">
        <v>1249</v>
      </c>
      <c r="D35" s="748"/>
      <c r="E35" s="733">
        <f>E33</f>
        <v>12908685.729693444</v>
      </c>
      <c r="F35" s="733">
        <f t="shared" ref="F35:Q35" si="3">F33</f>
        <v>260980</v>
      </c>
      <c r="G35" s="733">
        <f t="shared" si="3"/>
        <v>9500</v>
      </c>
      <c r="H35" s="733">
        <f t="shared" si="3"/>
        <v>0</v>
      </c>
      <c r="I35" s="733">
        <f t="shared" si="3"/>
        <v>0</v>
      </c>
      <c r="J35" s="733">
        <f t="shared" si="3"/>
        <v>0</v>
      </c>
      <c r="K35" s="733">
        <f t="shared" si="3"/>
        <v>270480</v>
      </c>
      <c r="L35" s="733">
        <f t="shared" si="3"/>
        <v>1317441.5729693444</v>
      </c>
      <c r="M35" s="733">
        <f t="shared" si="3"/>
        <v>0</v>
      </c>
      <c r="N35" s="733">
        <f t="shared" si="3"/>
        <v>0</v>
      </c>
      <c r="O35" s="733">
        <f>O33</f>
        <v>1317441.5729693444</v>
      </c>
      <c r="P35" s="733">
        <f t="shared" si="3"/>
        <v>11861724.156724099</v>
      </c>
      <c r="Q35" s="733">
        <f t="shared" si="3"/>
        <v>0</v>
      </c>
    </row>
    <row r="36" spans="2:17" s="750" customFormat="1">
      <c r="B36" s="736"/>
      <c r="C36" s="731" t="s">
        <v>2217</v>
      </c>
      <c r="D36" s="749"/>
      <c r="E36" s="1777">
        <f>E35+E31</f>
        <v>13550799.132723914</v>
      </c>
      <c r="F36" s="733">
        <f t="shared" ref="F36:Q36" si="4">F35+F31</f>
        <v>274963</v>
      </c>
      <c r="G36" s="733">
        <f t="shared" si="4"/>
        <v>9500</v>
      </c>
      <c r="H36" s="733">
        <f t="shared" si="4"/>
        <v>0</v>
      </c>
      <c r="I36" s="733">
        <f t="shared" si="4"/>
        <v>0</v>
      </c>
      <c r="J36" s="733">
        <f t="shared" si="4"/>
        <v>0</v>
      </c>
      <c r="K36" s="733">
        <f t="shared" si="4"/>
        <v>284463</v>
      </c>
      <c r="L36" s="733">
        <f t="shared" si="4"/>
        <v>1383051.2132723914</v>
      </c>
      <c r="M36" s="733">
        <f t="shared" si="4"/>
        <v>0</v>
      </c>
      <c r="N36" s="733">
        <f t="shared" si="4"/>
        <v>0</v>
      </c>
      <c r="O36" s="733">
        <f>O35+O31</f>
        <v>1383051.2132723914</v>
      </c>
      <c r="P36" s="733">
        <f t="shared" si="4"/>
        <v>12452210.919451522</v>
      </c>
      <c r="Q36" s="733">
        <f t="shared" si="4"/>
        <v>0</v>
      </c>
    </row>
    <row r="37" spans="2:17">
      <c r="B37" s="716"/>
      <c r="C37" s="717"/>
      <c r="D37" s="718"/>
      <c r="E37" s="719"/>
      <c r="F37" s="719"/>
      <c r="G37" s="719"/>
      <c r="H37" s="719"/>
      <c r="I37" s="719"/>
      <c r="J37" s="719"/>
      <c r="K37" s="719"/>
      <c r="L37" s="709"/>
      <c r="M37" s="709"/>
      <c r="N37" s="709"/>
      <c r="O37" s="709"/>
      <c r="P37" s="719"/>
      <c r="Q37" s="720"/>
    </row>
    <row r="38" spans="2:17">
      <c r="B38" s="751"/>
      <c r="C38" s="722" t="s">
        <v>2218</v>
      </c>
      <c r="D38" s="752"/>
      <c r="E38" s="727"/>
      <c r="F38" s="753"/>
      <c r="G38" s="753"/>
      <c r="H38" s="753"/>
      <c r="I38" s="753"/>
      <c r="J38" s="753"/>
      <c r="K38" s="753"/>
      <c r="L38" s="727"/>
      <c r="M38" s="727"/>
      <c r="N38" s="727"/>
      <c r="O38" s="727"/>
      <c r="P38" s="727"/>
      <c r="Q38" s="727"/>
    </row>
    <row r="39" spans="2:17">
      <c r="B39" s="736">
        <v>5</v>
      </c>
      <c r="C39" s="725" t="s">
        <v>2219</v>
      </c>
      <c r="D39" s="754">
        <v>0.15</v>
      </c>
      <c r="E39" s="1776">
        <v>2568203.5609549377</v>
      </c>
      <c r="F39" s="727">
        <v>0</v>
      </c>
      <c r="G39" s="753">
        <v>0</v>
      </c>
      <c r="H39" s="753">
        <v>0</v>
      </c>
      <c r="I39" s="753">
        <v>0</v>
      </c>
      <c r="J39" s="753">
        <v>0</v>
      </c>
      <c r="K39" s="727">
        <f>SUM(F39:G39)-J39</f>
        <v>0</v>
      </c>
      <c r="L39" s="728">
        <f>+((E39+F39-J39)*D39)+(G39*D39/2)</f>
        <v>385230.53414324066</v>
      </c>
      <c r="M39" s="728">
        <v>0</v>
      </c>
      <c r="N39" s="728">
        <v>0</v>
      </c>
      <c r="O39" s="728">
        <f>SUM(L39:N39)</f>
        <v>385230.53414324066</v>
      </c>
      <c r="P39" s="727">
        <f>+E39+K39-L39</f>
        <v>2182973.0268116971</v>
      </c>
      <c r="Q39" s="728">
        <v>0</v>
      </c>
    </row>
    <row r="40" spans="2:17">
      <c r="B40" s="729"/>
      <c r="C40" s="730"/>
      <c r="D40" s="712"/>
      <c r="E40" s="719"/>
      <c r="F40" s="719"/>
      <c r="G40" s="719"/>
      <c r="H40" s="719"/>
      <c r="I40" s="719"/>
      <c r="J40" s="719"/>
      <c r="K40" s="719"/>
      <c r="L40" s="709"/>
      <c r="M40" s="709"/>
      <c r="N40" s="709"/>
      <c r="O40" s="709"/>
      <c r="P40" s="719"/>
      <c r="Q40" s="720"/>
    </row>
    <row r="41" spans="2:17">
      <c r="B41" s="724"/>
      <c r="C41" s="731" t="s">
        <v>2220</v>
      </c>
      <c r="D41" s="755"/>
      <c r="E41" s="733">
        <f t="shared" ref="E41:N41" si="5">+E39</f>
        <v>2568203.5609549377</v>
      </c>
      <c r="F41" s="733">
        <f t="shared" si="5"/>
        <v>0</v>
      </c>
      <c r="G41" s="733">
        <f t="shared" si="5"/>
        <v>0</v>
      </c>
      <c r="H41" s="733">
        <f t="shared" si="5"/>
        <v>0</v>
      </c>
      <c r="I41" s="733">
        <f t="shared" si="5"/>
        <v>0</v>
      </c>
      <c r="J41" s="733">
        <f t="shared" si="5"/>
        <v>0</v>
      </c>
      <c r="K41" s="733">
        <f t="shared" si="5"/>
        <v>0</v>
      </c>
      <c r="L41" s="733">
        <f t="shared" si="5"/>
        <v>385230.53414324066</v>
      </c>
      <c r="M41" s="733">
        <f t="shared" si="5"/>
        <v>0</v>
      </c>
      <c r="N41" s="733">
        <f t="shared" si="5"/>
        <v>0</v>
      </c>
      <c r="O41" s="733">
        <f>O39</f>
        <v>385230.53414324066</v>
      </c>
      <c r="P41" s="733">
        <f>+P39</f>
        <v>2182973.0268116971</v>
      </c>
      <c r="Q41" s="733">
        <f>+Q39</f>
        <v>0</v>
      </c>
    </row>
    <row r="42" spans="2:17">
      <c r="B42" s="716"/>
      <c r="C42" s="717"/>
      <c r="D42" s="718"/>
      <c r="E42" s="719"/>
      <c r="F42" s="719"/>
      <c r="G42" s="719"/>
      <c r="H42" s="719"/>
      <c r="I42" s="719"/>
      <c r="J42" s="719"/>
      <c r="K42" s="719"/>
      <c r="L42" s="709"/>
      <c r="M42" s="709"/>
      <c r="N42" s="709"/>
      <c r="O42" s="709"/>
      <c r="P42" s="719"/>
      <c r="Q42" s="720"/>
    </row>
    <row r="43" spans="2:17">
      <c r="B43" s="736">
        <v>6</v>
      </c>
      <c r="C43" s="756" t="s">
        <v>2221</v>
      </c>
      <c r="D43" s="752"/>
      <c r="E43" s="727"/>
      <c r="F43" s="735"/>
      <c r="G43" s="734"/>
      <c r="H43" s="734"/>
      <c r="I43" s="734"/>
      <c r="J43" s="734"/>
      <c r="K43" s="738"/>
      <c r="L43" s="739"/>
      <c r="M43" s="739"/>
      <c r="N43" s="739"/>
      <c r="O43" s="739"/>
      <c r="P43" s="727"/>
      <c r="Q43" s="720"/>
    </row>
    <row r="44" spans="2:17">
      <c r="B44" s="724" t="s">
        <v>2222</v>
      </c>
      <c r="C44" s="725" t="s">
        <v>240</v>
      </c>
      <c r="D44" s="726">
        <v>0.15</v>
      </c>
      <c r="E44" s="1776">
        <v>56242952</v>
      </c>
      <c r="F44" s="700">
        <v>2038388.5</v>
      </c>
      <c r="G44" s="727">
        <v>4765683.3600000003</v>
      </c>
      <c r="H44" s="727">
        <v>0</v>
      </c>
      <c r="I44" s="727">
        <v>0</v>
      </c>
      <c r="J44" s="727">
        <v>0</v>
      </c>
      <c r="K44" s="727">
        <f>SUM(F44:G44)-J44-I44</f>
        <v>6804071.8600000003</v>
      </c>
      <c r="L44" s="728">
        <f>+((E44+F44-J44)*D44)+(G44*D44/2)</f>
        <v>9099627.3269999996</v>
      </c>
      <c r="M44" s="727">
        <v>0</v>
      </c>
      <c r="N44" s="727">
        <v>0</v>
      </c>
      <c r="O44" s="728">
        <f>SUM(L44:N44)</f>
        <v>9099627.3269999996</v>
      </c>
      <c r="P44" s="727">
        <f>+E44+K44-L44-M44-N44</f>
        <v>53947396.533</v>
      </c>
      <c r="Q44" s="728">
        <v>0</v>
      </c>
    </row>
    <row r="45" spans="2:17">
      <c r="B45" s="724" t="s">
        <v>2223</v>
      </c>
      <c r="C45" s="757" t="s">
        <v>2224</v>
      </c>
      <c r="D45" s="726">
        <v>0.15</v>
      </c>
      <c r="E45" s="1776">
        <v>1591033.1224218749</v>
      </c>
      <c r="F45" s="700">
        <v>0</v>
      </c>
      <c r="G45" s="727">
        <v>0</v>
      </c>
      <c r="H45" s="727"/>
      <c r="I45" s="727"/>
      <c r="J45" s="727"/>
      <c r="K45" s="727">
        <f>SUM(F45:G45)-J45</f>
        <v>0</v>
      </c>
      <c r="L45" s="728">
        <f>+((E45+F45-J45)*D45)+(G45*D45/2)</f>
        <v>238654.96836328122</v>
      </c>
      <c r="M45" s="728">
        <v>0</v>
      </c>
      <c r="N45" s="728">
        <v>0</v>
      </c>
      <c r="O45" s="728">
        <f t="shared" ref="O45:O46" si="6">SUM(L45:N45)</f>
        <v>238654.96836328122</v>
      </c>
      <c r="P45" s="727">
        <f t="shared" ref="P45:P46" si="7">+E45+K45-L45-M45-N45</f>
        <v>1352378.1540585938</v>
      </c>
      <c r="Q45" s="728">
        <v>0</v>
      </c>
    </row>
    <row r="46" spans="2:17">
      <c r="B46" s="724" t="s">
        <v>2225</v>
      </c>
      <c r="C46" s="757" t="s">
        <v>2226</v>
      </c>
      <c r="D46" s="726">
        <v>0.4</v>
      </c>
      <c r="E46" s="1776">
        <v>1137834.1247999999</v>
      </c>
      <c r="F46" s="700">
        <v>0</v>
      </c>
      <c r="G46" s="727">
        <v>0</v>
      </c>
      <c r="H46" s="727"/>
      <c r="I46" s="727"/>
      <c r="J46" s="727"/>
      <c r="K46" s="727">
        <f>SUM(F46:G46)-J46</f>
        <v>0</v>
      </c>
      <c r="L46" s="728">
        <f>+((E46+F46-J46)*D46)+(G46*D46/2)</f>
        <v>455133.64992</v>
      </c>
      <c r="M46" s="727">
        <f>((F46*20%)+(G46+I46)*10%)</f>
        <v>0</v>
      </c>
      <c r="N46" s="727">
        <v>0</v>
      </c>
      <c r="O46" s="728">
        <f t="shared" si="6"/>
        <v>455133.64992</v>
      </c>
      <c r="P46" s="727">
        <f t="shared" si="7"/>
        <v>682700.47487999988</v>
      </c>
      <c r="Q46" s="728">
        <f>(G46+I46)*10%</f>
        <v>0</v>
      </c>
    </row>
    <row r="47" spans="2:17">
      <c r="B47" s="724" t="s">
        <v>2454</v>
      </c>
      <c r="C47" s="757" t="s">
        <v>2455</v>
      </c>
      <c r="D47" s="726">
        <v>0.15</v>
      </c>
      <c r="E47" s="1085"/>
      <c r="F47" s="700"/>
      <c r="G47" s="727"/>
      <c r="H47" s="727"/>
      <c r="I47" s="727"/>
      <c r="J47" s="727"/>
      <c r="K47" s="727"/>
      <c r="L47" s="728"/>
      <c r="M47" s="727"/>
      <c r="N47" s="727"/>
      <c r="O47" s="728"/>
      <c r="P47" s="727"/>
      <c r="Q47" s="728"/>
    </row>
    <row r="48" spans="2:17">
      <c r="B48" s="729"/>
      <c r="C48" s="730"/>
      <c r="D48" s="712"/>
      <c r="E48" s="719"/>
      <c r="F48" s="719"/>
      <c r="G48" s="719"/>
      <c r="H48" s="719"/>
      <c r="I48" s="719"/>
      <c r="J48" s="719"/>
      <c r="K48" s="719"/>
      <c r="L48" s="709"/>
      <c r="M48" s="709"/>
      <c r="N48" s="709"/>
      <c r="O48" s="709"/>
      <c r="P48" s="719"/>
      <c r="Q48" s="720"/>
    </row>
    <row r="49" spans="2:17">
      <c r="B49" s="724"/>
      <c r="C49" s="731" t="s">
        <v>1249</v>
      </c>
      <c r="D49" s="732"/>
      <c r="E49" s="733">
        <f>+SUM(E44:E46)</f>
        <v>58971819.247221872</v>
      </c>
      <c r="F49" s="733">
        <f>+SUM(F44:F46)</f>
        <v>2038388.5</v>
      </c>
      <c r="G49" s="733">
        <f>+SUM(G44:G46)</f>
        <v>4765683.3600000003</v>
      </c>
      <c r="H49" s="733">
        <f t="shared" ref="H49:M49" si="8">+H44</f>
        <v>0</v>
      </c>
      <c r="I49" s="733">
        <f t="shared" si="8"/>
        <v>0</v>
      </c>
      <c r="J49" s="733">
        <f t="shared" si="8"/>
        <v>0</v>
      </c>
      <c r="K49" s="733">
        <f t="shared" si="8"/>
        <v>6804071.8600000003</v>
      </c>
      <c r="L49" s="733">
        <f>+SUM(L44:L46)</f>
        <v>9793415.9452832807</v>
      </c>
      <c r="M49" s="733">
        <f t="shared" si="8"/>
        <v>0</v>
      </c>
      <c r="N49" s="733">
        <f>+N44+N46</f>
        <v>0</v>
      </c>
      <c r="O49" s="733">
        <f>+SUM(O44:O46)</f>
        <v>9793415.9452832807</v>
      </c>
      <c r="P49" s="733">
        <f>+SUM(P44:P46)</f>
        <v>55982475.161938593</v>
      </c>
      <c r="Q49" s="733">
        <f>+SUM(Q44:Q46)</f>
        <v>0</v>
      </c>
    </row>
    <row r="50" spans="2:17">
      <c r="B50" s="716"/>
      <c r="C50" s="717"/>
      <c r="D50" s="718"/>
      <c r="E50" s="719"/>
      <c r="F50" s="719"/>
      <c r="G50" s="719"/>
      <c r="H50" s="719"/>
      <c r="I50" s="719"/>
      <c r="J50" s="719"/>
      <c r="K50" s="719"/>
      <c r="L50" s="709"/>
      <c r="M50" s="709"/>
      <c r="N50" s="709"/>
      <c r="O50" s="709"/>
      <c r="P50" s="719"/>
      <c r="Q50" s="720"/>
    </row>
    <row r="51" spans="2:17">
      <c r="B51" s="724">
        <v>7</v>
      </c>
      <c r="C51" s="725" t="s">
        <v>2227</v>
      </c>
      <c r="D51" s="726">
        <v>0.15</v>
      </c>
      <c r="E51" s="1776">
        <v>563902.20190280408</v>
      </c>
      <c r="F51" s="700">
        <v>94198</v>
      </c>
      <c r="G51" s="727">
        <v>5485.6</v>
      </c>
      <c r="H51" s="727">
        <v>0</v>
      </c>
      <c r="I51" s="727">
        <v>0</v>
      </c>
      <c r="J51" s="727"/>
      <c r="K51" s="727">
        <f>SUM(F51:G51)-J51</f>
        <v>99683.6</v>
      </c>
      <c r="L51" s="728">
        <f>+((E51+F51-J51)*D51)+(G51*D51/2)</f>
        <v>99126.450285420608</v>
      </c>
      <c r="M51" s="728">
        <v>0</v>
      </c>
      <c r="N51" s="728">
        <v>0</v>
      </c>
      <c r="O51" s="728">
        <f>SUM(L51:N51)</f>
        <v>99126.450285420608</v>
      </c>
      <c r="P51" s="727">
        <f>+E51+K51-L51</f>
        <v>564459.35161738342</v>
      </c>
      <c r="Q51" s="728">
        <v>0</v>
      </c>
    </row>
    <row r="52" spans="2:17">
      <c r="B52" s="729"/>
      <c r="C52" s="730"/>
      <c r="D52" s="712"/>
      <c r="E52" s="719"/>
      <c r="F52" s="719"/>
      <c r="G52" s="719"/>
      <c r="H52" s="719"/>
      <c r="I52" s="719"/>
      <c r="J52" s="719"/>
      <c r="K52" s="719"/>
      <c r="L52" s="709"/>
      <c r="M52" s="709"/>
      <c r="N52" s="709"/>
      <c r="O52" s="709"/>
      <c r="P52" s="719"/>
      <c r="Q52" s="720"/>
    </row>
    <row r="53" spans="2:17">
      <c r="B53" s="758"/>
      <c r="C53" s="759" t="s">
        <v>1249</v>
      </c>
      <c r="D53" s="760"/>
      <c r="E53" s="733">
        <f t="shared" ref="E53:Q53" si="9">+E51</f>
        <v>563902.20190280408</v>
      </c>
      <c r="F53" s="733">
        <f>+F51</f>
        <v>94198</v>
      </c>
      <c r="G53" s="733">
        <f>+G51</f>
        <v>5485.6</v>
      </c>
      <c r="H53" s="733"/>
      <c r="I53" s="733"/>
      <c r="J53" s="733">
        <f t="shared" si="9"/>
        <v>0</v>
      </c>
      <c r="K53" s="733">
        <f t="shared" si="9"/>
        <v>99683.6</v>
      </c>
      <c r="L53" s="733">
        <f t="shared" si="9"/>
        <v>99126.450285420608</v>
      </c>
      <c r="M53" s="733">
        <f t="shared" si="9"/>
        <v>0</v>
      </c>
      <c r="N53" s="733">
        <f t="shared" si="9"/>
        <v>0</v>
      </c>
      <c r="O53" s="733">
        <f>O51</f>
        <v>99126.450285420608</v>
      </c>
      <c r="P53" s="733">
        <f t="shared" si="9"/>
        <v>564459.35161738342</v>
      </c>
      <c r="Q53" s="733">
        <f t="shared" si="9"/>
        <v>0</v>
      </c>
    </row>
    <row r="54" spans="2:17">
      <c r="B54" s="724"/>
      <c r="C54" s="731" t="s">
        <v>2228</v>
      </c>
      <c r="D54" s="732"/>
      <c r="E54" s="733">
        <f>+E49+E53</f>
        <v>59535721.449124679</v>
      </c>
      <c r="F54" s="733">
        <f t="shared" ref="F54:Q54" si="10">+F49+F53</f>
        <v>2132586.5</v>
      </c>
      <c r="G54" s="733">
        <f t="shared" si="10"/>
        <v>4771168.96</v>
      </c>
      <c r="H54" s="733">
        <f t="shared" si="10"/>
        <v>0</v>
      </c>
      <c r="I54" s="733">
        <f t="shared" si="10"/>
        <v>0</v>
      </c>
      <c r="J54" s="733">
        <f t="shared" si="10"/>
        <v>0</v>
      </c>
      <c r="K54" s="733">
        <f t="shared" si="10"/>
        <v>6903755.46</v>
      </c>
      <c r="L54" s="733">
        <f t="shared" si="10"/>
        <v>9892542.3955687005</v>
      </c>
      <c r="M54" s="733">
        <f t="shared" si="10"/>
        <v>0</v>
      </c>
      <c r="N54" s="733">
        <f t="shared" si="10"/>
        <v>0</v>
      </c>
      <c r="O54" s="733">
        <f>O53+O49</f>
        <v>9892542.3955687005</v>
      </c>
      <c r="P54" s="733">
        <f t="shared" si="10"/>
        <v>56546934.513555974</v>
      </c>
      <c r="Q54" s="733">
        <f t="shared" si="10"/>
        <v>0</v>
      </c>
    </row>
    <row r="55" spans="2:17">
      <c r="B55" s="716"/>
      <c r="C55" s="717"/>
      <c r="D55" s="718"/>
      <c r="E55" s="719"/>
      <c r="F55" s="719"/>
      <c r="G55" s="719"/>
      <c r="H55" s="719"/>
      <c r="I55" s="719"/>
      <c r="J55" s="719"/>
      <c r="K55" s="719"/>
      <c r="L55" s="709"/>
      <c r="M55" s="709"/>
      <c r="N55" s="709"/>
      <c r="O55" s="709"/>
      <c r="P55" s="719"/>
      <c r="Q55" s="720"/>
    </row>
    <row r="56" spans="2:17">
      <c r="B56" s="761"/>
      <c r="C56" s="722" t="s">
        <v>2229</v>
      </c>
      <c r="D56" s="762"/>
      <c r="E56" s="727"/>
      <c r="F56" s="727"/>
      <c r="G56" s="763"/>
      <c r="H56" s="763"/>
      <c r="I56" s="763"/>
      <c r="J56" s="763"/>
      <c r="K56" s="727"/>
      <c r="L56" s="727"/>
      <c r="M56" s="727"/>
      <c r="N56" s="727"/>
      <c r="O56" s="727"/>
      <c r="P56" s="727"/>
      <c r="Q56" s="720"/>
    </row>
    <row r="57" spans="2:17">
      <c r="B57" s="761">
        <v>8</v>
      </c>
      <c r="C57" s="725" t="s">
        <v>2230</v>
      </c>
      <c r="D57" s="726">
        <v>0.4</v>
      </c>
      <c r="E57" s="1776">
        <v>40321.411263866874</v>
      </c>
      <c r="F57" s="727">
        <v>124110</v>
      </c>
      <c r="G57" s="764">
        <v>0</v>
      </c>
      <c r="H57" s="764">
        <v>0</v>
      </c>
      <c r="I57" s="764">
        <v>0</v>
      </c>
      <c r="J57" s="764">
        <v>0</v>
      </c>
      <c r="K57" s="727">
        <f>SUM(F57:G57)-J57</f>
        <v>124110</v>
      </c>
      <c r="L57" s="728">
        <f>+((E57+F57-J57)*D57)+(G57*D57/2)</f>
        <v>65772.564505546747</v>
      </c>
      <c r="M57" s="728">
        <v>0</v>
      </c>
      <c r="N57" s="728">
        <v>0</v>
      </c>
      <c r="O57" s="728">
        <f>SUM(L57:N57)</f>
        <v>65772.564505546747</v>
      </c>
      <c r="P57" s="727">
        <f>+E57+K57-L57</f>
        <v>98658.846758320127</v>
      </c>
      <c r="Q57" s="728">
        <v>0</v>
      </c>
    </row>
    <row r="58" spans="2:17">
      <c r="B58" s="729"/>
      <c r="C58" s="730"/>
      <c r="D58" s="712"/>
      <c r="E58" s="719"/>
      <c r="F58" s="719"/>
      <c r="G58" s="719"/>
      <c r="H58" s="719"/>
      <c r="I58" s="719"/>
      <c r="J58" s="719"/>
      <c r="K58" s="719"/>
      <c r="L58" s="709"/>
      <c r="M58" s="709"/>
      <c r="N58" s="709"/>
      <c r="O58" s="709"/>
      <c r="P58" s="719"/>
      <c r="Q58" s="720"/>
    </row>
    <row r="59" spans="2:17">
      <c r="B59" s="761"/>
      <c r="C59" s="731" t="s">
        <v>2231</v>
      </c>
      <c r="D59" s="765"/>
      <c r="E59" s="733">
        <f t="shared" ref="E59:N59" si="11">+E57</f>
        <v>40321.411263866874</v>
      </c>
      <c r="F59" s="733">
        <f t="shared" si="11"/>
        <v>124110</v>
      </c>
      <c r="G59" s="733">
        <f t="shared" si="11"/>
        <v>0</v>
      </c>
      <c r="H59" s="733">
        <f t="shared" si="11"/>
        <v>0</v>
      </c>
      <c r="I59" s="733">
        <f t="shared" si="11"/>
        <v>0</v>
      </c>
      <c r="J59" s="733">
        <f t="shared" si="11"/>
        <v>0</v>
      </c>
      <c r="K59" s="733">
        <f t="shared" si="11"/>
        <v>124110</v>
      </c>
      <c r="L59" s="733">
        <f>+L57</f>
        <v>65772.564505546747</v>
      </c>
      <c r="M59" s="733">
        <f t="shared" si="11"/>
        <v>0</v>
      </c>
      <c r="N59" s="733">
        <f t="shared" si="11"/>
        <v>0</v>
      </c>
      <c r="O59" s="733">
        <f>O57</f>
        <v>65772.564505546747</v>
      </c>
      <c r="P59" s="733">
        <f>+P57</f>
        <v>98658.846758320127</v>
      </c>
      <c r="Q59" s="733">
        <f>+Q57</f>
        <v>0</v>
      </c>
    </row>
    <row r="60" spans="2:17">
      <c r="B60" s="716"/>
      <c r="C60" s="717"/>
      <c r="D60" s="718"/>
      <c r="E60" s="719"/>
      <c r="F60" s="719"/>
      <c r="G60" s="719"/>
      <c r="H60" s="719"/>
      <c r="I60" s="719"/>
      <c r="J60" s="719"/>
      <c r="K60" s="719"/>
      <c r="L60" s="709"/>
      <c r="M60" s="709"/>
      <c r="N60" s="709"/>
      <c r="O60" s="709"/>
      <c r="P60" s="719"/>
      <c r="Q60" s="720"/>
    </row>
    <row r="61" spans="2:17">
      <c r="B61" s="766"/>
      <c r="C61" s="759" t="s">
        <v>401</v>
      </c>
      <c r="D61" s="767"/>
      <c r="E61" s="733">
        <f>+E59+E54+E41+E36+E26+E21</f>
        <v>97938341.934182435</v>
      </c>
      <c r="F61" s="733">
        <f>F21+F26+F36+F41+F54++F59</f>
        <v>4020968.5</v>
      </c>
      <c r="G61" s="733">
        <f>G21+G26+G36+G41+G54++G59</f>
        <v>5654506.96</v>
      </c>
      <c r="H61" s="733">
        <f t="shared" ref="H61:J61" si="12">+H59+H54+H41+H36+H26+H21</f>
        <v>0</v>
      </c>
      <c r="I61" s="733">
        <f t="shared" si="12"/>
        <v>0</v>
      </c>
      <c r="J61" s="733">
        <f t="shared" si="12"/>
        <v>0</v>
      </c>
      <c r="K61" s="733">
        <f t="shared" ref="K61:Q61" si="13">+(K59+K54+K41+K36+K26+K21)</f>
        <v>9675475.4600000009</v>
      </c>
      <c r="L61" s="733">
        <f>+(L59+L54+L41+L36+L26+L21)</f>
        <v>14027878.745501384</v>
      </c>
      <c r="M61" s="733">
        <f>+(M59+M54+M41+M36+M26+M21)</f>
        <v>0</v>
      </c>
      <c r="N61" s="733">
        <f t="shared" si="13"/>
        <v>0</v>
      </c>
      <c r="O61" s="733">
        <f>+(O59+O54+O41+O36+O26+O21)</f>
        <v>14027878.745501384</v>
      </c>
      <c r="P61" s="733">
        <f t="shared" si="13"/>
        <v>93585938.648681045</v>
      </c>
      <c r="Q61" s="733">
        <f t="shared" si="13"/>
        <v>0</v>
      </c>
    </row>
    <row r="62" spans="2:17">
      <c r="E62" s="750">
        <v>96781637</v>
      </c>
      <c r="G62" s="690"/>
      <c r="H62" s="690"/>
      <c r="I62" s="750"/>
      <c r="J62" s="750"/>
      <c r="K62" s="690"/>
      <c r="P62" s="750"/>
    </row>
    <row r="63" spans="2:17">
      <c r="E63" s="750">
        <f>+E61-E62</f>
        <v>1156704.9341824353</v>
      </c>
      <c r="G63" s="690"/>
      <c r="H63" s="690"/>
      <c r="I63" s="690"/>
      <c r="J63" s="750"/>
      <c r="K63" s="750"/>
      <c r="L63" s="768"/>
      <c r="N63" s="750"/>
      <c r="O63" s="689">
        <v>15076098</v>
      </c>
      <c r="P63" s="750">
        <v>92429235</v>
      </c>
    </row>
    <row r="64" spans="2:17">
      <c r="E64" s="750">
        <f>E63-E62</f>
        <v>-95624932.065817565</v>
      </c>
      <c r="F64" s="690">
        <f>F61+G61-F63</f>
        <v>9675475.4600000009</v>
      </c>
      <c r="G64" s="690"/>
      <c r="H64" s="690"/>
      <c r="I64" s="750"/>
      <c r="J64" s="750"/>
      <c r="K64" s="769"/>
      <c r="L64" s="770"/>
      <c r="M64" s="770"/>
      <c r="N64" s="770"/>
      <c r="O64" s="770">
        <f>+O61-O63</f>
        <v>-1048219.2544986159</v>
      </c>
      <c r="P64" s="770">
        <f>+P61-P63</f>
        <v>1156703.6486810446</v>
      </c>
      <c r="Q64" s="750"/>
    </row>
    <row r="65" spans="2:16">
      <c r="C65" s="771" t="s">
        <v>2232</v>
      </c>
      <c r="K65" s="750"/>
      <c r="M65" s="770"/>
      <c r="P65" s="750"/>
    </row>
    <row r="66" spans="2:16" s="688" customFormat="1">
      <c r="D66" s="693" t="s">
        <v>2233</v>
      </c>
      <c r="E66" s="693" t="s">
        <v>1958</v>
      </c>
      <c r="F66" s="693" t="s">
        <v>2234</v>
      </c>
      <c r="P66" s="772"/>
    </row>
    <row r="67" spans="2:16">
      <c r="C67" s="750" t="s">
        <v>2235</v>
      </c>
      <c r="D67" s="773">
        <f>F44</f>
        <v>2038388.5</v>
      </c>
      <c r="E67" s="774">
        <v>0.2</v>
      </c>
      <c r="F67" s="773">
        <f>D67*E67</f>
        <v>407677.7</v>
      </c>
    </row>
    <row r="68" spans="2:16">
      <c r="B68" s="689"/>
      <c r="C68" s="750" t="s">
        <v>2236</v>
      </c>
      <c r="D68" s="773">
        <f>G44</f>
        <v>4765683.3600000003</v>
      </c>
      <c r="E68" s="774">
        <v>0.1</v>
      </c>
      <c r="F68" s="773">
        <f>D68*E68</f>
        <v>476568.33600000007</v>
      </c>
    </row>
    <row r="69" spans="2:16">
      <c r="B69" s="689"/>
      <c r="D69" s="771"/>
      <c r="F69" s="773"/>
    </row>
    <row r="70" spans="2:16" ht="15.75" thickBot="1">
      <c r="B70" s="689"/>
      <c r="D70" s="771"/>
      <c r="F70" s="775">
        <f>SUM(F67:F69)</f>
        <v>884246.03600000008</v>
      </c>
    </row>
    <row r="71" spans="2:16" ht="15.75" thickTop="1">
      <c r="B71" s="689"/>
      <c r="C71" s="689" t="s">
        <v>2237</v>
      </c>
      <c r="F71" s="690">
        <f>F68</f>
        <v>476568.33600000007</v>
      </c>
    </row>
    <row r="73" spans="2:16">
      <c r="B73" s="689"/>
      <c r="C73" s="771" t="s">
        <v>2238</v>
      </c>
    </row>
    <row r="74" spans="2:16">
      <c r="B74" s="689"/>
      <c r="C74" s="689" t="s">
        <v>2239</v>
      </c>
    </row>
    <row r="75" spans="2:16">
      <c r="B75" s="689"/>
      <c r="C75" s="689" t="s">
        <v>2240</v>
      </c>
      <c r="D75" s="690">
        <v>3039211</v>
      </c>
      <c r="E75" s="774">
        <v>0.1</v>
      </c>
      <c r="F75" s="690">
        <f>D75*E75</f>
        <v>303921.10000000003</v>
      </c>
    </row>
    <row r="76" spans="2:16">
      <c r="B76" s="689"/>
      <c r="D76" s="690"/>
      <c r="F76" s="689"/>
    </row>
    <row r="77" spans="2:16">
      <c r="B77" s="689"/>
      <c r="C77" s="776"/>
      <c r="D77" s="690"/>
      <c r="F77" s="689"/>
    </row>
    <row r="78" spans="2:16">
      <c r="B78" s="689"/>
      <c r="C78" s="776"/>
      <c r="D78" s="690"/>
      <c r="F78" s="689"/>
    </row>
    <row r="79" spans="2:16">
      <c r="B79" s="689"/>
      <c r="E79" s="771"/>
    </row>
  </sheetData>
  <mergeCells count="11">
    <mergeCell ref="Q14:Q16"/>
    <mergeCell ref="B4:Q4"/>
    <mergeCell ref="B6:Q6"/>
    <mergeCell ref="B8:Q8"/>
    <mergeCell ref="B10:Q10"/>
    <mergeCell ref="B12:Q12"/>
    <mergeCell ref="F14:G14"/>
    <mergeCell ref="H14:I14"/>
    <mergeCell ref="M14:M16"/>
    <mergeCell ref="N14:N16"/>
    <mergeCell ref="O14:O16"/>
  </mergeCells>
  <hyperlinks>
    <hyperlink ref="B8:P8" location="'3CD '!E96" display="ANNEXURE A"/>
  </hyperlinks>
  <printOptions horizontalCentered="1" verticalCentered="1"/>
  <pageMargins left="0.11811023622047245" right="0.11811023622047245" top="0.15748031496062992" bottom="0.15748031496062992" header="0.31496062992125984" footer="0.31496062992125984"/>
  <pageSetup scale="4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XEU60"/>
  <sheetViews>
    <sheetView topLeftCell="C7" workbookViewId="0">
      <selection activeCell="F18" sqref="F18"/>
    </sheetView>
  </sheetViews>
  <sheetFormatPr defaultColWidth="9.140625" defaultRowHeight="13.5"/>
  <cols>
    <col min="1" max="2" width="9.140625" style="777" hidden="1" customWidth="1"/>
    <col min="3" max="3" width="9.140625" style="777" customWidth="1"/>
    <col min="4" max="4" width="4" style="777" customWidth="1"/>
    <col min="5" max="5" width="34.140625" style="777" bestFit="1" customWidth="1"/>
    <col min="6" max="6" width="16" style="777" customWidth="1"/>
    <col min="7" max="7" width="14.7109375" style="777" customWidth="1"/>
    <col min="8" max="8" width="12.42578125" style="777" bestFit="1" customWidth="1"/>
    <col min="9" max="9" width="12.85546875" style="777" bestFit="1" customWidth="1"/>
    <col min="10" max="11" width="12.42578125" style="777" bestFit="1" customWidth="1"/>
    <col min="12" max="12" width="16.5703125" style="777" bestFit="1" customWidth="1"/>
    <col min="13" max="16384" width="9.140625" style="777"/>
  </cols>
  <sheetData>
    <row r="2" spans="2:20 16375:16375" ht="15">
      <c r="D2" s="778"/>
      <c r="E2" s="778" t="s">
        <v>1065</v>
      </c>
      <c r="F2" s="778"/>
      <c r="G2" s="778"/>
      <c r="H2" s="778"/>
      <c r="I2" s="778"/>
    </row>
    <row r="3" spans="2:20 16375:16375" ht="14.25" thickBot="1"/>
    <row r="4" spans="2:20 16375:16375" ht="15.75" thickBot="1">
      <c r="E4" s="779" t="s">
        <v>402</v>
      </c>
      <c r="F4" s="780" t="s">
        <v>1257</v>
      </c>
      <c r="G4" s="780" t="s">
        <v>1258</v>
      </c>
    </row>
    <row r="5" spans="2:20 16375:16375" ht="30.75" thickBot="1">
      <c r="E5" s="781"/>
      <c r="F5" s="782" t="s">
        <v>2241</v>
      </c>
      <c r="G5" s="782" t="s">
        <v>2241</v>
      </c>
      <c r="XEU5" s="782" t="s">
        <v>2241</v>
      </c>
    </row>
    <row r="6" spans="2:20 16375:16375" ht="15">
      <c r="D6" s="777" t="s">
        <v>2242</v>
      </c>
      <c r="E6" s="783" t="s">
        <v>2243</v>
      </c>
      <c r="F6" s="784"/>
      <c r="G6" s="784"/>
    </row>
    <row r="7" spans="2:20 16375:16375" s="785" customFormat="1" ht="19.5" customHeight="1">
      <c r="D7" s="785">
        <v>1</v>
      </c>
      <c r="E7" s="786" t="s">
        <v>2244</v>
      </c>
      <c r="F7" s="787">
        <f>+BSPL!H78</f>
        <v>1124021510.75</v>
      </c>
      <c r="G7" s="787">
        <f>+BSPL!I78</f>
        <v>819759041.19999993</v>
      </c>
      <c r="H7" s="788">
        <v>805648112.33000004</v>
      </c>
      <c r="I7" s="788"/>
      <c r="J7" s="788"/>
      <c r="K7" s="788"/>
      <c r="L7" s="788"/>
      <c r="M7" s="788"/>
      <c r="N7" s="788"/>
      <c r="O7" s="788"/>
      <c r="P7" s="788"/>
      <c r="Q7" s="788"/>
      <c r="R7" s="788"/>
      <c r="S7" s="788"/>
      <c r="T7" s="788"/>
    </row>
    <row r="8" spans="2:20 16375:16375" s="785" customFormat="1" ht="19.5" customHeight="1">
      <c r="D8" s="785">
        <v>2</v>
      </c>
      <c r="E8" s="786" t="s">
        <v>2245</v>
      </c>
      <c r="F8" s="787">
        <f>+BSPL!H93+BSPL!H87+BSPL!H86</f>
        <v>28646428.402110666</v>
      </c>
      <c r="G8" s="787">
        <f>+BSPL!I93+BSPL!I87+BSPL!I86</f>
        <v>72364703.027889207</v>
      </c>
      <c r="H8" s="788">
        <v>101927080.9696674</v>
      </c>
      <c r="I8" s="788"/>
      <c r="J8" s="788"/>
      <c r="K8" s="788"/>
      <c r="L8" s="788"/>
      <c r="M8" s="788"/>
      <c r="N8" s="788"/>
      <c r="O8" s="788"/>
      <c r="P8" s="788"/>
      <c r="Q8" s="788"/>
      <c r="R8" s="788"/>
      <c r="S8" s="788"/>
      <c r="T8" s="788"/>
    </row>
    <row r="9" spans="2:20 16375:16375" s="785" customFormat="1" ht="20.100000000000001" customHeight="1">
      <c r="D9" s="785">
        <v>3</v>
      </c>
      <c r="E9" s="786" t="s">
        <v>2246</v>
      </c>
      <c r="F9" s="787">
        <f>+BSPL!H22+BSPL!H21+BSPL!H20+BSPL!H19+BSPL!H18+BSPL!H17+BSPL!H15</f>
        <v>235168354.6236878</v>
      </c>
      <c r="G9" s="787">
        <f>+BSPL!I22+BSPL!I21+BSPL!I20+BSPL!I19+BSPL!I18+BSPL!I17+BSPL!I15</f>
        <v>235721514.06788933</v>
      </c>
      <c r="H9" s="788"/>
      <c r="I9" s="788"/>
      <c r="J9" s="788"/>
      <c r="K9" s="788"/>
      <c r="L9" s="788"/>
      <c r="M9" s="788"/>
      <c r="N9" s="788"/>
      <c r="O9" s="788"/>
      <c r="P9" s="788"/>
      <c r="Q9" s="788"/>
      <c r="R9" s="788"/>
      <c r="S9" s="788"/>
      <c r="T9" s="788"/>
    </row>
    <row r="10" spans="2:20 16375:16375" s="785" customFormat="1" ht="20.100000000000001" customHeight="1">
      <c r="E10" s="786" t="s">
        <v>2247</v>
      </c>
      <c r="F10" s="787">
        <v>0</v>
      </c>
      <c r="G10" s="787">
        <v>0</v>
      </c>
      <c r="H10" s="788"/>
      <c r="I10" s="788"/>
      <c r="J10" s="788"/>
      <c r="K10" s="788"/>
      <c r="L10" s="788"/>
      <c r="M10" s="788"/>
      <c r="N10" s="788"/>
      <c r="O10" s="788"/>
      <c r="P10" s="788"/>
      <c r="Q10" s="788"/>
      <c r="R10" s="788"/>
      <c r="S10" s="788"/>
      <c r="T10" s="788"/>
    </row>
    <row r="11" spans="2:20 16375:16375" s="785" customFormat="1" ht="20.100000000000001" customHeight="1">
      <c r="E11" s="783" t="s">
        <v>2248</v>
      </c>
      <c r="F11" s="789">
        <f>+F9-F10</f>
        <v>235168354.6236878</v>
      </c>
      <c r="G11" s="789">
        <f t="shared" ref="G11" si="0">+G9-G10</f>
        <v>235721514.06788933</v>
      </c>
      <c r="H11" s="788"/>
      <c r="I11" s="788"/>
      <c r="J11" s="788"/>
      <c r="K11" s="788"/>
      <c r="L11" s="788"/>
      <c r="M11" s="788"/>
      <c r="N11" s="788"/>
      <c r="O11" s="788"/>
      <c r="P11" s="788"/>
      <c r="Q11" s="788"/>
      <c r="R11" s="788"/>
      <c r="S11" s="788"/>
      <c r="T11" s="788"/>
    </row>
    <row r="12" spans="2:20 16375:16375" s="785" customFormat="1" ht="20.100000000000001" customHeight="1">
      <c r="B12" s="790"/>
      <c r="C12" s="790"/>
      <c r="D12" s="785">
        <v>4</v>
      </c>
      <c r="E12" s="786" t="s">
        <v>2249</v>
      </c>
      <c r="F12" s="787">
        <f>+BSPL!H45</f>
        <v>175696693.41</v>
      </c>
      <c r="G12" s="787">
        <f>+BSPL!I45</f>
        <v>144586832.54499999</v>
      </c>
      <c r="H12" s="788"/>
      <c r="I12" s="788"/>
      <c r="J12" s="788"/>
      <c r="K12" s="788"/>
      <c r="L12" s="788"/>
      <c r="M12" s="788"/>
      <c r="N12" s="788"/>
      <c r="O12" s="788"/>
      <c r="P12" s="788"/>
      <c r="Q12" s="788"/>
      <c r="R12" s="788"/>
      <c r="S12" s="788"/>
      <c r="T12" s="788"/>
    </row>
    <row r="13" spans="2:20 16375:16375" s="785" customFormat="1" ht="20.100000000000001" customHeight="1">
      <c r="B13" s="790"/>
      <c r="C13" s="790"/>
      <c r="E13" s="791" t="s">
        <v>2250</v>
      </c>
      <c r="F13" s="787">
        <v>270000</v>
      </c>
      <c r="G13" s="787" t="e">
        <f>+-GETPIVOTDATA("Sum of Cr. Final HYR",[67]Pivot!$A$3,"Note",8,"BS Main Head","Other Current Liabilities","BS Sub Head","Trade Payables for capital goods")</f>
        <v>#REF!</v>
      </c>
      <c r="H13" s="788"/>
      <c r="I13" s="788"/>
      <c r="J13" s="788"/>
      <c r="K13" s="788"/>
      <c r="L13" s="788"/>
      <c r="M13" s="788"/>
      <c r="N13" s="788"/>
      <c r="O13" s="788"/>
      <c r="P13" s="788"/>
      <c r="Q13" s="788"/>
      <c r="R13" s="788"/>
      <c r="S13" s="788"/>
      <c r="T13" s="788"/>
    </row>
    <row r="14" spans="2:20 16375:16375" s="785" customFormat="1" ht="20.100000000000001" customHeight="1">
      <c r="B14" s="790"/>
      <c r="C14" s="790"/>
      <c r="E14" s="783" t="s">
        <v>2251</v>
      </c>
      <c r="F14" s="789">
        <f>+F12-F13</f>
        <v>175426693.41</v>
      </c>
      <c r="G14" s="789" t="e">
        <f t="shared" ref="G14" si="1">+G12-G13</f>
        <v>#REF!</v>
      </c>
      <c r="H14" s="788"/>
      <c r="I14" s="788"/>
      <c r="J14" s="788"/>
      <c r="K14" s="788"/>
      <c r="L14" s="788"/>
      <c r="M14" s="788"/>
      <c r="N14" s="788"/>
      <c r="O14" s="788"/>
      <c r="P14" s="788"/>
      <c r="Q14" s="788"/>
      <c r="R14" s="788"/>
      <c r="S14" s="788"/>
      <c r="T14" s="788"/>
    </row>
    <row r="15" spans="2:20 16375:16375" s="785" customFormat="1" ht="20.100000000000001" customHeight="1">
      <c r="D15" s="785">
        <v>5</v>
      </c>
      <c r="E15" s="792" t="s">
        <v>2252</v>
      </c>
      <c r="F15" s="793">
        <f>+F9-F14</f>
        <v>59741661.213687807</v>
      </c>
      <c r="G15" s="787" t="e">
        <f>G9-G14</f>
        <v>#REF!</v>
      </c>
      <c r="H15" s="794"/>
    </row>
    <row r="16" spans="2:20 16375:16375" s="785" customFormat="1" ht="20.100000000000001" customHeight="1">
      <c r="D16" s="785">
        <v>6</v>
      </c>
      <c r="E16" s="795" t="s">
        <v>2253</v>
      </c>
      <c r="F16" s="796">
        <f>+BSPL!H80-BSPL!H82-BSPL!H83-BSPL!H84-BSPL!H519</f>
        <v>66795184.122110575</v>
      </c>
      <c r="G16" s="796">
        <f>+BSPL!I80-BSPL!I82-BSPL!I83-BSPL!I84-BSPL!I519</f>
        <v>108106568.37788934</v>
      </c>
      <c r="H16" s="796"/>
      <c r="I16" s="797"/>
    </row>
    <row r="17" spans="4:21" s="785" customFormat="1">
      <c r="D17" s="785">
        <v>7</v>
      </c>
      <c r="E17" s="792" t="s">
        <v>2254</v>
      </c>
      <c r="F17" s="798">
        <f>+BSPL!H93+BSPL!H87</f>
        <v>21043475.252110668</v>
      </c>
      <c r="G17" s="798">
        <f>+BSPL!I93+BSPL!I87</f>
        <v>65992518.077889204</v>
      </c>
    </row>
    <row r="18" spans="4:21" s="785" customFormat="1">
      <c r="D18" s="785">
        <v>8</v>
      </c>
      <c r="E18" s="786" t="s">
        <v>2255</v>
      </c>
      <c r="F18" s="787">
        <f>+[67]BSPL!F46-[67]BSPL!F31</f>
        <v>197592058.41094685</v>
      </c>
      <c r="G18" s="787">
        <f>+[67]BSPL!G46-[67]BSPL!G31</f>
        <v>179776082.73226473</v>
      </c>
    </row>
    <row r="19" spans="4:21" s="785" customFormat="1">
      <c r="D19" s="785">
        <v>9</v>
      </c>
      <c r="E19" s="786" t="s">
        <v>2256</v>
      </c>
      <c r="F19" s="798">
        <f>+BSPL!H26-BSPL!H37-BSPL!H45</f>
        <v>273224147.53381419</v>
      </c>
      <c r="G19" s="798">
        <f>+BSPL!I26-BSPL!I37-BSPL!I45</f>
        <v>268294783.82148692</v>
      </c>
    </row>
    <row r="20" spans="4:21" s="785" customFormat="1" ht="15">
      <c r="D20" s="785">
        <v>10</v>
      </c>
      <c r="E20" s="783" t="s">
        <v>2257</v>
      </c>
      <c r="F20" s="787">
        <f>+BSPL!H26-BSPL!H37-BSPL!H45</f>
        <v>273224147.53381419</v>
      </c>
      <c r="G20" s="787">
        <f>+BSPL!I26-BSPL!I37-BSPL!I45</f>
        <v>268294783.82148692</v>
      </c>
    </row>
    <row r="21" spans="4:21" s="785" customFormat="1">
      <c r="E21" s="786" t="s">
        <v>2258</v>
      </c>
      <c r="F21" s="787">
        <v>0</v>
      </c>
      <c r="G21" s="787">
        <v>0</v>
      </c>
    </row>
    <row r="22" spans="4:21" s="785" customFormat="1" ht="15">
      <c r="E22" s="783" t="s">
        <v>2259</v>
      </c>
      <c r="F22" s="789">
        <f>F20-F21</f>
        <v>273224147.53381419</v>
      </c>
      <c r="G22" s="789">
        <f t="shared" ref="G22" si="2">G20-G21</f>
        <v>268294783.82148692</v>
      </c>
    </row>
    <row r="23" spans="4:21" s="785" customFormat="1">
      <c r="D23" s="785">
        <v>11</v>
      </c>
      <c r="E23" s="786" t="s">
        <v>2260</v>
      </c>
      <c r="F23" s="787">
        <f>+BSPL!H8</f>
        <v>207947527</v>
      </c>
      <c r="G23" s="787">
        <f>+BSPL!I8</f>
        <v>216229798.1645444</v>
      </c>
    </row>
    <row r="24" spans="4:21" s="785" customFormat="1">
      <c r="D24" s="785">
        <v>12</v>
      </c>
      <c r="E24" s="786" t="s">
        <v>2261</v>
      </c>
      <c r="F24" s="787">
        <f>+BSPL!H368</f>
        <v>6243710</v>
      </c>
      <c r="G24" s="787">
        <f>+BSPL!I368</f>
        <v>1292191</v>
      </c>
    </row>
    <row r="25" spans="4:21" s="785" customFormat="1">
      <c r="D25" s="785">
        <v>13</v>
      </c>
      <c r="E25" s="786" t="s">
        <v>2262</v>
      </c>
      <c r="F25" s="787">
        <f>+BSPL!H373</f>
        <v>12801423</v>
      </c>
      <c r="G25" s="787">
        <f>+BSPL!I373</f>
        <v>10544440</v>
      </c>
    </row>
    <row r="26" spans="4:21" s="785" customFormat="1" ht="15">
      <c r="D26" s="785">
        <v>14</v>
      </c>
      <c r="E26" s="799" t="s">
        <v>2263</v>
      </c>
      <c r="F26" s="789">
        <f>SUM(F24:F25)</f>
        <v>19045133</v>
      </c>
      <c r="G26" s="789">
        <f t="shared" ref="G26" si="3">SUM(G24:G25)</f>
        <v>11836631</v>
      </c>
    </row>
    <row r="27" spans="4:21" s="785" customFormat="1" ht="15">
      <c r="D27" s="785" t="s">
        <v>2264</v>
      </c>
      <c r="E27" s="799" t="s">
        <v>2265</v>
      </c>
      <c r="F27" s="795"/>
      <c r="G27" s="795"/>
    </row>
    <row r="28" spans="4:21" s="785" customFormat="1">
      <c r="D28" s="785">
        <v>1</v>
      </c>
      <c r="E28" s="786" t="s">
        <v>2266</v>
      </c>
      <c r="F28" s="800">
        <f>+(F7-G7)/G7</f>
        <v>0.37116085856717979</v>
      </c>
      <c r="G28" s="800">
        <f>+(G7-H7)/H7</f>
        <v>1.7515002709048655E-2</v>
      </c>
    </row>
    <row r="29" spans="4:21" s="785" customFormat="1">
      <c r="D29" s="785">
        <f>+D28+1</f>
        <v>2</v>
      </c>
      <c r="E29" s="795" t="s">
        <v>2267</v>
      </c>
      <c r="F29" s="801">
        <f>+F16/F7</f>
        <v>5.9425183133320722E-2</v>
      </c>
      <c r="G29" s="801">
        <f t="shared" ref="G29" si="4">+G16/G7</f>
        <v>0.13187603057068831</v>
      </c>
      <c r="H29" s="802">
        <f>+F29-G29</f>
        <v>-7.2450847437367585E-2</v>
      </c>
    </row>
    <row r="30" spans="4:21" s="785" customFormat="1">
      <c r="D30" s="785">
        <f>+D29+1</f>
        <v>3</v>
      </c>
      <c r="E30" s="795" t="s">
        <v>2268</v>
      </c>
      <c r="F30" s="801">
        <f>F8/F7</f>
        <v>2.54856585288981E-2</v>
      </c>
      <c r="G30" s="801">
        <f>G8/G7</f>
        <v>8.8275577811204764E-2</v>
      </c>
      <c r="H30" s="803">
        <f>+F30-G30</f>
        <v>-6.2789919282306664E-2</v>
      </c>
    </row>
    <row r="31" spans="4:21" s="785" customFormat="1">
      <c r="D31" s="785">
        <f t="shared" ref="D31:D42" si="5">+D30+1</f>
        <v>4</v>
      </c>
      <c r="E31" s="795" t="s">
        <v>2269</v>
      </c>
      <c r="F31" s="818">
        <f>+('[74]Balance Sheet'!E81+'[74]Balance Sheet'!E82+'[74]Balance Sheet'!E83)/[75]Ratios!F7</f>
        <v>0.66470103428718952</v>
      </c>
      <c r="G31" s="818">
        <f>+('[74]Balance Sheet'!F81+'[74]Balance Sheet'!F82+'[74]Balance Sheet'!F83)/[75]Ratios!G7</f>
        <v>0.68393372596986024</v>
      </c>
      <c r="H31" s="802">
        <f t="shared" ref="H31:H42" si="6">+F31-G31</f>
        <v>-1.9232691682670722E-2</v>
      </c>
    </row>
    <row r="32" spans="4:21" s="785" customFormat="1">
      <c r="D32" s="785">
        <f t="shared" si="5"/>
        <v>5</v>
      </c>
      <c r="E32" s="795" t="s">
        <v>2270</v>
      </c>
      <c r="F32" s="804">
        <f>+BSPL!H93/BSPL!H78</f>
        <v>2.745255968211997E-3</v>
      </c>
      <c r="G32" s="804">
        <f>+BSPL!I93/BSPL!I78</f>
        <v>5.8876491325106237E-2</v>
      </c>
      <c r="H32" s="802">
        <f t="shared" si="6"/>
        <v>-5.6131235356894238E-2</v>
      </c>
      <c r="I32" s="802"/>
      <c r="J32" s="802"/>
      <c r="K32" s="802"/>
      <c r="L32" s="802"/>
      <c r="M32" s="802"/>
      <c r="N32" s="802"/>
      <c r="O32" s="802"/>
      <c r="P32" s="802"/>
      <c r="Q32" s="802"/>
      <c r="R32" s="802"/>
      <c r="S32" s="802"/>
      <c r="T32" s="802"/>
      <c r="U32" s="802"/>
    </row>
    <row r="33" spans="4:21" s="785" customFormat="1">
      <c r="D33" s="785">
        <f t="shared" si="5"/>
        <v>6</v>
      </c>
      <c r="E33" s="795" t="s">
        <v>2271</v>
      </c>
      <c r="F33" s="804">
        <f>+BSPL!H93/BSPL!H78</f>
        <v>2.745255968211997E-3</v>
      </c>
      <c r="G33" s="804">
        <f>+BSPL!I93/BSPL!I78</f>
        <v>5.8876491325106237E-2</v>
      </c>
      <c r="H33" s="802">
        <f t="shared" si="6"/>
        <v>-5.6131235356894238E-2</v>
      </c>
      <c r="I33" s="802"/>
      <c r="J33" s="802"/>
      <c r="K33" s="802"/>
      <c r="L33" s="802"/>
      <c r="M33" s="802"/>
      <c r="N33" s="802"/>
      <c r="O33" s="802"/>
      <c r="P33" s="802"/>
      <c r="Q33" s="802"/>
      <c r="R33" s="802"/>
      <c r="S33" s="802"/>
      <c r="T33" s="802"/>
      <c r="U33" s="802"/>
    </row>
    <row r="34" spans="4:21" s="785" customFormat="1">
      <c r="D34" s="785">
        <f t="shared" si="5"/>
        <v>7</v>
      </c>
      <c r="E34" s="795" t="s">
        <v>2272</v>
      </c>
      <c r="F34" s="804">
        <f>+BSPL!H100/BSPL!H78</f>
        <v>3.4032168903900557E-3</v>
      </c>
      <c r="G34" s="804">
        <f>+BSPL!I100/BSPL!I78</f>
        <v>4.1808962697180027E-2</v>
      </c>
      <c r="H34" s="802">
        <f t="shared" si="6"/>
        <v>-3.8405745806789973E-2</v>
      </c>
    </row>
    <row r="35" spans="4:21" s="785" customFormat="1">
      <c r="D35" s="785">
        <f t="shared" si="5"/>
        <v>8</v>
      </c>
      <c r="E35" s="795" t="s">
        <v>2273</v>
      </c>
      <c r="F35" s="804">
        <f>+BSPL!H100/BSPL!H78</f>
        <v>3.4032168903900557E-3</v>
      </c>
      <c r="G35" s="804">
        <f>+BSPL!I100/BSPL!I78</f>
        <v>4.1808962697180027E-2</v>
      </c>
      <c r="H35" s="802">
        <f t="shared" si="6"/>
        <v>-3.8405745806789973E-2</v>
      </c>
    </row>
    <row r="36" spans="4:21" s="785" customFormat="1">
      <c r="D36" s="785">
        <f t="shared" si="5"/>
        <v>9</v>
      </c>
      <c r="E36" s="795" t="s">
        <v>2274</v>
      </c>
      <c r="F36" s="805">
        <f>+F8/BSPL!H86</f>
        <v>3.7678028309447975</v>
      </c>
      <c r="G36" s="805">
        <f>+G8/BSPL!I86</f>
        <v>11.356340657985642</v>
      </c>
      <c r="H36" s="802"/>
    </row>
    <row r="37" spans="4:21" s="785" customFormat="1">
      <c r="D37" s="785">
        <f t="shared" si="5"/>
        <v>10</v>
      </c>
      <c r="E37" s="795" t="s">
        <v>2275</v>
      </c>
      <c r="F37" s="805">
        <f>F18/F19</f>
        <v>0.72318665899211154</v>
      </c>
      <c r="G37" s="805">
        <f>G18/G19</f>
        <v>0.67006924313474858</v>
      </c>
      <c r="H37" s="803"/>
      <c r="L37" s="788"/>
    </row>
    <row r="38" spans="4:21" s="785" customFormat="1">
      <c r="D38" s="785">
        <f t="shared" si="5"/>
        <v>11</v>
      </c>
      <c r="E38" s="795" t="s">
        <v>2276</v>
      </c>
      <c r="F38" s="805">
        <f>+F9/F14</f>
        <v>1.3405505744445749</v>
      </c>
      <c r="G38" s="805" t="e">
        <f>+G9/G14</f>
        <v>#REF!</v>
      </c>
      <c r="H38" s="803"/>
      <c r="I38" s="806"/>
      <c r="K38" s="806"/>
    </row>
    <row r="39" spans="4:21" s="785" customFormat="1">
      <c r="D39" s="785">
        <f t="shared" si="5"/>
        <v>12</v>
      </c>
      <c r="E39" s="795" t="s">
        <v>2277</v>
      </c>
      <c r="F39" s="805">
        <f>+F11/(F14-SUM(BSPL!H448:H449))</f>
        <v>1.5166278998625338</v>
      </c>
      <c r="G39" s="805" t="e">
        <f>+G11/(G14-SUM(BSPL!I448:I449))</f>
        <v>#REF!</v>
      </c>
      <c r="H39" s="803" t="e">
        <f t="shared" si="6"/>
        <v>#REF!</v>
      </c>
    </row>
    <row r="40" spans="4:21" s="785" customFormat="1">
      <c r="D40" s="785">
        <f>+D38+1</f>
        <v>12</v>
      </c>
      <c r="E40" s="795" t="s">
        <v>2278</v>
      </c>
      <c r="F40" s="804">
        <f t="shared" ref="F40:G40" si="7">+F15/F9</f>
        <v>0.25403784156794967</v>
      </c>
      <c r="G40" s="804" t="e">
        <f t="shared" si="7"/>
        <v>#REF!</v>
      </c>
      <c r="H40" s="802" t="e">
        <f t="shared" si="6"/>
        <v>#REF!</v>
      </c>
    </row>
    <row r="41" spans="4:21" s="785" customFormat="1">
      <c r="D41" s="785">
        <f t="shared" si="5"/>
        <v>13</v>
      </c>
      <c r="E41" s="807" t="s">
        <v>2279</v>
      </c>
      <c r="F41" s="804">
        <f>(F8)/F23</f>
        <v>0.13775796623015701</v>
      </c>
      <c r="G41" s="804">
        <f>(G8/G23)</f>
        <v>0.33466572897053642</v>
      </c>
      <c r="H41" s="802">
        <f t="shared" si="6"/>
        <v>-0.19690776274037941</v>
      </c>
      <c r="I41" s="802"/>
      <c r="J41" s="802"/>
      <c r="K41" s="802"/>
    </row>
    <row r="42" spans="4:21" s="785" customFormat="1">
      <c r="D42" s="785">
        <f t="shared" si="5"/>
        <v>14</v>
      </c>
      <c r="E42" s="795" t="s">
        <v>2280</v>
      </c>
      <c r="F42" s="804">
        <f>F17/F7</f>
        <v>1.8721594783421423E-2</v>
      </c>
      <c r="G42" s="804">
        <f>G17/G7</f>
        <v>8.0502336371046798E-2</v>
      </c>
      <c r="H42" s="802">
        <f t="shared" si="6"/>
        <v>-6.1780741587625379E-2</v>
      </c>
    </row>
    <row r="43" spans="4:21" s="785" customFormat="1" ht="14.25" thickBot="1">
      <c r="D43" s="785">
        <v>15</v>
      </c>
      <c r="E43" s="808" t="s">
        <v>2281</v>
      </c>
      <c r="F43" s="809">
        <f>F26/F8</f>
        <v>0.66483446846018535</v>
      </c>
      <c r="G43" s="809">
        <f>G26/G8</f>
        <v>0.16356912285590652</v>
      </c>
      <c r="H43" s="803"/>
    </row>
    <row r="44" spans="4:21" s="785" customFormat="1">
      <c r="E44" s="810"/>
      <c r="F44" s="811"/>
      <c r="G44" s="812"/>
    </row>
    <row r="45" spans="4:21" s="785" customFormat="1" ht="15">
      <c r="D45" s="785" t="s">
        <v>2282</v>
      </c>
      <c r="E45" s="813" t="s">
        <v>2283</v>
      </c>
      <c r="F45" s="819"/>
      <c r="G45" s="820"/>
    </row>
    <row r="46" spans="4:21" s="785" customFormat="1">
      <c r="D46" s="785">
        <v>1</v>
      </c>
      <c r="E46" s="795" t="s">
        <v>2284</v>
      </c>
      <c r="F46" s="819">
        <f>+('[74]Balance Sheet'!E100+'[74]Balance Sheet'!E85-'[74]Balance Sheet'!E76)/[75]Ratios!F7</f>
        <v>2.846871544197215E-3</v>
      </c>
      <c r="G46" s="819">
        <f>+('[74]Balance Sheet'!F100+'[74]Balance Sheet'!F85-'[74]Balance Sheet'!F76)/[75]Ratios!G7</f>
        <v>1.3297837307290058E-2</v>
      </c>
      <c r="H46" s="802">
        <f t="shared" ref="H46:H52" si="8">+F46-G46</f>
        <v>-1.0450965763092842E-2</v>
      </c>
    </row>
    <row r="47" spans="4:21" s="785" customFormat="1">
      <c r="D47" s="785">
        <f>+D46+1</f>
        <v>2</v>
      </c>
      <c r="E47" s="795" t="s">
        <v>2285</v>
      </c>
      <c r="F47" s="819">
        <f>+('[74]Balance Sheet'!E82+'[74]Balance Sheet'!E83+'[74]Balance Sheet'!E84+'[74]Balance Sheet'!E86+'[74]Balance Sheet'!E87)/[75]Ratios!F7</f>
        <v>0.99715313006916584</v>
      </c>
      <c r="G47" s="819">
        <f>+('[74]Balance Sheet'!F82+'[74]Balance Sheet'!F83+'[74]Balance Sheet'!F84+'[74]Balance Sheet'!F86+'[74]Balance Sheet'!F87)/[75]Ratios!G7</f>
        <v>0.98670216269270994</v>
      </c>
      <c r="H47" s="802">
        <f t="shared" si="8"/>
        <v>1.04509673764559E-2</v>
      </c>
    </row>
    <row r="48" spans="4:21" s="785" customFormat="1">
      <c r="D48" s="785">
        <f t="shared" ref="D48:D59" si="9">+D47+1</f>
        <v>3</v>
      </c>
      <c r="E48" s="795" t="s">
        <v>2286</v>
      </c>
      <c r="F48" s="821">
        <f>+SUM('[74]Balance Sheet'!E15:E16)/SUM('[74]Balance Sheet'!E11:E12)</f>
        <v>1.0293248260257575</v>
      </c>
      <c r="G48" s="821">
        <f>+SUM('[74]Balance Sheet'!F15:F16)/SUM('[74]Balance Sheet'!F11:F12)</f>
        <v>1.0790668279903015</v>
      </c>
    </row>
    <row r="49" spans="4:8" s="785" customFormat="1">
      <c r="D49" s="785">
        <f t="shared" si="9"/>
        <v>4</v>
      </c>
      <c r="E49" s="795" t="s">
        <v>2287</v>
      </c>
      <c r="F49" s="819">
        <f>+F9/'[74]Balance Sheet'!E45</f>
        <v>0.73255808754409124</v>
      </c>
      <c r="G49" s="819">
        <f>+G9/'[74]Balance Sheet'!F45</f>
        <v>0.8702074668699461</v>
      </c>
      <c r="H49" s="802">
        <f t="shared" si="8"/>
        <v>-0.13764937932585486</v>
      </c>
    </row>
    <row r="50" spans="4:8" s="803" customFormat="1">
      <c r="D50" s="785">
        <f t="shared" si="9"/>
        <v>5</v>
      </c>
      <c r="E50" s="814" t="s">
        <v>2288</v>
      </c>
      <c r="F50" s="819">
        <f>+'[74]Balance Sheet'!E317/[75]Ratios!F9</f>
        <v>0.46952676820067651</v>
      </c>
      <c r="G50" s="819">
        <f>+'[74]Balance Sheet'!F317/[75]Ratios!G9</f>
        <v>0.5788781566692025</v>
      </c>
      <c r="H50" s="802">
        <f t="shared" si="8"/>
        <v>-0.10935138846852599</v>
      </c>
    </row>
    <row r="51" spans="4:8" s="785" customFormat="1">
      <c r="D51" s="785">
        <f t="shared" si="9"/>
        <v>6</v>
      </c>
      <c r="E51" s="795" t="s">
        <v>2289</v>
      </c>
      <c r="F51" s="819">
        <f>+'[74]Balance Sheet'!E39/[75]Ratios!F9</f>
        <v>0.28580350575582769</v>
      </c>
      <c r="G51" s="819">
        <f>+'[74]Balance Sheet'!F39/[75]Ratios!G9</f>
        <v>0.57373579297673216</v>
      </c>
      <c r="H51" s="802">
        <f t="shared" si="8"/>
        <v>-0.28793228722090447</v>
      </c>
    </row>
    <row r="52" spans="4:8" s="785" customFormat="1">
      <c r="D52" s="785">
        <f t="shared" si="9"/>
        <v>7</v>
      </c>
      <c r="E52" s="795" t="s">
        <v>2290</v>
      </c>
      <c r="F52" s="819">
        <f>+'[74]Balance Sheet'!E40/[75]Ratios!F9</f>
        <v>0.62976768438266706</v>
      </c>
      <c r="G52" s="819">
        <f>+'[74]Balance Sheet'!F40/[75]Ratios!G9</f>
        <v>0.22014830455151474</v>
      </c>
      <c r="H52" s="802">
        <f t="shared" si="8"/>
        <v>0.40961937983115232</v>
      </c>
    </row>
    <row r="53" spans="4:8" s="785" customFormat="1">
      <c r="D53" s="785">
        <f t="shared" si="9"/>
        <v>8</v>
      </c>
      <c r="E53" s="795" t="s">
        <v>2291</v>
      </c>
      <c r="F53" s="822">
        <f>+'[74]Balance Sheet'!E39/[75]Ratios!F7*365</f>
        <v>20.976791817560276</v>
      </c>
      <c r="G53" s="822">
        <f>+'[74]Balance Sheet'!F39/[75]Ratios!G7*365</f>
        <v>31.484981188932764</v>
      </c>
    </row>
    <row r="54" spans="4:8" s="785" customFormat="1">
      <c r="D54" s="785">
        <f t="shared" si="9"/>
        <v>9</v>
      </c>
      <c r="E54" s="795" t="s">
        <v>2292</v>
      </c>
      <c r="F54" s="822">
        <f>+'[74]Balance Sheet'!E40/[75]Ratios!F7*365</f>
        <v>46.222335775014692</v>
      </c>
      <c r="G54" s="822">
        <f>+'[74]Balance Sheet'!F40/[75]Ratios!G7*365</f>
        <v>12.08111000294692</v>
      </c>
    </row>
    <row r="55" spans="4:8" s="785" customFormat="1">
      <c r="D55" s="785">
        <f t="shared" si="9"/>
        <v>10</v>
      </c>
      <c r="E55" s="795" t="s">
        <v>2293</v>
      </c>
      <c r="F55" s="822">
        <f>+'[74]Balance Sheet'!E338/'[74]Balance Sheet'!E82*365</f>
        <v>47.366069128940069</v>
      </c>
      <c r="G55" s="822">
        <f>+'[74]Balance Sheet'!F338/'[74]Balance Sheet'!F82*365</f>
        <v>16.571421943629726</v>
      </c>
    </row>
    <row r="56" spans="4:8" s="785" customFormat="1" ht="14.25" thickBot="1">
      <c r="D56" s="785">
        <f t="shared" si="9"/>
        <v>11</v>
      </c>
      <c r="E56" s="808" t="s">
        <v>2294</v>
      </c>
      <c r="F56" s="823">
        <f>+('[74]Balance Sheet'!E82+'[74]Balance Sheet'!E83+'[74]Balance Sheet'!E81)/[75]Ratios!F7</f>
        <v>0.66470103428718952</v>
      </c>
      <c r="G56" s="823">
        <f>+('[74]Balance Sheet'!F82+'[74]Balance Sheet'!F83+'[74]Balance Sheet'!F81)/[75]Ratios!G7</f>
        <v>0.68393372596986024</v>
      </c>
      <c r="H56" s="802">
        <f t="shared" ref="H56" si="10">+F56-G56</f>
        <v>-1.9232691682670722E-2</v>
      </c>
    </row>
    <row r="57" spans="4:8" s="785" customFormat="1">
      <c r="D57" s="785">
        <f t="shared" si="9"/>
        <v>12</v>
      </c>
      <c r="E57" s="815" t="s">
        <v>2295</v>
      </c>
      <c r="F57" s="824">
        <v>132.98167389583742</v>
      </c>
      <c r="G57" s="825">
        <v>26.981640312865323</v>
      </c>
    </row>
    <row r="58" spans="4:8" s="785" customFormat="1">
      <c r="D58" s="785">
        <f>+D57+1</f>
        <v>13</v>
      </c>
      <c r="E58" s="816" t="s">
        <v>2296</v>
      </c>
      <c r="F58" s="826">
        <v>23.311947541845068</v>
      </c>
      <c r="G58" s="827">
        <v>16.688179061084988</v>
      </c>
    </row>
    <row r="59" spans="4:8" s="785" customFormat="1">
      <c r="D59" s="785">
        <f t="shared" si="9"/>
        <v>14</v>
      </c>
      <c r="E59" s="816" t="s">
        <v>2297</v>
      </c>
      <c r="F59" s="826">
        <v>163.14551105838626</v>
      </c>
      <c r="G59" s="827">
        <v>31.567391652720762</v>
      </c>
    </row>
    <row r="60" spans="4:8" s="785" customFormat="1" ht="14.25" thickBot="1">
      <c r="E60" s="817"/>
      <c r="F60" s="828"/>
      <c r="G60" s="829"/>
    </row>
  </sheetData>
  <pageMargins left="0.7" right="0.7" top="0.75" bottom="0.75" header="0.3" footer="0.3"/>
  <pageSetup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3"/>
  <sheetViews>
    <sheetView topLeftCell="B1" zoomScale="73" zoomScaleNormal="73" workbookViewId="0">
      <selection activeCell="C13" sqref="C13"/>
    </sheetView>
  </sheetViews>
  <sheetFormatPr defaultRowHeight="15"/>
  <cols>
    <col min="1" max="1" width="9.28515625" style="230" bestFit="1" customWidth="1"/>
    <col min="2" max="2" width="50.7109375" style="230" bestFit="1" customWidth="1"/>
    <col min="3" max="3" width="15.7109375" style="230" customWidth="1"/>
    <col min="4" max="4" width="15.140625" style="230" customWidth="1"/>
    <col min="5" max="5" width="22.5703125" style="230" bestFit="1" customWidth="1"/>
    <col min="6" max="7" width="22.42578125" style="230" customWidth="1"/>
    <col min="8" max="8" width="22.5703125" style="230" bestFit="1" customWidth="1"/>
    <col min="9" max="10" width="22.42578125" style="230" customWidth="1"/>
    <col min="11" max="11" width="22.5703125" style="230" bestFit="1" customWidth="1"/>
    <col min="12" max="12" width="11" style="230" bestFit="1" customWidth="1"/>
    <col min="13" max="13" width="9.7109375" style="230" bestFit="1" customWidth="1"/>
    <col min="14" max="16384" width="9.140625" style="230"/>
  </cols>
  <sheetData>
    <row r="1" spans="1:13">
      <c r="A1" s="230">
        <v>1</v>
      </c>
    </row>
    <row r="3" spans="1:13" ht="18.75">
      <c r="B3" s="2371" t="s">
        <v>1065</v>
      </c>
      <c r="C3" s="2372"/>
      <c r="D3" s="2372"/>
      <c r="E3" s="2372"/>
      <c r="F3" s="2372"/>
      <c r="G3" s="2372"/>
      <c r="H3" s="2372"/>
      <c r="I3" s="2372"/>
      <c r="J3" s="2372"/>
      <c r="K3" s="2372"/>
    </row>
    <row r="4" spans="1:13" ht="18.75">
      <c r="B4" s="2373" t="s">
        <v>1966</v>
      </c>
      <c r="C4" s="2374"/>
      <c r="D4" s="2374"/>
      <c r="E4" s="2374"/>
      <c r="F4" s="2374"/>
      <c r="G4" s="2374"/>
      <c r="H4" s="2374"/>
      <c r="I4" s="2374"/>
      <c r="J4" s="2374"/>
      <c r="K4" s="2374"/>
    </row>
    <row r="5" spans="1:13" ht="18.75">
      <c r="B5" s="2375" t="s">
        <v>9</v>
      </c>
      <c r="C5" s="2376" t="s">
        <v>1967</v>
      </c>
      <c r="D5" s="2376"/>
      <c r="E5" s="2376"/>
      <c r="F5" s="2376" t="s">
        <v>1955</v>
      </c>
      <c r="G5" s="2376"/>
      <c r="H5" s="2376"/>
      <c r="I5" s="2376" t="s">
        <v>1956</v>
      </c>
      <c r="J5" s="2376"/>
      <c r="K5" s="2376"/>
    </row>
    <row r="6" spans="1:13" ht="18.75">
      <c r="B6" s="2375"/>
      <c r="C6" s="520" t="s">
        <v>1957</v>
      </c>
      <c r="D6" s="520" t="s">
        <v>1958</v>
      </c>
      <c r="E6" s="144" t="s">
        <v>1628</v>
      </c>
      <c r="F6" s="520" t="s">
        <v>1957</v>
      </c>
      <c r="G6" s="520" t="s">
        <v>1958</v>
      </c>
      <c r="H6" s="144" t="s">
        <v>1628</v>
      </c>
      <c r="I6" s="520" t="s">
        <v>1957</v>
      </c>
      <c r="J6" s="520" t="s">
        <v>1958</v>
      </c>
      <c r="K6" s="144" t="s">
        <v>1628</v>
      </c>
    </row>
    <row r="7" spans="1:13" ht="18.75">
      <c r="B7" s="521" t="s">
        <v>1127</v>
      </c>
      <c r="C7" s="522">
        <v>32530.695</v>
      </c>
      <c r="D7" s="523">
        <f>+E7/C7</f>
        <v>34262.671324728843</v>
      </c>
      <c r="E7" s="57">
        <f>+BSPL!H470</f>
        <v>1114588510.75</v>
      </c>
      <c r="F7" s="524">
        <v>32969.936000000009</v>
      </c>
      <c r="G7" s="525">
        <f>+H7/F7</f>
        <v>24291.904637000196</v>
      </c>
      <c r="H7" s="57">
        <f>+BSPL!I472</f>
        <v>800902541.19999993</v>
      </c>
      <c r="I7" s="524">
        <v>33997.266999999993</v>
      </c>
      <c r="J7" s="525">
        <f>+K7/I7</f>
        <v>20274.645270750734</v>
      </c>
      <c r="K7" s="57">
        <f>+[76]BSPL!G426</f>
        <v>689282528.5999999</v>
      </c>
    </row>
    <row r="8" spans="1:13" ht="18.75">
      <c r="B8" s="17" t="s">
        <v>1128</v>
      </c>
      <c r="C8" s="20"/>
      <c r="D8" s="20"/>
      <c r="E8" s="22">
        <f>+BSPL!H79</f>
        <v>1391218.6099999999</v>
      </c>
      <c r="F8" s="22"/>
      <c r="G8" s="22"/>
      <c r="H8" s="22">
        <f>+BSPL!I79</f>
        <v>1189801</v>
      </c>
      <c r="I8" s="22"/>
      <c r="J8" s="22"/>
      <c r="K8" s="22">
        <f>+[76]BSPL!G79/$A$1</f>
        <v>1037875</v>
      </c>
    </row>
    <row r="9" spans="1:13" ht="18.75">
      <c r="B9" s="526" t="s">
        <v>1129</v>
      </c>
      <c r="C9" s="527">
        <f>+C7</f>
        <v>32530.695</v>
      </c>
      <c r="D9" s="528">
        <f>+E9/C9</f>
        <v>34305.437660031545</v>
      </c>
      <c r="E9" s="58">
        <f>+E7+E8</f>
        <v>1115979729.3599999</v>
      </c>
      <c r="F9" s="527">
        <f>+F7</f>
        <v>32969.936000000009</v>
      </c>
      <c r="G9" s="528">
        <f>+H9/F9</f>
        <v>24327.992089520576</v>
      </c>
      <c r="H9" s="58">
        <f>+H7+H8</f>
        <v>802092342.19999993</v>
      </c>
      <c r="I9" s="527">
        <f>+I7</f>
        <v>33997.266999999993</v>
      </c>
      <c r="J9" s="528">
        <f>+K9/I9</f>
        <v>20305.173459972535</v>
      </c>
      <c r="K9" s="58">
        <f>+K7+K8</f>
        <v>690320403.5999999</v>
      </c>
      <c r="L9" s="529">
        <f>+E9-E10</f>
        <v>-3298330.6092612743</v>
      </c>
      <c r="M9" s="529">
        <f>+K9-K10</f>
        <v>4719978.1811172962</v>
      </c>
    </row>
    <row r="10" spans="1:13" ht="18.75">
      <c r="B10" s="530" t="s">
        <v>1959</v>
      </c>
      <c r="C10" s="531">
        <v>32626.841</v>
      </c>
      <c r="D10" s="532">
        <f>+D9</f>
        <v>34305.437660031545</v>
      </c>
      <c r="E10" s="533">
        <f>+D10*C10</f>
        <v>1119278059.9692612</v>
      </c>
      <c r="F10" s="531">
        <v>32919.506999999998</v>
      </c>
      <c r="G10" s="532">
        <f>+G9</f>
        <v>24327.992089520576</v>
      </c>
      <c r="H10" s="533">
        <f>+G10*F10</f>
        <v>800865505.88691711</v>
      </c>
      <c r="I10" s="531">
        <f>+I13</f>
        <v>33764.815000000002</v>
      </c>
      <c r="J10" s="532">
        <f>+J9</f>
        <v>20305.173459972535</v>
      </c>
      <c r="K10" s="533">
        <f>+J10*I10</f>
        <v>685600425.41888261</v>
      </c>
      <c r="L10" s="534">
        <f>+C9-C10</f>
        <v>-96.14600000000064</v>
      </c>
      <c r="M10" s="249">
        <f>+I9-I10</f>
        <v>232.45199999999022</v>
      </c>
    </row>
    <row r="11" spans="1:13" ht="18.75">
      <c r="B11" s="530"/>
      <c r="C11" s="531"/>
      <c r="D11" s="532"/>
      <c r="E11" s="533"/>
      <c r="F11" s="531"/>
      <c r="G11" s="532"/>
      <c r="H11" s="533"/>
      <c r="I11" s="531"/>
      <c r="J11" s="532"/>
      <c r="K11" s="533"/>
      <c r="L11" s="249"/>
    </row>
    <row r="12" spans="1:13" ht="18.75">
      <c r="B12" s="535" t="s">
        <v>1130</v>
      </c>
      <c r="C12" s="17"/>
      <c r="D12" s="17"/>
      <c r="E12" s="18"/>
      <c r="F12" s="18"/>
      <c r="G12" s="18"/>
      <c r="H12" s="18"/>
      <c r="I12" s="18"/>
      <c r="J12" s="18"/>
      <c r="K12" s="18"/>
    </row>
    <row r="13" spans="1:13" ht="18.75">
      <c r="B13" s="17" t="s">
        <v>1131</v>
      </c>
      <c r="C13" s="536">
        <f>+C10</f>
        <v>32626.841</v>
      </c>
      <c r="D13" s="537">
        <f>+E13/C13</f>
        <v>26571.440376345352</v>
      </c>
      <c r="E13" s="22">
        <f>+BSPL!H82</f>
        <v>866942160.29999995</v>
      </c>
      <c r="F13" s="538">
        <f>+F10</f>
        <v>32919.506999999998</v>
      </c>
      <c r="G13" s="537">
        <f>+H13/F13</f>
        <v>16796.111098808375</v>
      </c>
      <c r="H13" s="22">
        <f>+BSPL!I82</f>
        <v>552919696.88999999</v>
      </c>
      <c r="I13" s="538">
        <v>33764.815000000002</v>
      </c>
      <c r="J13" s="537">
        <f>+K13/I13</f>
        <v>12820.329811373169</v>
      </c>
      <c r="K13" s="22">
        <f>+[76]BSPL!G82/$A$1</f>
        <v>432876064.31999999</v>
      </c>
    </row>
    <row r="14" spans="1:13" ht="18.75">
      <c r="B14" s="17" t="s">
        <v>1132</v>
      </c>
      <c r="C14" s="20"/>
      <c r="D14" s="20"/>
      <c r="E14" s="22">
        <f>+BSPL!H83</f>
        <v>0</v>
      </c>
      <c r="F14" s="22"/>
      <c r="G14" s="22"/>
      <c r="H14" s="22">
        <f>+BSPL!I83</f>
        <v>0</v>
      </c>
      <c r="I14" s="22"/>
      <c r="J14" s="22"/>
      <c r="K14" s="22">
        <f>+[76]BSPL!G83/$A$1</f>
        <v>1234765</v>
      </c>
    </row>
    <row r="15" spans="1:13" s="539" customFormat="1" ht="18.75">
      <c r="B15" s="540" t="s">
        <v>1133</v>
      </c>
      <c r="C15" s="541"/>
      <c r="D15" s="542"/>
      <c r="E15" s="543">
        <f>+BSPL!H84</f>
        <v>-988480.28211065382</v>
      </c>
      <c r="F15" s="541"/>
      <c r="G15" s="542"/>
      <c r="H15" s="543">
        <f>+BSPL!I84</f>
        <v>-8248259.7178893462</v>
      </c>
      <c r="I15" s="541"/>
      <c r="J15" s="542"/>
      <c r="K15" s="543">
        <f>+[76]BSPL!G84/$A$1</f>
        <v>5686699.3852898097</v>
      </c>
    </row>
    <row r="16" spans="1:13" ht="18.75">
      <c r="B16" s="17" t="s">
        <v>1134</v>
      </c>
      <c r="C16" s="536"/>
      <c r="D16" s="537"/>
      <c r="E16" s="22">
        <f>+BSPL!H85</f>
        <v>24533935</v>
      </c>
      <c r="F16" s="536"/>
      <c r="G16" s="537"/>
      <c r="H16" s="22">
        <f>+BSPL!I85</f>
        <v>21641049</v>
      </c>
      <c r="I16" s="536"/>
      <c r="J16" s="537"/>
      <c r="K16" s="22">
        <f>+[76]BSPL!G85/$A$1</f>
        <v>21336667</v>
      </c>
    </row>
    <row r="17" spans="2:11" ht="18.75">
      <c r="B17" s="544" t="s">
        <v>1136</v>
      </c>
      <c r="C17" s="536"/>
      <c r="D17" s="537"/>
      <c r="E17" s="22">
        <f>+BSPL!H87</f>
        <v>17957748.491325565</v>
      </c>
      <c r="F17" s="536"/>
      <c r="G17" s="537"/>
      <c r="H17" s="22">
        <f>+BSPL!I87</f>
        <v>17727982</v>
      </c>
      <c r="I17" s="536"/>
      <c r="J17" s="537"/>
      <c r="K17" s="22">
        <f>+[76]BSPL!G87/$A$1</f>
        <v>17192939</v>
      </c>
    </row>
    <row r="18" spans="2:11" ht="18.75">
      <c r="B18" s="17" t="s">
        <v>1960</v>
      </c>
      <c r="C18" s="536"/>
      <c r="D18" s="537"/>
      <c r="E18" s="22">
        <f>+BSPL!H519</f>
        <v>192663865.22000003</v>
      </c>
      <c r="F18" s="536"/>
      <c r="G18" s="537"/>
      <c r="H18" s="22">
        <f>+BSPL!I519</f>
        <v>168170836.64999998</v>
      </c>
      <c r="I18" s="536"/>
      <c r="J18" s="537"/>
      <c r="K18" s="22">
        <f>+[76]BSPL!G474</f>
        <v>178864543.94999999</v>
      </c>
    </row>
    <row r="19" spans="2:11" ht="18.75">
      <c r="B19" s="526" t="s">
        <v>1961</v>
      </c>
      <c r="C19" s="545">
        <f>+C13</f>
        <v>32626.841</v>
      </c>
      <c r="D19" s="546">
        <f>+E19/C19</f>
        <v>33748.570041740015</v>
      </c>
      <c r="E19" s="23">
        <f>+SUM(E13:E18)</f>
        <v>1101109228.7292149</v>
      </c>
      <c r="F19" s="545">
        <f>+F13</f>
        <v>32919.506999999998</v>
      </c>
      <c r="G19" s="546">
        <f>+H19/F19</f>
        <v>22850.017311076703</v>
      </c>
      <c r="H19" s="23">
        <f>+SUM(H13:H18)</f>
        <v>752211304.82211065</v>
      </c>
      <c r="I19" s="545">
        <f>+I13</f>
        <v>33764.815000000002</v>
      </c>
      <c r="J19" s="546">
        <f>+K19/I19</f>
        <v>19463.802145970287</v>
      </c>
      <c r="K19" s="23">
        <f>+SUM(K13:K18)</f>
        <v>657191678.65528977</v>
      </c>
    </row>
    <row r="20" spans="2:11" ht="18.75">
      <c r="B20" s="526" t="s">
        <v>1962</v>
      </c>
      <c r="C20" s="545">
        <f>+C19</f>
        <v>32626.841</v>
      </c>
      <c r="D20" s="546">
        <f>+E20/C20</f>
        <v>556.86761829152454</v>
      </c>
      <c r="E20" s="547">
        <f>+E10-E19</f>
        <v>18168831.240046263</v>
      </c>
      <c r="F20" s="545">
        <f>+F19</f>
        <v>32919.506999999998</v>
      </c>
      <c r="G20" s="546">
        <f>+H20/F20</f>
        <v>1477.9747784438712</v>
      </c>
      <c r="H20" s="547">
        <f>+H10-H19</f>
        <v>48654201.064806461</v>
      </c>
      <c r="I20" s="545">
        <f>+I19</f>
        <v>33764.815000000002</v>
      </c>
      <c r="J20" s="546">
        <f>+K20/I20</f>
        <v>841.37131400224871</v>
      </c>
      <c r="K20" s="547">
        <f>+K10-K19</f>
        <v>28408746.763592839</v>
      </c>
    </row>
    <row r="21" spans="2:11" ht="18.75">
      <c r="B21" s="17" t="s">
        <v>1135</v>
      </c>
      <c r="C21" s="536"/>
      <c r="D21" s="537"/>
      <c r="E21" s="22">
        <f>+BSPL!H501</f>
        <v>7602953.1500000004</v>
      </c>
      <c r="F21" s="536"/>
      <c r="G21" s="537"/>
      <c r="H21" s="22">
        <f>+BSPL!I501</f>
        <v>6372184.9500000002</v>
      </c>
      <c r="I21" s="536"/>
      <c r="J21" s="537"/>
      <c r="K21" s="22">
        <f>+[76]BSPL!G86/$A$1</f>
        <v>9356360.9400000013</v>
      </c>
    </row>
    <row r="22" spans="2:11" ht="18.75">
      <c r="B22" s="17" t="s">
        <v>1137</v>
      </c>
      <c r="C22" s="536"/>
      <c r="D22" s="537"/>
      <c r="E22" s="22">
        <f>+BSPL!H548+BSPL!H554-BSPL!H527</f>
        <v>12306160.720000001</v>
      </c>
      <c r="F22" s="22"/>
      <c r="G22" s="537"/>
      <c r="H22" s="22">
        <f>+BSPL!I548+BSPL!I554-BSPL!I527</f>
        <v>13190939.350000001</v>
      </c>
      <c r="I22" s="22"/>
      <c r="J22" s="537"/>
      <c r="K22" s="22">
        <f>+[76]BSPL!G505+[76]BSPL!G511-[76]BSPL!G482</f>
        <v>11336814.6</v>
      </c>
    </row>
    <row r="23" spans="2:11" ht="18.75">
      <c r="B23" s="526" t="s">
        <v>1138</v>
      </c>
      <c r="C23" s="548">
        <f>+C13</f>
        <v>32626.841</v>
      </c>
      <c r="D23" s="549">
        <f>+E23/C23</f>
        <v>34358.776646479957</v>
      </c>
      <c r="E23" s="58">
        <f>+SUM(E21:E22)+E19</f>
        <v>1121018342.5992148</v>
      </c>
      <c r="F23" s="548">
        <f>+F13</f>
        <v>32919.506999999998</v>
      </c>
      <c r="G23" s="549">
        <f>+H23/F23</f>
        <v>23444.288795762059</v>
      </c>
      <c r="H23" s="58">
        <f>+SUM(H21:H22)+H19</f>
        <v>771774429.12211061</v>
      </c>
      <c r="I23" s="548">
        <f>+I13</f>
        <v>33764.815000000002</v>
      </c>
      <c r="J23" s="549">
        <f>+K23/I23</f>
        <v>20076.664249316626</v>
      </c>
      <c r="K23" s="58">
        <f>+SUM(K21:K22)+K19</f>
        <v>677884854.19528973</v>
      </c>
    </row>
    <row r="24" spans="2:11" ht="18.75">
      <c r="B24" s="550" t="s">
        <v>1963</v>
      </c>
      <c r="C24" s="548">
        <f>+C23</f>
        <v>32626.841</v>
      </c>
      <c r="D24" s="549">
        <f>+E24/C24</f>
        <v>-53.33898644841598</v>
      </c>
      <c r="E24" s="58">
        <f>+E10-E23</f>
        <v>-1740282.6299536228</v>
      </c>
      <c r="F24" s="548">
        <f>+F23</f>
        <v>32919.506999999998</v>
      </c>
      <c r="G24" s="549">
        <f>+H24/F24</f>
        <v>883.70329375851566</v>
      </c>
      <c r="H24" s="58">
        <f>+H10-H23</f>
        <v>29091076.764806509</v>
      </c>
      <c r="I24" s="548">
        <f>+I23</f>
        <v>33764.815000000002</v>
      </c>
      <c r="J24" s="549">
        <f>+K24/I24</f>
        <v>228.5092106559114</v>
      </c>
      <c r="K24" s="58">
        <f>+K10-K23</f>
        <v>7715571.2235928774</v>
      </c>
    </row>
    <row r="25" spans="2:11" ht="18.75">
      <c r="B25" s="544" t="s">
        <v>1140</v>
      </c>
      <c r="C25" s="17"/>
      <c r="D25" s="17"/>
      <c r="E25" s="18"/>
      <c r="F25" s="18"/>
      <c r="G25" s="18"/>
      <c r="H25" s="18">
        <v>0</v>
      </c>
      <c r="I25" s="18"/>
      <c r="J25" s="18"/>
      <c r="K25" s="18">
        <v>0</v>
      </c>
    </row>
    <row r="26" spans="2:11" ht="18.75">
      <c r="B26" s="544"/>
      <c r="C26" s="17"/>
      <c r="D26" s="17"/>
      <c r="E26" s="18"/>
      <c r="F26" s="18"/>
      <c r="G26" s="18"/>
      <c r="H26" s="18"/>
      <c r="I26" s="18"/>
      <c r="J26" s="18"/>
      <c r="K26" s="18"/>
    </row>
    <row r="27" spans="2:11" ht="18.75">
      <c r="B27" s="526" t="s">
        <v>1141</v>
      </c>
      <c r="C27" s="551"/>
      <c r="D27" s="551"/>
      <c r="E27" s="58">
        <f>+E24-E25</f>
        <v>-1740282.6299536228</v>
      </c>
      <c r="F27" s="58"/>
      <c r="G27" s="58"/>
      <c r="H27" s="58">
        <f>+H24-H25</f>
        <v>29091076.764806509</v>
      </c>
      <c r="I27" s="58"/>
      <c r="J27" s="58"/>
      <c r="K27" s="58">
        <f>+K24-K25</f>
        <v>7715571.2235928774</v>
      </c>
    </row>
    <row r="28" spans="2:11" ht="18.75">
      <c r="B28" s="17" t="s">
        <v>1142</v>
      </c>
      <c r="C28" s="552"/>
      <c r="D28" s="552"/>
      <c r="E28" s="18"/>
      <c r="F28" s="18"/>
      <c r="G28" s="18"/>
      <c r="H28" s="18"/>
      <c r="I28" s="18"/>
      <c r="J28" s="18"/>
      <c r="K28" s="18"/>
    </row>
    <row r="29" spans="2:11" ht="18.75">
      <c r="B29" s="17" t="s">
        <v>1143</v>
      </c>
      <c r="C29" s="20"/>
      <c r="D29" s="20"/>
      <c r="E29" s="21"/>
      <c r="F29" s="21"/>
      <c r="G29" s="21"/>
      <c r="H29" s="21">
        <f>+(H27*0.22)</f>
        <v>6400036.8882574318</v>
      </c>
      <c r="I29" s="21"/>
      <c r="J29" s="21"/>
      <c r="K29" s="21">
        <f>+(K27*0.22)</f>
        <v>1697425.6691904331</v>
      </c>
    </row>
    <row r="30" spans="2:11" ht="18.75">
      <c r="B30" s="17" t="s">
        <v>1964</v>
      </c>
      <c r="C30" s="20"/>
      <c r="D30" s="20"/>
      <c r="E30" s="24"/>
      <c r="F30" s="24"/>
      <c r="G30" s="24"/>
      <c r="H30" s="22"/>
      <c r="I30" s="24"/>
      <c r="J30" s="24"/>
      <c r="K30" s="22"/>
    </row>
    <row r="31" spans="2:11" ht="18.75">
      <c r="B31" s="17" t="s">
        <v>1965</v>
      </c>
      <c r="C31" s="20"/>
      <c r="D31" s="20"/>
      <c r="E31" s="24"/>
      <c r="F31" s="24"/>
      <c r="G31" s="24"/>
      <c r="H31" s="22"/>
      <c r="I31" s="24"/>
      <c r="J31" s="24"/>
      <c r="K31" s="22"/>
    </row>
    <row r="32" spans="2:11" ht="18.75">
      <c r="B32" s="17"/>
      <c r="C32" s="20"/>
      <c r="D32" s="20"/>
      <c r="E32" s="24">
        <f>+SUM(E29:E31)</f>
        <v>0</v>
      </c>
      <c r="F32" s="24"/>
      <c r="G32" s="24"/>
      <c r="H32" s="24">
        <f>+SUM(H29:H31)</f>
        <v>6400036.8882574318</v>
      </c>
      <c r="I32" s="24"/>
      <c r="J32" s="24"/>
      <c r="K32" s="24">
        <f>+SUM(K29:K31)</f>
        <v>1697425.6691904331</v>
      </c>
    </row>
    <row r="33" spans="2:11" ht="18.75">
      <c r="B33" s="526" t="s">
        <v>1147</v>
      </c>
      <c r="C33" s="553"/>
      <c r="D33" s="553"/>
      <c r="E33" s="58">
        <f>+E27-E32</f>
        <v>-1740282.6299536228</v>
      </c>
      <c r="F33" s="58"/>
      <c r="G33" s="58"/>
      <c r="H33" s="58">
        <f>+H27-H32</f>
        <v>22691039.876549076</v>
      </c>
      <c r="I33" s="58"/>
      <c r="J33" s="58"/>
      <c r="K33" s="58">
        <f>+K27-K32</f>
        <v>6018145.5544024445</v>
      </c>
    </row>
  </sheetData>
  <mergeCells count="6">
    <mergeCell ref="B3:K3"/>
    <mergeCell ref="B4:K4"/>
    <mergeCell ref="B5:B6"/>
    <mergeCell ref="C5:E5"/>
    <mergeCell ref="I5:K5"/>
    <mergeCell ref="F5:H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29"/>
  <sheetViews>
    <sheetView view="pageBreakPreview" topLeftCell="H1" zoomScale="115" zoomScaleNormal="100" zoomScaleSheetLayoutView="115" workbookViewId="0">
      <selection activeCell="P23" sqref="P23"/>
    </sheetView>
  </sheetViews>
  <sheetFormatPr defaultColWidth="9.140625" defaultRowHeight="12.75"/>
  <cols>
    <col min="1" max="1" width="5" style="503" hidden="1" customWidth="1"/>
    <col min="2" max="2" width="40" style="503" hidden="1" customWidth="1"/>
    <col min="3" max="3" width="12" style="503" hidden="1" customWidth="1"/>
    <col min="4" max="4" width="40" style="503" hidden="1" customWidth="1"/>
    <col min="5" max="5" width="3" style="503" hidden="1" customWidth="1"/>
    <col min="6" max="6" width="10" style="503" hidden="1" customWidth="1"/>
    <col min="7" max="7" width="10.5703125" style="503" hidden="1" customWidth="1"/>
    <col min="8" max="8" width="8.5703125" style="503" customWidth="1"/>
    <col min="9" max="9" width="27.28515625" style="503" bestFit="1" customWidth="1"/>
    <col min="10" max="10" width="17.42578125" style="503" customWidth="1"/>
    <col min="11" max="11" width="13.42578125" style="503" bestFit="1" customWidth="1"/>
    <col min="12" max="12" width="14.7109375" style="503" bestFit="1" customWidth="1"/>
    <col min="13" max="13" width="15.140625" style="503" bestFit="1" customWidth="1"/>
    <col min="14" max="14" width="9.28515625" style="503" bestFit="1" customWidth="1"/>
    <col min="15" max="15" width="9.5703125" style="503" bestFit="1" customWidth="1"/>
    <col min="16" max="16" width="9.28515625" style="503" bestFit="1" customWidth="1"/>
    <col min="17" max="16384" width="9.140625" style="503"/>
  </cols>
  <sheetData>
    <row r="2" spans="1:16" ht="26.25">
      <c r="H2" s="2377" t="s">
        <v>1841</v>
      </c>
      <c r="I2" s="2377"/>
      <c r="J2" s="2377"/>
      <c r="K2" s="2377"/>
      <c r="L2" s="2377"/>
      <c r="M2" s="2377"/>
    </row>
    <row r="3" spans="1:16" ht="18.75">
      <c r="H3" s="2378" t="s">
        <v>1928</v>
      </c>
      <c r="I3" s="2378"/>
      <c r="J3" s="2378"/>
      <c r="K3" s="2378"/>
      <c r="L3" s="2378"/>
      <c r="M3" s="2378"/>
    </row>
    <row r="4" spans="1:16" ht="15">
      <c r="A4" s="503" t="s">
        <v>1929</v>
      </c>
      <c r="B4" s="503" t="s">
        <v>1930</v>
      </c>
      <c r="C4" s="503" t="s">
        <v>1931</v>
      </c>
      <c r="D4" s="503" t="s">
        <v>1932</v>
      </c>
      <c r="E4" s="503" t="s">
        <v>1933</v>
      </c>
      <c r="F4" s="503" t="s">
        <v>1934</v>
      </c>
      <c r="H4" s="2379" t="s">
        <v>1935</v>
      </c>
      <c r="I4" s="2379" t="s">
        <v>1936</v>
      </c>
      <c r="J4" s="2380" t="s">
        <v>1937</v>
      </c>
      <c r="K4" s="2382" t="s">
        <v>1685</v>
      </c>
      <c r="L4" s="2382"/>
      <c r="M4" s="2379" t="s">
        <v>1249</v>
      </c>
    </row>
    <row r="5" spans="1:16" ht="15">
      <c r="G5" s="503" t="s">
        <v>1534</v>
      </c>
      <c r="H5" s="2379"/>
      <c r="I5" s="2379"/>
      <c r="J5" s="2381"/>
      <c r="K5" s="504" t="s">
        <v>1938</v>
      </c>
      <c r="L5" s="504" t="s">
        <v>1939</v>
      </c>
      <c r="M5" s="2379"/>
    </row>
    <row r="6" spans="1:16">
      <c r="G6" s="505">
        <v>574500</v>
      </c>
      <c r="H6" s="506">
        <v>1</v>
      </c>
      <c r="I6" s="507" t="s">
        <v>43</v>
      </c>
      <c r="J6" s="505">
        <v>5000</v>
      </c>
      <c r="K6" s="505">
        <v>5000</v>
      </c>
      <c r="L6" s="505">
        <f>+J6-K6</f>
        <v>0</v>
      </c>
      <c r="M6" s="505">
        <f t="shared" ref="M6:M26" si="0">+K6+L6</f>
        <v>5000</v>
      </c>
    </row>
    <row r="7" spans="1:16">
      <c r="G7" s="505">
        <v>356585</v>
      </c>
      <c r="H7" s="506">
        <f>+H6+1</f>
        <v>2</v>
      </c>
      <c r="I7" s="507" t="s">
        <v>97</v>
      </c>
      <c r="J7" s="505">
        <v>54000</v>
      </c>
      <c r="K7" s="505">
        <v>54000</v>
      </c>
      <c r="L7" s="505">
        <f>+J7-K7</f>
        <v>0</v>
      </c>
      <c r="M7" s="505">
        <f t="shared" si="0"/>
        <v>54000</v>
      </c>
    </row>
    <row r="8" spans="1:16">
      <c r="A8" s="503" t="s">
        <v>1940</v>
      </c>
      <c r="B8" s="503" t="s">
        <v>1941</v>
      </c>
      <c r="C8" s="503" t="s">
        <v>1942</v>
      </c>
      <c r="D8" s="503" t="s">
        <v>1943</v>
      </c>
      <c r="E8" s="503" t="s">
        <v>1944</v>
      </c>
      <c r="F8" s="503" t="s">
        <v>1945</v>
      </c>
      <c r="G8" s="505">
        <v>249000</v>
      </c>
      <c r="H8" s="506">
        <f t="shared" ref="H8:H25" si="1">+H7+1</f>
        <v>3</v>
      </c>
      <c r="I8" s="507" t="s">
        <v>137</v>
      </c>
      <c r="J8" s="505">
        <v>15000</v>
      </c>
      <c r="K8" s="505">
        <v>15000</v>
      </c>
      <c r="L8" s="505">
        <f t="shared" ref="L8:L25" si="2">+J8-K8</f>
        <v>0</v>
      </c>
      <c r="M8" s="505">
        <f t="shared" si="0"/>
        <v>15000</v>
      </c>
      <c r="P8" s="508"/>
    </row>
    <row r="9" spans="1:16">
      <c r="G9" s="505">
        <v>180000</v>
      </c>
      <c r="H9" s="506">
        <f t="shared" si="1"/>
        <v>4</v>
      </c>
      <c r="I9" s="507" t="s">
        <v>179</v>
      </c>
      <c r="J9" s="505">
        <v>20000</v>
      </c>
      <c r="K9" s="505">
        <v>20000</v>
      </c>
      <c r="L9" s="505">
        <f t="shared" si="2"/>
        <v>0</v>
      </c>
      <c r="M9" s="505">
        <f t="shared" si="0"/>
        <v>20000</v>
      </c>
      <c r="P9" s="508"/>
    </row>
    <row r="10" spans="1:16">
      <c r="G10" s="505">
        <v>32500</v>
      </c>
      <c r="H10" s="506">
        <f t="shared" si="1"/>
        <v>5</v>
      </c>
      <c r="I10" s="507" t="s">
        <v>186</v>
      </c>
      <c r="J10" s="505">
        <v>14000</v>
      </c>
      <c r="K10" s="505">
        <v>14000</v>
      </c>
      <c r="L10" s="505">
        <f t="shared" si="2"/>
        <v>0</v>
      </c>
      <c r="M10" s="505">
        <f t="shared" si="0"/>
        <v>14000</v>
      </c>
    </row>
    <row r="11" spans="1:16" hidden="1">
      <c r="G11" s="505">
        <v>53000</v>
      </c>
      <c r="H11" s="506">
        <f t="shared" si="1"/>
        <v>6</v>
      </c>
      <c r="I11" s="507" t="s">
        <v>201</v>
      </c>
      <c r="J11" s="505">
        <v>5000</v>
      </c>
      <c r="K11" s="505"/>
      <c r="L11" s="505">
        <f t="shared" si="2"/>
        <v>5000</v>
      </c>
      <c r="M11" s="505">
        <f t="shared" si="0"/>
        <v>5000</v>
      </c>
    </row>
    <row r="12" spans="1:16" hidden="1">
      <c r="G12" s="505">
        <v>4000</v>
      </c>
      <c r="H12" s="506">
        <f t="shared" si="1"/>
        <v>7</v>
      </c>
      <c r="I12" s="507" t="s">
        <v>203</v>
      </c>
      <c r="J12" s="505">
        <v>39000</v>
      </c>
      <c r="K12" s="505"/>
      <c r="L12" s="505">
        <f t="shared" si="2"/>
        <v>39000</v>
      </c>
      <c r="M12" s="505">
        <f t="shared" si="0"/>
        <v>39000</v>
      </c>
    </row>
    <row r="13" spans="1:16" hidden="1">
      <c r="A13" s="503" t="s">
        <v>1940</v>
      </c>
      <c r="B13" s="503" t="s">
        <v>1941</v>
      </c>
      <c r="C13" s="503" t="s">
        <v>1942</v>
      </c>
      <c r="D13" s="503" t="s">
        <v>1943</v>
      </c>
      <c r="E13" s="503" t="s">
        <v>1944</v>
      </c>
      <c r="F13" s="503" t="s">
        <v>1946</v>
      </c>
      <c r="G13" s="505">
        <v>4500</v>
      </c>
      <c r="H13" s="506">
        <f t="shared" si="1"/>
        <v>8</v>
      </c>
      <c r="I13" s="507" t="s">
        <v>206</v>
      </c>
      <c r="J13" s="505">
        <v>9000</v>
      </c>
      <c r="K13" s="505"/>
      <c r="L13" s="505">
        <f t="shared" si="2"/>
        <v>9000</v>
      </c>
      <c r="M13" s="505">
        <f t="shared" si="0"/>
        <v>9000</v>
      </c>
    </row>
    <row r="14" spans="1:16">
      <c r="G14" s="505"/>
      <c r="H14" s="506">
        <f t="shared" si="1"/>
        <v>9</v>
      </c>
      <c r="I14" s="507" t="s">
        <v>209</v>
      </c>
      <c r="J14" s="505">
        <v>53000</v>
      </c>
      <c r="K14" s="505">
        <v>53000</v>
      </c>
      <c r="L14" s="505">
        <f t="shared" si="2"/>
        <v>0</v>
      </c>
      <c r="M14" s="505">
        <f t="shared" si="0"/>
        <v>53000</v>
      </c>
    </row>
    <row r="15" spans="1:16">
      <c r="G15" s="505"/>
      <c r="H15" s="506">
        <f t="shared" si="1"/>
        <v>10</v>
      </c>
      <c r="I15" s="507" t="s">
        <v>211</v>
      </c>
      <c r="J15" s="505">
        <v>9000</v>
      </c>
      <c r="K15" s="505">
        <v>9000</v>
      </c>
      <c r="L15" s="505">
        <f t="shared" si="2"/>
        <v>0</v>
      </c>
      <c r="M15" s="505">
        <f t="shared" si="0"/>
        <v>9000</v>
      </c>
    </row>
    <row r="16" spans="1:16">
      <c r="G16" s="505"/>
      <c r="H16" s="506">
        <f t="shared" si="1"/>
        <v>11</v>
      </c>
      <c r="I16" s="507" t="s">
        <v>212</v>
      </c>
      <c r="J16" s="505">
        <v>62000</v>
      </c>
      <c r="K16" s="505">
        <v>62000</v>
      </c>
      <c r="L16" s="505">
        <f t="shared" si="2"/>
        <v>0</v>
      </c>
      <c r="M16" s="505">
        <f t="shared" si="0"/>
        <v>62000</v>
      </c>
    </row>
    <row r="17" spans="7:15">
      <c r="G17" s="505"/>
      <c r="H17" s="506">
        <f t="shared" si="1"/>
        <v>12</v>
      </c>
      <c r="I17" s="507" t="s">
        <v>244</v>
      </c>
      <c r="J17" s="505">
        <v>8000</v>
      </c>
      <c r="K17" s="505">
        <v>8000</v>
      </c>
      <c r="L17" s="505">
        <f t="shared" si="2"/>
        <v>0</v>
      </c>
      <c r="M17" s="505">
        <f t="shared" si="0"/>
        <v>8000</v>
      </c>
    </row>
    <row r="18" spans="7:15">
      <c r="G18" s="505"/>
      <c r="H18" s="506">
        <f t="shared" si="1"/>
        <v>13</v>
      </c>
      <c r="I18" s="507" t="s">
        <v>290</v>
      </c>
      <c r="J18" s="505">
        <v>4000</v>
      </c>
      <c r="K18" s="505">
        <v>4000</v>
      </c>
      <c r="L18" s="505">
        <f t="shared" si="2"/>
        <v>0</v>
      </c>
      <c r="M18" s="505">
        <f t="shared" si="0"/>
        <v>4000</v>
      </c>
    </row>
    <row r="19" spans="7:15">
      <c r="G19" s="505"/>
      <c r="H19" s="506">
        <f t="shared" si="1"/>
        <v>14</v>
      </c>
      <c r="I19" s="507" t="s">
        <v>297</v>
      </c>
      <c r="J19" s="505">
        <v>2000</v>
      </c>
      <c r="K19" s="505">
        <v>2000</v>
      </c>
      <c r="L19" s="505">
        <f t="shared" si="2"/>
        <v>0</v>
      </c>
      <c r="M19" s="505">
        <f t="shared" si="0"/>
        <v>2000</v>
      </c>
    </row>
    <row r="20" spans="7:15">
      <c r="G20" s="505"/>
      <c r="H20" s="506">
        <f t="shared" si="1"/>
        <v>15</v>
      </c>
      <c r="I20" s="507" t="s">
        <v>311</v>
      </c>
      <c r="J20" s="505">
        <v>14000</v>
      </c>
      <c r="K20" s="505">
        <v>14000</v>
      </c>
      <c r="L20" s="505">
        <f t="shared" si="2"/>
        <v>0</v>
      </c>
      <c r="M20" s="505">
        <f t="shared" si="0"/>
        <v>14000</v>
      </c>
    </row>
    <row r="21" spans="7:15">
      <c r="G21" s="505"/>
      <c r="H21" s="506">
        <f t="shared" si="1"/>
        <v>16</v>
      </c>
      <c r="I21" s="507" t="s">
        <v>349</v>
      </c>
      <c r="J21" s="505">
        <v>5000</v>
      </c>
      <c r="K21" s="505">
        <v>5000</v>
      </c>
      <c r="L21" s="505">
        <f t="shared" si="2"/>
        <v>0</v>
      </c>
      <c r="M21" s="505">
        <f t="shared" si="0"/>
        <v>5000</v>
      </c>
    </row>
    <row r="22" spans="7:15">
      <c r="G22" s="505"/>
      <c r="H22" s="506">
        <f t="shared" si="1"/>
        <v>17</v>
      </c>
      <c r="I22" s="507" t="s">
        <v>350</v>
      </c>
      <c r="J22" s="505">
        <v>1500</v>
      </c>
      <c r="K22" s="505">
        <v>1500</v>
      </c>
      <c r="L22" s="505">
        <f t="shared" si="2"/>
        <v>0</v>
      </c>
      <c r="M22" s="505">
        <f t="shared" si="0"/>
        <v>1500</v>
      </c>
    </row>
    <row r="23" spans="7:15">
      <c r="G23" s="505"/>
      <c r="H23" s="506">
        <f t="shared" si="1"/>
        <v>18</v>
      </c>
      <c r="I23" s="507" t="s">
        <v>351</v>
      </c>
      <c r="J23" s="505">
        <v>11000</v>
      </c>
      <c r="K23" s="505">
        <v>11000</v>
      </c>
      <c r="L23" s="505">
        <f t="shared" si="2"/>
        <v>0</v>
      </c>
      <c r="M23" s="505">
        <f t="shared" si="0"/>
        <v>11000</v>
      </c>
    </row>
    <row r="24" spans="7:15">
      <c r="G24" s="505"/>
      <c r="H24" s="506">
        <f t="shared" si="1"/>
        <v>19</v>
      </c>
      <c r="I24" s="507" t="s">
        <v>354</v>
      </c>
      <c r="J24" s="505">
        <v>1000</v>
      </c>
      <c r="K24" s="505">
        <v>1000</v>
      </c>
      <c r="L24" s="505">
        <f t="shared" si="2"/>
        <v>0</v>
      </c>
      <c r="M24" s="505">
        <f t="shared" si="0"/>
        <v>1000</v>
      </c>
    </row>
    <row r="25" spans="7:15">
      <c r="G25" s="505"/>
      <c r="H25" s="506">
        <f t="shared" si="1"/>
        <v>20</v>
      </c>
      <c r="I25" s="507" t="s">
        <v>355</v>
      </c>
      <c r="J25" s="505">
        <v>14000</v>
      </c>
      <c r="K25" s="505">
        <v>14000</v>
      </c>
      <c r="L25" s="505">
        <f t="shared" si="2"/>
        <v>0</v>
      </c>
      <c r="M25" s="505">
        <f t="shared" si="0"/>
        <v>14000</v>
      </c>
    </row>
    <row r="26" spans="7:15" hidden="1">
      <c r="G26" s="505">
        <v>32000</v>
      </c>
      <c r="H26" s="506">
        <v>11</v>
      </c>
      <c r="I26" s="507" t="s">
        <v>1947</v>
      </c>
      <c r="J26" s="505"/>
      <c r="K26" s="505"/>
      <c r="L26" s="505"/>
      <c r="M26" s="505">
        <f t="shared" si="0"/>
        <v>0</v>
      </c>
    </row>
    <row r="27" spans="7:15" s="512" customFormat="1" ht="15">
      <c r="G27" s="509">
        <f>SUM(G6:G26)</f>
        <v>1486085</v>
      </c>
      <c r="H27" s="510"/>
      <c r="I27" s="510"/>
      <c r="J27" s="511">
        <f>SUM(J6:J26)</f>
        <v>345500</v>
      </c>
      <c r="K27" s="511">
        <f>SUM(K6:K26)</f>
        <v>292500</v>
      </c>
      <c r="L27" s="511">
        <f>SUM(L6:L26)</f>
        <v>53000</v>
      </c>
      <c r="M27" s="511">
        <f>SUM(M6:M26)</f>
        <v>345500</v>
      </c>
      <c r="O27" s="503"/>
    </row>
    <row r="29" spans="7:15">
      <c r="M29" s="508">
        <f>+J27-M27</f>
        <v>0</v>
      </c>
    </row>
  </sheetData>
  <mergeCells count="7">
    <mergeCell ref="H2:M2"/>
    <mergeCell ref="H3:M3"/>
    <mergeCell ref="H4:H5"/>
    <mergeCell ref="I4:I5"/>
    <mergeCell ref="J4:J5"/>
    <mergeCell ref="K4:L4"/>
    <mergeCell ref="M4:M5"/>
  </mergeCells>
  <pageMargins left="0.7" right="0.7" top="0.75" bottom="0.75" header="0.3" footer="0.3"/>
  <pageSetup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3:F9"/>
  <sheetViews>
    <sheetView workbookViewId="0">
      <selection activeCell="D14" sqref="D14"/>
    </sheetView>
  </sheetViews>
  <sheetFormatPr defaultRowHeight="15"/>
  <cols>
    <col min="1" max="1" width="9.140625" style="230"/>
    <col min="2" max="2" width="6.5703125" style="230" customWidth="1"/>
    <col min="3" max="3" width="35.85546875" style="230" bestFit="1" customWidth="1"/>
    <col min="4" max="4" width="12.5703125" style="2" bestFit="1" customWidth="1"/>
    <col min="5" max="5" width="56.140625" style="230" bestFit="1" customWidth="1"/>
    <col min="6" max="6" width="11.85546875" style="230" bestFit="1" customWidth="1"/>
    <col min="7" max="16384" width="9.140625" style="230"/>
  </cols>
  <sheetData>
    <row r="3" spans="2:6" ht="17.25">
      <c r="B3" s="12" t="s">
        <v>1065</v>
      </c>
      <c r="C3" s="513"/>
      <c r="E3" s="514"/>
    </row>
    <row r="4" spans="2:6">
      <c r="B4" s="515" t="s">
        <v>1948</v>
      </c>
      <c r="D4" s="516"/>
      <c r="E4" s="515"/>
      <c r="F4" s="14"/>
    </row>
    <row r="5" spans="2:6">
      <c r="B5" s="517" t="s">
        <v>1949</v>
      </c>
      <c r="C5" s="518" t="s">
        <v>1950</v>
      </c>
      <c r="D5" s="519" t="s">
        <v>1628</v>
      </c>
      <c r="E5" s="517" t="s">
        <v>1674</v>
      </c>
      <c r="F5" s="517" t="s">
        <v>1951</v>
      </c>
    </row>
    <row r="6" spans="2:6">
      <c r="B6" s="229">
        <v>1</v>
      </c>
      <c r="C6" s="229" t="s">
        <v>200</v>
      </c>
      <c r="D6" s="226">
        <v>91778</v>
      </c>
      <c r="E6" s="229" t="s">
        <v>1952</v>
      </c>
      <c r="F6" s="229"/>
    </row>
    <row r="7" spans="2:6">
      <c r="B7" s="229">
        <v>2</v>
      </c>
      <c r="C7" s="229" t="s">
        <v>221</v>
      </c>
      <c r="D7" s="226">
        <v>20000</v>
      </c>
      <c r="E7" s="229" t="s">
        <v>1952</v>
      </c>
      <c r="F7" s="229"/>
    </row>
    <row r="8" spans="2:6">
      <c r="B8" s="229">
        <v>3</v>
      </c>
      <c r="C8" s="229" t="s">
        <v>394</v>
      </c>
      <c r="D8" s="226">
        <v>4265067.0199999996</v>
      </c>
      <c r="E8" s="229" t="s">
        <v>1952</v>
      </c>
      <c r="F8" s="229"/>
    </row>
    <row r="9" spans="2:6">
      <c r="B9" s="229"/>
      <c r="C9" s="229"/>
      <c r="D9" s="228">
        <f>+SUM(D6:D8)</f>
        <v>4376845.0199999996</v>
      </c>
      <c r="E9" s="229"/>
      <c r="F9" s="22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P38"/>
  <sheetViews>
    <sheetView topLeftCell="A15" workbookViewId="0">
      <selection activeCell="C21" sqref="C21"/>
    </sheetView>
  </sheetViews>
  <sheetFormatPr defaultRowHeight="15"/>
  <cols>
    <col min="1" max="1" width="15.85546875" style="230" bestFit="1" customWidth="1"/>
    <col min="2" max="2" width="12.7109375" style="230" customWidth="1"/>
    <col min="3" max="6" width="15.7109375" style="230" customWidth="1"/>
    <col min="7" max="7" width="12.7109375" style="230" customWidth="1"/>
    <col min="8" max="10" width="15.7109375" style="230" customWidth="1"/>
    <col min="11" max="12" width="13.28515625" style="230" bestFit="1" customWidth="1"/>
    <col min="13" max="15" width="9.140625" style="230"/>
    <col min="16" max="16" width="13.28515625" style="230" bestFit="1" customWidth="1"/>
    <col min="17" max="16384" width="9.140625" style="230"/>
  </cols>
  <sheetData>
    <row r="1" spans="1:16">
      <c r="A1" s="2341" t="s">
        <v>1870</v>
      </c>
      <c r="B1" s="2341"/>
      <c r="C1" s="2341"/>
      <c r="D1" s="2341"/>
      <c r="E1" s="2341"/>
      <c r="F1" s="2341"/>
      <c r="G1" s="2341"/>
      <c r="H1" s="2341"/>
      <c r="I1" s="2341"/>
      <c r="J1" s="2341"/>
    </row>
    <row r="2" spans="1:16">
      <c r="A2" s="2341" t="s">
        <v>1871</v>
      </c>
      <c r="B2" s="2341"/>
      <c r="C2" s="2341"/>
      <c r="D2" s="2341"/>
      <c r="E2" s="2341"/>
      <c r="F2" s="2341"/>
      <c r="G2" s="2341"/>
      <c r="H2" s="2341"/>
      <c r="I2" s="2341"/>
      <c r="J2" s="2341"/>
    </row>
    <row r="3" spans="1:16">
      <c r="A3" s="2102" t="s">
        <v>1872</v>
      </c>
      <c r="B3" s="2383"/>
      <c r="C3" s="2383"/>
      <c r="D3" s="2383"/>
      <c r="E3" s="2383"/>
      <c r="F3" s="2102" t="s">
        <v>1701</v>
      </c>
      <c r="G3" s="2383"/>
      <c r="H3" s="2383"/>
      <c r="I3" s="2383"/>
      <c r="J3" s="2103"/>
    </row>
    <row r="4" spans="1:16" ht="30">
      <c r="A4" s="423" t="s">
        <v>1873</v>
      </c>
      <c r="B4" s="424" t="s">
        <v>1874</v>
      </c>
      <c r="C4" s="424" t="s">
        <v>1875</v>
      </c>
      <c r="D4" s="424" t="s">
        <v>1876</v>
      </c>
      <c r="E4" s="424" t="s">
        <v>1877</v>
      </c>
      <c r="F4" s="423" t="s">
        <v>1873</v>
      </c>
      <c r="G4" s="424" t="s">
        <v>1878</v>
      </c>
      <c r="H4" s="424" t="s">
        <v>1879</v>
      </c>
      <c r="I4" s="424" t="s">
        <v>1880</v>
      </c>
      <c r="J4" s="425" t="s">
        <v>1881</v>
      </c>
    </row>
    <row r="5" spans="1:16">
      <c r="A5" s="426" t="s">
        <v>1882</v>
      </c>
      <c r="B5" s="414">
        <v>41820</v>
      </c>
      <c r="C5" s="427">
        <v>246000</v>
      </c>
      <c r="D5" s="427">
        <v>209000</v>
      </c>
      <c r="E5" s="427">
        <f t="shared" ref="E5:E20" si="0">+C5-D5</f>
        <v>37000</v>
      </c>
      <c r="F5" s="426" t="s">
        <v>1882</v>
      </c>
      <c r="G5" s="414">
        <v>41900</v>
      </c>
      <c r="H5" s="427">
        <v>246000</v>
      </c>
      <c r="I5" s="428">
        <v>209000</v>
      </c>
      <c r="J5" s="429">
        <f>+H5-I5</f>
        <v>37000</v>
      </c>
      <c r="K5" s="430"/>
      <c r="P5" s="430"/>
    </row>
    <row r="6" spans="1:16">
      <c r="A6" s="426" t="s">
        <v>1883</v>
      </c>
      <c r="B6" s="414">
        <v>41820</v>
      </c>
      <c r="C6" s="427">
        <v>504000</v>
      </c>
      <c r="D6" s="427">
        <v>428400</v>
      </c>
      <c r="E6" s="427">
        <f t="shared" si="0"/>
        <v>75600</v>
      </c>
      <c r="F6" s="426" t="s">
        <v>1883</v>
      </c>
      <c r="G6" s="414">
        <v>41900</v>
      </c>
      <c r="H6" s="427">
        <v>504000</v>
      </c>
      <c r="I6" s="428">
        <v>428400</v>
      </c>
      <c r="J6" s="429">
        <f t="shared" ref="J6:J15" si="1">+H6-I6</f>
        <v>75600</v>
      </c>
      <c r="P6" s="430"/>
    </row>
    <row r="7" spans="1:16">
      <c r="A7" s="426" t="s">
        <v>1884</v>
      </c>
      <c r="B7" s="414">
        <v>41820</v>
      </c>
      <c r="C7" s="427">
        <v>1627500</v>
      </c>
      <c r="D7" s="427">
        <f>1383000+244500</f>
        <v>1627500</v>
      </c>
      <c r="E7" s="427">
        <f t="shared" si="0"/>
        <v>0</v>
      </c>
      <c r="F7" s="426" t="s">
        <v>1884</v>
      </c>
      <c r="G7" s="414">
        <v>41900</v>
      </c>
      <c r="H7" s="427">
        <v>1627500</v>
      </c>
      <c r="I7" s="428">
        <f>1383000+244500</f>
        <v>1627500</v>
      </c>
      <c r="J7" s="429">
        <f t="shared" si="1"/>
        <v>0</v>
      </c>
      <c r="P7" s="430"/>
    </row>
    <row r="8" spans="1:16">
      <c r="A8" s="426" t="s">
        <v>1885</v>
      </c>
      <c r="B8" s="414">
        <v>41820</v>
      </c>
      <c r="C8" s="427">
        <v>904000</v>
      </c>
      <c r="D8" s="427">
        <v>768000</v>
      </c>
      <c r="E8" s="427">
        <f t="shared" si="0"/>
        <v>136000</v>
      </c>
      <c r="F8" s="426" t="s">
        <v>1885</v>
      </c>
      <c r="G8" s="414">
        <v>41900</v>
      </c>
      <c r="H8" s="427">
        <v>904000</v>
      </c>
      <c r="I8" s="428">
        <v>768000</v>
      </c>
      <c r="J8" s="429">
        <f t="shared" si="1"/>
        <v>136000</v>
      </c>
      <c r="P8" s="430"/>
    </row>
    <row r="9" spans="1:16">
      <c r="A9" s="426" t="s">
        <v>1886</v>
      </c>
      <c r="B9" s="414">
        <v>41820</v>
      </c>
      <c r="C9" s="431">
        <v>1003000</v>
      </c>
      <c r="D9" s="431">
        <f>852000+151000</f>
        <v>1003000</v>
      </c>
      <c r="E9" s="427">
        <f t="shared" si="0"/>
        <v>0</v>
      </c>
      <c r="F9" s="426" t="s">
        <v>1886</v>
      </c>
      <c r="G9" s="414">
        <v>41900</v>
      </c>
      <c r="H9" s="431">
        <v>1003000</v>
      </c>
      <c r="I9" s="428">
        <f>852000+151000</f>
        <v>1003000</v>
      </c>
      <c r="J9" s="429">
        <f t="shared" si="1"/>
        <v>0</v>
      </c>
      <c r="P9" s="430"/>
    </row>
    <row r="10" spans="1:16">
      <c r="A10" s="426" t="s">
        <v>1887</v>
      </c>
      <c r="B10" s="414">
        <v>42062</v>
      </c>
      <c r="C10" s="431">
        <v>1481000</v>
      </c>
      <c r="D10" s="431">
        <f>1259000+222000</f>
        <v>1481000</v>
      </c>
      <c r="E10" s="427">
        <f t="shared" si="0"/>
        <v>0</v>
      </c>
      <c r="F10" s="426" t="s">
        <v>1887</v>
      </c>
      <c r="G10" s="414">
        <v>42164</v>
      </c>
      <c r="H10" s="431">
        <v>1481000</v>
      </c>
      <c r="I10" s="428">
        <f>1259000+222000</f>
        <v>1481000</v>
      </c>
      <c r="J10" s="429">
        <f t="shared" si="1"/>
        <v>0</v>
      </c>
      <c r="P10" s="430"/>
    </row>
    <row r="11" spans="1:16">
      <c r="A11" s="426" t="s">
        <v>1888</v>
      </c>
      <c r="B11" s="414">
        <v>42460</v>
      </c>
      <c r="C11" s="431">
        <v>1541000</v>
      </c>
      <c r="D11" s="431">
        <f>1310000+231000</f>
        <v>1541000</v>
      </c>
      <c r="E11" s="427">
        <f t="shared" si="0"/>
        <v>0</v>
      </c>
      <c r="F11" s="426" t="s">
        <v>1888</v>
      </c>
      <c r="G11" s="414">
        <v>42530</v>
      </c>
      <c r="H11" s="431">
        <v>1541000</v>
      </c>
      <c r="I11" s="428">
        <f>1310000+231000</f>
        <v>1541000</v>
      </c>
      <c r="J11" s="429">
        <f t="shared" si="1"/>
        <v>0</v>
      </c>
    </row>
    <row r="12" spans="1:16">
      <c r="A12" s="426" t="s">
        <v>1889</v>
      </c>
      <c r="B12" s="414">
        <v>42871</v>
      </c>
      <c r="C12" s="431">
        <v>1728000</v>
      </c>
      <c r="D12" s="431">
        <f>1468800+259200</f>
        <v>1728000</v>
      </c>
      <c r="E12" s="427">
        <f t="shared" si="0"/>
        <v>0</v>
      </c>
      <c r="F12" s="426" t="s">
        <v>1889</v>
      </c>
      <c r="G12" s="414">
        <v>42922</v>
      </c>
      <c r="H12" s="431">
        <v>1727866</v>
      </c>
      <c r="I12" s="428">
        <f>1468800+259200</f>
        <v>1728000</v>
      </c>
      <c r="J12" s="429">
        <f t="shared" si="1"/>
        <v>-134</v>
      </c>
    </row>
    <row r="13" spans="1:16">
      <c r="A13" s="426" t="s">
        <v>1890</v>
      </c>
      <c r="B13" s="414"/>
      <c r="C13" s="431">
        <v>205500</v>
      </c>
      <c r="D13" s="431">
        <v>205500</v>
      </c>
      <c r="E13" s="427">
        <f t="shared" si="0"/>
        <v>0</v>
      </c>
      <c r="F13" s="426" t="s">
        <v>1890</v>
      </c>
      <c r="G13" s="414">
        <v>43263</v>
      </c>
      <c r="H13" s="431">
        <v>205500</v>
      </c>
      <c r="I13" s="428">
        <v>205500</v>
      </c>
      <c r="J13" s="429">
        <f t="shared" si="1"/>
        <v>0</v>
      </c>
    </row>
    <row r="14" spans="1:16">
      <c r="A14" s="426" t="s">
        <v>1891</v>
      </c>
      <c r="B14" s="414">
        <v>43433</v>
      </c>
      <c r="C14" s="432">
        <v>9443500</v>
      </c>
      <c r="D14" s="432">
        <v>8026975</v>
      </c>
      <c r="E14" s="433">
        <f t="shared" si="0"/>
        <v>1416525</v>
      </c>
      <c r="F14" s="426" t="s">
        <v>1891</v>
      </c>
      <c r="G14" s="414">
        <v>43566</v>
      </c>
      <c r="H14" s="431">
        <v>9443500</v>
      </c>
      <c r="I14" s="434">
        <v>8026975</v>
      </c>
      <c r="J14" s="435">
        <f t="shared" si="1"/>
        <v>1416525</v>
      </c>
    </row>
    <row r="15" spans="1:16">
      <c r="A15" s="426" t="s">
        <v>1892</v>
      </c>
      <c r="B15" s="414">
        <v>43823</v>
      </c>
      <c r="C15" s="432">
        <v>3663000</v>
      </c>
      <c r="D15" s="432">
        <v>3113550</v>
      </c>
      <c r="E15" s="433">
        <f t="shared" si="0"/>
        <v>549450</v>
      </c>
      <c r="F15" s="426" t="s">
        <v>1892</v>
      </c>
      <c r="G15" s="414">
        <v>44082</v>
      </c>
      <c r="H15" s="431">
        <v>3663000</v>
      </c>
      <c r="I15" s="434">
        <v>3113550</v>
      </c>
      <c r="J15" s="435">
        <f t="shared" si="1"/>
        <v>549450</v>
      </c>
    </row>
    <row r="16" spans="1:16">
      <c r="A16" s="436" t="s">
        <v>1893</v>
      </c>
      <c r="B16" s="414"/>
      <c r="C16" s="432"/>
      <c r="D16" s="432"/>
      <c r="E16" s="433"/>
      <c r="F16" s="436" t="s">
        <v>1893</v>
      </c>
      <c r="G16" s="414"/>
      <c r="H16" s="431"/>
      <c r="I16" s="434"/>
      <c r="J16" s="435"/>
    </row>
    <row r="17" spans="1:11">
      <c r="A17" s="426" t="s">
        <v>1894</v>
      </c>
      <c r="B17" s="414">
        <v>43823</v>
      </c>
      <c r="C17" s="432">
        <v>5770000</v>
      </c>
      <c r="D17" s="432">
        <v>4327000</v>
      </c>
      <c r="E17" s="433">
        <f t="shared" si="0"/>
        <v>1443000</v>
      </c>
      <c r="F17" s="426" t="s">
        <v>1894</v>
      </c>
      <c r="G17" s="414">
        <v>44082</v>
      </c>
      <c r="H17" s="431">
        <v>5770500</v>
      </c>
      <c r="I17" s="434">
        <v>4327000</v>
      </c>
      <c r="J17" s="435">
        <f t="shared" ref="J17:J20" si="2">+H17-I17</f>
        <v>1443500</v>
      </c>
    </row>
    <row r="18" spans="1:11">
      <c r="A18" s="426" t="s">
        <v>1895</v>
      </c>
      <c r="B18" s="414">
        <v>43889</v>
      </c>
      <c r="C18" s="432">
        <v>9433000</v>
      </c>
      <c r="D18" s="432">
        <v>7074000</v>
      </c>
      <c r="E18" s="433">
        <f t="shared" si="0"/>
        <v>2359000</v>
      </c>
      <c r="F18" s="426" t="s">
        <v>1895</v>
      </c>
      <c r="G18" s="414">
        <v>44082</v>
      </c>
      <c r="H18" s="431">
        <v>9433500</v>
      </c>
      <c r="I18" s="434">
        <v>7074000</v>
      </c>
      <c r="J18" s="435">
        <f t="shared" si="2"/>
        <v>2359500</v>
      </c>
    </row>
    <row r="19" spans="1:11">
      <c r="A19" s="426" t="s">
        <v>1896</v>
      </c>
      <c r="B19" s="414">
        <v>44133</v>
      </c>
      <c r="C19" s="432">
        <v>9433000</v>
      </c>
      <c r="D19" s="432">
        <f>7074000+943000</f>
        <v>8017000</v>
      </c>
      <c r="E19" s="433">
        <f t="shared" si="0"/>
        <v>1416000</v>
      </c>
      <c r="F19" s="426" t="s">
        <v>1896</v>
      </c>
      <c r="G19" s="414">
        <v>44463</v>
      </c>
      <c r="H19" s="431">
        <v>9433000</v>
      </c>
      <c r="I19" s="434">
        <f>7074000+943000</f>
        <v>8017000</v>
      </c>
      <c r="J19" s="435">
        <f t="shared" si="2"/>
        <v>1416000</v>
      </c>
    </row>
    <row r="20" spans="1:11">
      <c r="A20" s="426" t="s">
        <v>1897</v>
      </c>
      <c r="B20" s="414">
        <v>44407</v>
      </c>
      <c r="C20" s="432">
        <v>9433000</v>
      </c>
      <c r="D20" s="432">
        <v>0</v>
      </c>
      <c r="E20" s="433">
        <f t="shared" si="0"/>
        <v>9433000</v>
      </c>
      <c r="F20" s="426" t="s">
        <v>1897</v>
      </c>
      <c r="G20" s="414"/>
      <c r="H20" s="431">
        <v>9433000</v>
      </c>
      <c r="I20" s="434">
        <v>0</v>
      </c>
      <c r="J20" s="435">
        <f t="shared" si="2"/>
        <v>9433000</v>
      </c>
    </row>
    <row r="21" spans="1:11">
      <c r="A21" s="426"/>
      <c r="C21" s="434"/>
      <c r="D21" s="434"/>
      <c r="E21" s="434"/>
      <c r="F21" s="437"/>
      <c r="G21" s="434"/>
      <c r="H21" s="434"/>
      <c r="I21" s="434"/>
      <c r="J21" s="435"/>
    </row>
    <row r="22" spans="1:11" ht="15.75" thickBot="1">
      <c r="A22" s="438" t="s">
        <v>1724</v>
      </c>
      <c r="B22" s="439"/>
      <c r="C22" s="440">
        <f>SUM(C5:C21)</f>
        <v>56415500</v>
      </c>
      <c r="D22" s="440">
        <f>SUM(D5:D21)</f>
        <v>39549925</v>
      </c>
      <c r="E22" s="440">
        <f>SUM(E5:E21)</f>
        <v>16865575</v>
      </c>
      <c r="F22" s="441"/>
      <c r="G22" s="440"/>
      <c r="H22" s="440">
        <f>SUM(H5:H21)</f>
        <v>56416366</v>
      </c>
      <c r="I22" s="440">
        <f>SUM(I5:I21)</f>
        <v>39549925</v>
      </c>
      <c r="J22" s="442">
        <f>SUM(J5:J21)</f>
        <v>16866441</v>
      </c>
    </row>
    <row r="23" spans="1:11" ht="15.75" thickTop="1">
      <c r="A23" s="443" t="s">
        <v>1702</v>
      </c>
      <c r="C23" s="444">
        <f>+C22-H22</f>
        <v>-866</v>
      </c>
      <c r="D23" s="430">
        <f>+D22-I22</f>
        <v>0</v>
      </c>
      <c r="E23" s="444">
        <f>+E22-J22</f>
        <v>-866</v>
      </c>
      <c r="F23" s="445"/>
      <c r="G23" s="430"/>
      <c r="J23" s="446"/>
    </row>
    <row r="24" spans="1:11">
      <c r="A24" s="426"/>
      <c r="C24" s="430">
        <f>9433000-C20</f>
        <v>0</v>
      </c>
      <c r="D24" s="430"/>
      <c r="E24" s="430"/>
      <c r="F24" s="447"/>
      <c r="G24" s="430"/>
      <c r="J24" s="446"/>
    </row>
    <row r="25" spans="1:11">
      <c r="A25" s="436" t="s">
        <v>1898</v>
      </c>
      <c r="B25" s="448"/>
      <c r="F25" s="436" t="s">
        <v>1899</v>
      </c>
      <c r="G25" s="449"/>
      <c r="J25" s="446"/>
    </row>
    <row r="26" spans="1:11">
      <c r="A26" s="426" t="s">
        <v>1900</v>
      </c>
      <c r="C26" s="430"/>
      <c r="D26" s="430">
        <f>+C22</f>
        <v>56415500</v>
      </c>
      <c r="F26" s="426" t="s">
        <v>1901</v>
      </c>
      <c r="I26" s="430">
        <f>+H22</f>
        <v>56416366</v>
      </c>
      <c r="J26" s="450"/>
      <c r="K26" s="430"/>
    </row>
    <row r="27" spans="1:11">
      <c r="A27" s="426" t="s">
        <v>1902</v>
      </c>
      <c r="C27" s="430"/>
      <c r="D27" s="430">
        <f>+D22</f>
        <v>39549925</v>
      </c>
      <c r="F27" s="426" t="s">
        <v>1903</v>
      </c>
      <c r="I27" s="430">
        <f>+I22</f>
        <v>39549925</v>
      </c>
      <c r="J27" s="450"/>
    </row>
    <row r="28" spans="1:11" ht="15.75" thickBot="1">
      <c r="A28" s="438" t="s">
        <v>1904</v>
      </c>
      <c r="B28" s="439"/>
      <c r="C28" s="439"/>
      <c r="D28" s="451">
        <f>+D26-D27</f>
        <v>16865575</v>
      </c>
      <c r="E28" s="451"/>
      <c r="F28" s="438" t="s">
        <v>1904</v>
      </c>
      <c r="G28" s="439"/>
      <c r="H28" s="439"/>
      <c r="I28" s="451">
        <f>+I26-I27</f>
        <v>16866441</v>
      </c>
      <c r="J28" s="451"/>
    </row>
    <row r="29" spans="1:11" ht="15.75" thickTop="1">
      <c r="C29" s="393" t="s">
        <v>1905</v>
      </c>
      <c r="D29" s="452">
        <f>+D28-I28</f>
        <v>-866</v>
      </c>
      <c r="F29" s="426"/>
      <c r="J29" s="446"/>
      <c r="K29" s="426"/>
    </row>
    <row r="30" spans="1:11">
      <c r="A30" s="453"/>
      <c r="D30" s="454"/>
      <c r="E30" s="454"/>
      <c r="F30" s="453"/>
      <c r="I30" s="454"/>
      <c r="J30" s="446"/>
      <c r="K30" s="426"/>
    </row>
    <row r="31" spans="1:11">
      <c r="A31" s="455"/>
      <c r="B31" s="448"/>
      <c r="C31" s="449"/>
      <c r="D31" s="456"/>
      <c r="E31" s="448"/>
      <c r="F31" s="455"/>
      <c r="G31" s="448"/>
      <c r="H31" s="448"/>
      <c r="I31" s="457"/>
      <c r="J31" s="458"/>
      <c r="K31" s="426"/>
    </row>
    <row r="32" spans="1:11">
      <c r="A32" s="393" t="s">
        <v>1906</v>
      </c>
      <c r="B32" s="230" t="str">
        <f>+A12</f>
        <v>F. Y. 2015-16</v>
      </c>
      <c r="C32" s="430">
        <f>+C12</f>
        <v>1728000</v>
      </c>
      <c r="D32" s="430">
        <f>+H12</f>
        <v>1727866</v>
      </c>
      <c r="E32" s="430">
        <f>+C32-D32</f>
        <v>134</v>
      </c>
    </row>
    <row r="33" spans="2:6">
      <c r="B33" s="230" t="str">
        <f>+A17</f>
        <v>F. Y. 2017-18_GST</v>
      </c>
      <c r="C33" s="430">
        <f>+C17</f>
        <v>5770000</v>
      </c>
      <c r="D33" s="430">
        <f>+H17</f>
        <v>5770500</v>
      </c>
      <c r="E33" s="444">
        <f t="shared" ref="E33:E34" si="3">+C33-D33</f>
        <v>-500</v>
      </c>
    </row>
    <row r="34" spans="2:6">
      <c r="B34" s="230" t="str">
        <f>+A18</f>
        <v>F. Y. 2018-19</v>
      </c>
      <c r="C34" s="430">
        <f>+C18</f>
        <v>9433000</v>
      </c>
      <c r="D34" s="430">
        <f>+H18</f>
        <v>9433500</v>
      </c>
      <c r="E34" s="444">
        <f t="shared" si="3"/>
        <v>-500</v>
      </c>
      <c r="F34" s="454"/>
    </row>
    <row r="35" spans="2:6" ht="15.75" thickBot="1">
      <c r="E35" s="459">
        <f>SUM(E32:E34)</f>
        <v>-866</v>
      </c>
    </row>
    <row r="36" spans="2:6" ht="15.75" thickTop="1"/>
    <row r="37" spans="2:6">
      <c r="E37" s="444"/>
    </row>
    <row r="38" spans="2:6">
      <c r="E38" s="452"/>
    </row>
  </sheetData>
  <mergeCells count="4">
    <mergeCell ref="A1:J1"/>
    <mergeCell ref="A2:J2"/>
    <mergeCell ref="A3:E3"/>
    <mergeCell ref="F3:J3"/>
  </mergeCells>
  <pageMargins left="0.7" right="0.7" top="0.75" bottom="0.75" header="0.3" footer="0.3"/>
  <pageSetup paperSize="9" scale="75" orientation="landscape"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H38"/>
  <sheetViews>
    <sheetView zoomScaleNormal="100" workbookViewId="0">
      <selection activeCell="B2" sqref="B2:F2"/>
    </sheetView>
  </sheetViews>
  <sheetFormatPr defaultRowHeight="15"/>
  <cols>
    <col min="1" max="1" width="10.42578125" bestFit="1" customWidth="1"/>
    <col min="2" max="2" width="21.85546875" bestFit="1" customWidth="1"/>
    <col min="3" max="3" width="15.5703125" bestFit="1" customWidth="1"/>
    <col min="4" max="4" width="15.5703125" style="2" bestFit="1" customWidth="1"/>
    <col min="5" max="5" width="14.7109375" style="2" bestFit="1" customWidth="1"/>
    <col min="6" max="6" width="18.5703125" style="2" bestFit="1" customWidth="1"/>
    <col min="7" max="7" width="18.5703125" style="2" customWidth="1"/>
    <col min="8" max="8" width="50.42578125" bestFit="1" customWidth="1"/>
  </cols>
  <sheetData>
    <row r="2" spans="1:8" ht="26.25">
      <c r="B2" s="2385" t="s">
        <v>1841</v>
      </c>
      <c r="C2" s="2385"/>
      <c r="D2" s="2385"/>
      <c r="E2" s="2385"/>
      <c r="F2" s="2385"/>
      <c r="G2" s="409"/>
    </row>
    <row r="3" spans="1:8">
      <c r="B3" s="2341" t="s">
        <v>1842</v>
      </c>
      <c r="C3" s="2341"/>
      <c r="D3" s="2341"/>
      <c r="E3" s="2341"/>
      <c r="F3" s="2341"/>
      <c r="G3" s="410"/>
    </row>
    <row r="4" spans="1:8" ht="15.75" thickBot="1">
      <c r="B4" s="230"/>
      <c r="C4" s="230"/>
    </row>
    <row r="5" spans="1:8">
      <c r="B5" s="395" t="s">
        <v>1843</v>
      </c>
      <c r="C5" s="396" t="s">
        <v>1844</v>
      </c>
      <c r="D5" s="402" t="s">
        <v>1845</v>
      </c>
      <c r="E5" s="402" t="s">
        <v>1846</v>
      </c>
      <c r="F5" s="403" t="s">
        <v>1847</v>
      </c>
      <c r="G5" s="411" t="s">
        <v>1849</v>
      </c>
      <c r="H5" t="s">
        <v>1674</v>
      </c>
    </row>
    <row r="6" spans="1:8">
      <c r="A6" s="414" t="s">
        <v>1850</v>
      </c>
      <c r="B6" s="397" t="s">
        <v>14</v>
      </c>
      <c r="C6" s="398">
        <v>44836</v>
      </c>
      <c r="D6" s="404">
        <v>1000000</v>
      </c>
      <c r="E6" s="404">
        <v>2850000</v>
      </c>
      <c r="F6" s="405">
        <f>E6-D6</f>
        <v>1850000</v>
      </c>
      <c r="G6" s="268">
        <f>28-9+31</f>
        <v>50</v>
      </c>
      <c r="H6" t="s">
        <v>1848</v>
      </c>
    </row>
    <row r="7" spans="1:8" s="230" customFormat="1">
      <c r="A7" s="414"/>
      <c r="B7" s="397"/>
      <c r="C7" s="398"/>
      <c r="D7" s="404"/>
      <c r="E7" s="404"/>
      <c r="F7" s="405"/>
      <c r="G7" s="415"/>
    </row>
    <row r="8" spans="1:8">
      <c r="B8" s="397" t="s">
        <v>1851</v>
      </c>
      <c r="C8" s="398" t="s">
        <v>1852</v>
      </c>
      <c r="D8" s="404">
        <v>6300</v>
      </c>
      <c r="E8" s="2388">
        <f>1515124+324808</f>
        <v>1839932</v>
      </c>
      <c r="F8" s="405">
        <f>E8-D8</f>
        <v>1833632</v>
      </c>
      <c r="G8" s="412">
        <f>28-13+31</f>
        <v>46</v>
      </c>
    </row>
    <row r="9" spans="1:8">
      <c r="B9" s="397"/>
      <c r="C9" s="398">
        <v>44595</v>
      </c>
      <c r="D9" s="406">
        <v>10000</v>
      </c>
      <c r="E9" s="2389"/>
      <c r="F9" s="405">
        <f>E9-D9</f>
        <v>-10000</v>
      </c>
      <c r="G9" s="412">
        <f>31-1</f>
        <v>30</v>
      </c>
    </row>
    <row r="10" spans="1:8">
      <c r="B10" s="2386"/>
      <c r="C10" s="398">
        <v>44623</v>
      </c>
      <c r="D10" s="407">
        <v>10000</v>
      </c>
      <c r="E10" s="2389"/>
      <c r="F10" s="405">
        <f>E10-D10</f>
        <v>-10000</v>
      </c>
      <c r="G10" s="412">
        <f>31-2</f>
        <v>29</v>
      </c>
    </row>
    <row r="11" spans="1:8">
      <c r="B11" s="2387"/>
      <c r="C11" s="398">
        <v>44654</v>
      </c>
      <c r="D11" s="404">
        <v>5000</v>
      </c>
      <c r="E11" s="2389"/>
      <c r="F11" s="405">
        <f>E11-D11</f>
        <v>-5000</v>
      </c>
      <c r="G11" s="412">
        <f>31-10</f>
        <v>21</v>
      </c>
    </row>
    <row r="12" spans="1:8">
      <c r="B12" s="397"/>
      <c r="C12" s="398">
        <v>44868</v>
      </c>
      <c r="D12" s="404">
        <v>1000000</v>
      </c>
      <c r="E12" s="2390"/>
      <c r="F12" s="405">
        <f>E12-D12</f>
        <v>-1000000</v>
      </c>
      <c r="G12" s="412">
        <f>31-10</f>
        <v>21</v>
      </c>
    </row>
    <row r="13" spans="1:8" s="230" customFormat="1">
      <c r="B13" s="397"/>
      <c r="C13" s="398"/>
      <c r="D13" s="416">
        <f t="shared" ref="D13:E13" si="0">+SUM(D8:D12)</f>
        <v>1031300</v>
      </c>
      <c r="E13" s="416">
        <f t="shared" si="0"/>
        <v>1839932</v>
      </c>
      <c r="F13" s="416">
        <f>+SUM(F8:F12)</f>
        <v>808632</v>
      </c>
      <c r="G13" s="412"/>
    </row>
    <row r="14" spans="1:8" s="230" customFormat="1">
      <c r="B14" s="397"/>
      <c r="C14" s="398"/>
      <c r="D14" s="417"/>
      <c r="E14" s="417"/>
      <c r="F14" s="416"/>
      <c r="G14" s="412"/>
    </row>
    <row r="15" spans="1:8">
      <c r="B15" s="397" t="s">
        <v>133</v>
      </c>
      <c r="C15" s="398" t="s">
        <v>1853</v>
      </c>
      <c r="D15" s="418">
        <v>927610</v>
      </c>
      <c r="E15" s="404">
        <v>3500000</v>
      </c>
      <c r="F15" s="405">
        <f>E15-D15</f>
        <v>2572390</v>
      </c>
      <c r="G15" s="412">
        <f>28+31+1</f>
        <v>60</v>
      </c>
    </row>
    <row r="16" spans="1:8">
      <c r="B16" s="397"/>
      <c r="D16" s="404"/>
      <c r="E16" s="404"/>
      <c r="F16" s="405">
        <f>E16-D16</f>
        <v>0</v>
      </c>
      <c r="G16" s="412"/>
    </row>
    <row r="17" spans="2:8">
      <c r="B17" s="397" t="s">
        <v>138</v>
      </c>
      <c r="C17" s="398" t="s">
        <v>1854</v>
      </c>
      <c r="D17" s="404">
        <v>1200000</v>
      </c>
      <c r="E17" s="404">
        <v>2875000</v>
      </c>
      <c r="F17" s="405">
        <f>E17-D17</f>
        <v>1675000</v>
      </c>
      <c r="G17" s="412">
        <f>28-21+31</f>
        <v>38</v>
      </c>
    </row>
    <row r="18" spans="2:8">
      <c r="B18" s="397"/>
      <c r="C18" s="399"/>
      <c r="D18" s="404"/>
      <c r="E18" s="404"/>
      <c r="F18" s="405">
        <f>E18-D18</f>
        <v>0</v>
      </c>
      <c r="G18" s="412"/>
    </row>
    <row r="19" spans="2:8">
      <c r="B19" s="397" t="s">
        <v>143</v>
      </c>
      <c r="C19" s="398">
        <v>44653</v>
      </c>
      <c r="D19" s="404">
        <v>300000</v>
      </c>
      <c r="E19" s="404">
        <v>1000000</v>
      </c>
      <c r="F19" s="405">
        <f>E19-D19</f>
        <v>700000</v>
      </c>
      <c r="G19" s="412">
        <f>28-3+31</f>
        <v>56</v>
      </c>
      <c r="H19" t="s">
        <v>1855</v>
      </c>
    </row>
    <row r="20" spans="2:8" s="230" customFormat="1">
      <c r="B20" s="397"/>
      <c r="C20" s="398"/>
      <c r="D20" s="404"/>
      <c r="E20" s="404"/>
      <c r="F20" s="405"/>
      <c r="G20" s="412"/>
    </row>
    <row r="21" spans="2:8" s="230" customFormat="1">
      <c r="B21" s="397" t="s">
        <v>1856</v>
      </c>
      <c r="C21" s="398" t="s">
        <v>1857</v>
      </c>
      <c r="D21" s="404">
        <v>200000</v>
      </c>
      <c r="E21" s="404">
        <v>1000000</v>
      </c>
      <c r="F21" s="405">
        <f>E21-D21</f>
        <v>800000</v>
      </c>
      <c r="G21" s="412">
        <f>31-23</f>
        <v>8</v>
      </c>
      <c r="H21" s="230" t="s">
        <v>1858</v>
      </c>
    </row>
    <row r="22" spans="2:8" s="230" customFormat="1">
      <c r="B22" s="397"/>
      <c r="C22" s="398"/>
      <c r="D22" s="404"/>
      <c r="E22" s="404"/>
      <c r="F22" s="405"/>
      <c r="G22" s="412"/>
    </row>
    <row r="23" spans="2:8" s="230" customFormat="1">
      <c r="B23" s="397" t="s">
        <v>184</v>
      </c>
      <c r="C23" s="398" t="s">
        <v>1859</v>
      </c>
      <c r="D23" s="404">
        <v>4945556</v>
      </c>
      <c r="E23" s="404">
        <v>28650000</v>
      </c>
      <c r="F23" s="405">
        <f>E23-D23</f>
        <v>23704444</v>
      </c>
      <c r="G23" s="412">
        <f>1+31+28+31</f>
        <v>91</v>
      </c>
      <c r="H23" s="230" t="s">
        <v>1860</v>
      </c>
    </row>
    <row r="24" spans="2:8" s="230" customFormat="1">
      <c r="B24" s="397"/>
      <c r="C24" s="398"/>
      <c r="D24" s="404"/>
      <c r="E24" s="404"/>
      <c r="F24" s="405"/>
      <c r="G24" s="412"/>
    </row>
    <row r="25" spans="2:8" s="230" customFormat="1">
      <c r="B25" s="397" t="s">
        <v>1861</v>
      </c>
      <c r="C25" s="398" t="s">
        <v>1862</v>
      </c>
      <c r="D25" s="404">
        <v>400000</v>
      </c>
      <c r="E25" s="2388">
        <v>643330</v>
      </c>
      <c r="F25" s="405">
        <f t="shared" ref="F25:F27" si="1">E25-D25</f>
        <v>243330</v>
      </c>
      <c r="G25" s="412">
        <f>31-14+31+28+31</f>
        <v>107</v>
      </c>
      <c r="H25" s="2384" t="s">
        <v>1865</v>
      </c>
    </row>
    <row r="26" spans="2:8" s="230" customFormat="1">
      <c r="B26" s="397"/>
      <c r="C26" s="398" t="s">
        <v>1863</v>
      </c>
      <c r="D26" s="404">
        <v>252071</v>
      </c>
      <c r="E26" s="2389"/>
      <c r="F26" s="405">
        <f t="shared" si="1"/>
        <v>-252071</v>
      </c>
      <c r="G26" s="412">
        <f>31-20</f>
        <v>11</v>
      </c>
      <c r="H26" s="2384"/>
    </row>
    <row r="27" spans="2:8" s="230" customFormat="1">
      <c r="B27" s="397"/>
      <c r="C27" s="398" t="s">
        <v>1864</v>
      </c>
      <c r="D27" s="404">
        <v>737393</v>
      </c>
      <c r="E27" s="2390"/>
      <c r="F27" s="405">
        <f t="shared" si="1"/>
        <v>-737393</v>
      </c>
      <c r="G27" s="412">
        <f>31-27</f>
        <v>4</v>
      </c>
      <c r="H27" s="2384"/>
    </row>
    <row r="28" spans="2:8" s="230" customFormat="1">
      <c r="B28" s="397"/>
      <c r="C28" s="398"/>
      <c r="D28" s="419">
        <f>+SUM(D25:D27)</f>
        <v>1389464</v>
      </c>
      <c r="E28" s="416">
        <f>+SUM(E25:E27)</f>
        <v>643330</v>
      </c>
      <c r="F28" s="416">
        <f>+SUM(F25:F27)</f>
        <v>-746134</v>
      </c>
      <c r="G28" s="412"/>
    </row>
    <row r="29" spans="2:8" s="230" customFormat="1">
      <c r="B29" s="397"/>
      <c r="C29" s="398"/>
      <c r="D29" s="419"/>
      <c r="E29" s="417"/>
      <c r="F29" s="416"/>
      <c r="G29" s="412"/>
    </row>
    <row r="30" spans="2:8" s="230" customFormat="1">
      <c r="B30" s="397" t="s">
        <v>1866</v>
      </c>
      <c r="C30" s="398" t="s">
        <v>1867</v>
      </c>
      <c r="D30" s="420">
        <v>2100000</v>
      </c>
      <c r="E30" s="421">
        <v>6700000</v>
      </c>
      <c r="F30" s="422">
        <f t="shared" ref="F30:F32" si="2">E30-D30</f>
        <v>4600000</v>
      </c>
      <c r="G30" s="412">
        <f>28-21+31</f>
        <v>38</v>
      </c>
      <c r="H30" s="230" t="s">
        <v>1868</v>
      </c>
    </row>
    <row r="31" spans="2:8" s="230" customFormat="1">
      <c r="B31" s="397"/>
      <c r="C31" s="398"/>
      <c r="D31" s="419"/>
      <c r="E31" s="417"/>
      <c r="F31" s="416"/>
      <c r="G31" s="412"/>
    </row>
    <row r="32" spans="2:8" s="230" customFormat="1">
      <c r="B32" s="397" t="s">
        <v>356</v>
      </c>
      <c r="C32" s="398" t="s">
        <v>1863</v>
      </c>
      <c r="D32" s="420">
        <v>700000</v>
      </c>
      <c r="E32" s="421">
        <v>1458000</v>
      </c>
      <c r="F32" s="422">
        <f t="shared" si="2"/>
        <v>758000</v>
      </c>
      <c r="G32" s="412">
        <f>31-20</f>
        <v>11</v>
      </c>
      <c r="H32" s="230" t="s">
        <v>1869</v>
      </c>
    </row>
    <row r="33" spans="2:7" s="230" customFormat="1">
      <c r="B33" s="397"/>
      <c r="C33" s="398"/>
      <c r="D33" s="419"/>
      <c r="E33" s="417"/>
      <c r="F33" s="416"/>
      <c r="G33" s="412"/>
    </row>
    <row r="34" spans="2:7">
      <c r="B34" s="397"/>
      <c r="C34" s="399"/>
      <c r="D34" s="404"/>
      <c r="E34" s="404"/>
      <c r="F34" s="405">
        <f>E34-D34</f>
        <v>0</v>
      </c>
      <c r="G34" s="412"/>
    </row>
    <row r="35" spans="2:7" ht="15.75" thickBot="1">
      <c r="B35" s="400" t="s">
        <v>1249</v>
      </c>
      <c r="C35" s="401"/>
      <c r="D35" s="408">
        <f>+D32+D30+D28+D23+D21+D19+D17+D15+D13+D6</f>
        <v>13793930</v>
      </c>
      <c r="E35" s="408">
        <f t="shared" ref="E35:F35" si="3">+E32+E30+E28+E23+E21+E19+E17+E15+E13+E6</f>
        <v>50516262</v>
      </c>
      <c r="F35" s="408">
        <f t="shared" si="3"/>
        <v>36722332</v>
      </c>
      <c r="G35" s="413"/>
    </row>
    <row r="37" spans="2:7">
      <c r="F37" s="2">
        <f>+E35-D35</f>
        <v>36722332</v>
      </c>
    </row>
    <row r="38" spans="2:7">
      <c r="F38" s="2">
        <f>+F35-F37</f>
        <v>0</v>
      </c>
    </row>
  </sheetData>
  <mergeCells count="6">
    <mergeCell ref="H25:H27"/>
    <mergeCell ref="B2:F2"/>
    <mergeCell ref="B3:F3"/>
    <mergeCell ref="B10:B11"/>
    <mergeCell ref="E8:E12"/>
    <mergeCell ref="E25:E2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J9"/>
  <sheetViews>
    <sheetView workbookViewId="0">
      <selection activeCell="F16" sqref="F16"/>
    </sheetView>
  </sheetViews>
  <sheetFormatPr defaultRowHeight="15"/>
  <cols>
    <col min="2" max="2" width="15.140625" customWidth="1"/>
    <col min="3" max="3" width="15.140625" style="2" customWidth="1"/>
    <col min="4" max="4" width="15.140625" customWidth="1"/>
    <col min="5" max="7" width="15.140625" style="2" customWidth="1"/>
    <col min="8" max="8" width="21" bestFit="1" customWidth="1"/>
    <col min="9" max="9" width="26.7109375" customWidth="1"/>
  </cols>
  <sheetData>
    <row r="2" spans="2:10">
      <c r="B2" s="14" t="s">
        <v>1829</v>
      </c>
      <c r="C2" s="239"/>
      <c r="D2" s="14"/>
      <c r="E2" s="239"/>
      <c r="F2" s="239"/>
      <c r="G2" s="239"/>
      <c r="H2" s="14"/>
      <c r="I2" s="14"/>
      <c r="J2" s="14"/>
    </row>
    <row r="3" spans="2:10">
      <c r="B3" s="14"/>
      <c r="C3" s="239"/>
      <c r="D3" s="14"/>
      <c r="E3" s="239"/>
      <c r="F3" s="239"/>
      <c r="G3" s="239"/>
      <c r="H3" s="14"/>
      <c r="I3" s="14"/>
      <c r="J3" s="14"/>
    </row>
    <row r="4" spans="2:10" s="14" customFormat="1" ht="60">
      <c r="B4" s="245" t="s">
        <v>1830</v>
      </c>
      <c r="C4" s="394" t="s">
        <v>1831</v>
      </c>
      <c r="D4" s="245" t="s">
        <v>1832</v>
      </c>
      <c r="E4" s="394" t="s">
        <v>1285</v>
      </c>
      <c r="F4" s="394" t="s">
        <v>1499</v>
      </c>
      <c r="G4" s="394" t="s">
        <v>1833</v>
      </c>
      <c r="H4" s="14" t="s">
        <v>1834</v>
      </c>
    </row>
    <row r="5" spans="2:10" ht="30">
      <c r="B5" s="245">
        <v>35633066338</v>
      </c>
      <c r="C5" s="394">
        <v>1654054</v>
      </c>
      <c r="D5" s="554">
        <v>5.0999999999999997E-2</v>
      </c>
      <c r="E5" s="394">
        <f>121869+442</f>
        <v>122311</v>
      </c>
      <c r="F5" s="394">
        <v>442</v>
      </c>
      <c r="G5" s="394">
        <f>+C5+E5-F5</f>
        <v>1775923</v>
      </c>
      <c r="H5" s="14" t="s">
        <v>1835</v>
      </c>
      <c r="I5" s="14" t="s">
        <v>1836</v>
      </c>
      <c r="J5" s="14"/>
    </row>
    <row r="6" spans="2:10" ht="30">
      <c r="B6" s="245">
        <v>38325014049</v>
      </c>
      <c r="C6" s="394">
        <v>125000</v>
      </c>
      <c r="D6" s="555">
        <v>5.45E-2</v>
      </c>
      <c r="E6" s="394">
        <f>26245+41</f>
        <v>26286</v>
      </c>
      <c r="F6" s="394">
        <v>41</v>
      </c>
      <c r="G6" s="394">
        <v>150294</v>
      </c>
      <c r="H6" s="14" t="s">
        <v>1837</v>
      </c>
      <c r="I6" s="14" t="s">
        <v>1836</v>
      </c>
      <c r="J6" s="14"/>
    </row>
    <row r="7" spans="2:10" ht="45">
      <c r="B7" s="245">
        <v>40016070416</v>
      </c>
      <c r="C7" s="394">
        <v>206250</v>
      </c>
      <c r="D7" s="555">
        <v>5.0999999999999997E-2</v>
      </c>
      <c r="E7" s="394">
        <f>10410+133</f>
        <v>10543</v>
      </c>
      <c r="F7" s="394">
        <v>133</v>
      </c>
      <c r="G7" s="394">
        <v>215733</v>
      </c>
      <c r="H7" s="14" t="s">
        <v>1838</v>
      </c>
      <c r="I7" s="14" t="s">
        <v>1839</v>
      </c>
      <c r="J7" s="14"/>
    </row>
    <row r="8" spans="2:10" ht="30">
      <c r="B8" s="245">
        <v>40198297304</v>
      </c>
      <c r="C8" s="394">
        <v>250000</v>
      </c>
      <c r="D8" s="555">
        <v>0.05</v>
      </c>
      <c r="E8" s="394">
        <v>1065</v>
      </c>
      <c r="F8" s="394">
        <v>0</v>
      </c>
      <c r="G8" s="394">
        <v>250000</v>
      </c>
      <c r="H8" s="14" t="s">
        <v>1840</v>
      </c>
      <c r="I8" s="14" t="s">
        <v>1927</v>
      </c>
      <c r="J8" s="14"/>
    </row>
    <row r="9" spans="2:10">
      <c r="B9" s="245"/>
      <c r="C9" s="224">
        <f>+SUM(C5:C8)</f>
        <v>2235304</v>
      </c>
      <c r="D9" s="245"/>
      <c r="E9" s="224">
        <f t="shared" ref="E9:G9" si="0">+SUM(E5:E8)</f>
        <v>160205</v>
      </c>
      <c r="F9" s="224">
        <f t="shared" si="0"/>
        <v>616</v>
      </c>
      <c r="G9" s="224">
        <f t="shared" si="0"/>
        <v>2391950</v>
      </c>
      <c r="H9" s="14"/>
      <c r="I9" s="14"/>
      <c r="J9" s="14"/>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CK104"/>
  <sheetViews>
    <sheetView zoomScaleNormal="100" workbookViewId="0">
      <pane xSplit="4" ySplit="6" topLeftCell="E54" activePane="bottomRight" state="frozen"/>
      <selection pane="topRight" activeCell="E1" sqref="E1"/>
      <selection pane="bottomLeft" activeCell="A7" sqref="A7"/>
      <selection pane="bottomRight" activeCell="B2" sqref="B2:R2"/>
    </sheetView>
  </sheetViews>
  <sheetFormatPr defaultRowHeight="12.75"/>
  <cols>
    <col min="1" max="1" width="1.85546875" style="293" customWidth="1"/>
    <col min="2" max="3" width="5.7109375" style="293" customWidth="1"/>
    <col min="4" max="4" width="30.140625" style="293" customWidth="1"/>
    <col min="5" max="16" width="8.7109375" style="293" customWidth="1"/>
    <col min="17" max="18" width="9.7109375" style="293" customWidth="1"/>
    <col min="19" max="256" width="8.85546875" style="293"/>
    <col min="257" max="257" width="1.85546875" style="293" customWidth="1"/>
    <col min="258" max="259" width="5.7109375" style="293" customWidth="1"/>
    <col min="260" max="260" width="30.140625" style="293" customWidth="1"/>
    <col min="261" max="272" width="8.7109375" style="293" customWidth="1"/>
    <col min="273" max="274" width="9.7109375" style="293" customWidth="1"/>
    <col min="275" max="512" width="8.85546875" style="293"/>
    <col min="513" max="513" width="1.85546875" style="293" customWidth="1"/>
    <col min="514" max="515" width="5.7109375" style="293" customWidth="1"/>
    <col min="516" max="516" width="30.140625" style="293" customWidth="1"/>
    <col min="517" max="528" width="8.7109375" style="293" customWidth="1"/>
    <col min="529" max="530" width="9.7109375" style="293" customWidth="1"/>
    <col min="531" max="768" width="8.85546875" style="293"/>
    <col min="769" max="769" width="1.85546875" style="293" customWidth="1"/>
    <col min="770" max="771" width="5.7109375" style="293" customWidth="1"/>
    <col min="772" max="772" width="30.140625" style="293" customWidth="1"/>
    <col min="773" max="784" width="8.7109375" style="293" customWidth="1"/>
    <col min="785" max="786" width="9.7109375" style="293" customWidth="1"/>
    <col min="787" max="1024" width="8.85546875" style="293"/>
    <col min="1025" max="1025" width="1.85546875" style="293" customWidth="1"/>
    <col min="1026" max="1027" width="5.7109375" style="293" customWidth="1"/>
    <col min="1028" max="1028" width="30.140625" style="293" customWidth="1"/>
    <col min="1029" max="1040" width="8.7109375" style="293" customWidth="1"/>
    <col min="1041" max="1042" width="9.7109375" style="293" customWidth="1"/>
    <col min="1043" max="1280" width="8.85546875" style="293"/>
    <col min="1281" max="1281" width="1.85546875" style="293" customWidth="1"/>
    <col min="1282" max="1283" width="5.7109375" style="293" customWidth="1"/>
    <col min="1284" max="1284" width="30.140625" style="293" customWidth="1"/>
    <col min="1285" max="1296" width="8.7109375" style="293" customWidth="1"/>
    <col min="1297" max="1298" width="9.7109375" style="293" customWidth="1"/>
    <col min="1299" max="1536" width="8.85546875" style="293"/>
    <col min="1537" max="1537" width="1.85546875" style="293" customWidth="1"/>
    <col min="1538" max="1539" width="5.7109375" style="293" customWidth="1"/>
    <col min="1540" max="1540" width="30.140625" style="293" customWidth="1"/>
    <col min="1541" max="1552" width="8.7109375" style="293" customWidth="1"/>
    <col min="1553" max="1554" width="9.7109375" style="293" customWidth="1"/>
    <col min="1555" max="1792" width="8.85546875" style="293"/>
    <col min="1793" max="1793" width="1.85546875" style="293" customWidth="1"/>
    <col min="1794" max="1795" width="5.7109375" style="293" customWidth="1"/>
    <col min="1796" max="1796" width="30.140625" style="293" customWidth="1"/>
    <col min="1797" max="1808" width="8.7109375" style="293" customWidth="1"/>
    <col min="1809" max="1810" width="9.7109375" style="293" customWidth="1"/>
    <col min="1811" max="2048" width="8.85546875" style="293"/>
    <col min="2049" max="2049" width="1.85546875" style="293" customWidth="1"/>
    <col min="2050" max="2051" width="5.7109375" style="293" customWidth="1"/>
    <col min="2052" max="2052" width="30.140625" style="293" customWidth="1"/>
    <col min="2053" max="2064" width="8.7109375" style="293" customWidth="1"/>
    <col min="2065" max="2066" width="9.7109375" style="293" customWidth="1"/>
    <col min="2067" max="2304" width="8.85546875" style="293"/>
    <col min="2305" max="2305" width="1.85546875" style="293" customWidth="1"/>
    <col min="2306" max="2307" width="5.7109375" style="293" customWidth="1"/>
    <col min="2308" max="2308" width="30.140625" style="293" customWidth="1"/>
    <col min="2309" max="2320" width="8.7109375" style="293" customWidth="1"/>
    <col min="2321" max="2322" width="9.7109375" style="293" customWidth="1"/>
    <col min="2323" max="2560" width="8.85546875" style="293"/>
    <col min="2561" max="2561" width="1.85546875" style="293" customWidth="1"/>
    <col min="2562" max="2563" width="5.7109375" style="293" customWidth="1"/>
    <col min="2564" max="2564" width="30.140625" style="293" customWidth="1"/>
    <col min="2565" max="2576" width="8.7109375" style="293" customWidth="1"/>
    <col min="2577" max="2578" width="9.7109375" style="293" customWidth="1"/>
    <col min="2579" max="2816" width="8.85546875" style="293"/>
    <col min="2817" max="2817" width="1.85546875" style="293" customWidth="1"/>
    <col min="2818" max="2819" width="5.7109375" style="293" customWidth="1"/>
    <col min="2820" max="2820" width="30.140625" style="293" customWidth="1"/>
    <col min="2821" max="2832" width="8.7109375" style="293" customWidth="1"/>
    <col min="2833" max="2834" width="9.7109375" style="293" customWidth="1"/>
    <col min="2835" max="3072" width="8.85546875" style="293"/>
    <col min="3073" max="3073" width="1.85546875" style="293" customWidth="1"/>
    <col min="3074" max="3075" width="5.7109375" style="293" customWidth="1"/>
    <col min="3076" max="3076" width="30.140625" style="293" customWidth="1"/>
    <col min="3077" max="3088" width="8.7109375" style="293" customWidth="1"/>
    <col min="3089" max="3090" width="9.7109375" style="293" customWidth="1"/>
    <col min="3091" max="3328" width="8.85546875" style="293"/>
    <col min="3329" max="3329" width="1.85546875" style="293" customWidth="1"/>
    <col min="3330" max="3331" width="5.7109375" style="293" customWidth="1"/>
    <col min="3332" max="3332" width="30.140625" style="293" customWidth="1"/>
    <col min="3333" max="3344" width="8.7109375" style="293" customWidth="1"/>
    <col min="3345" max="3346" width="9.7109375" style="293" customWidth="1"/>
    <col min="3347" max="3584" width="8.85546875" style="293"/>
    <col min="3585" max="3585" width="1.85546875" style="293" customWidth="1"/>
    <col min="3586" max="3587" width="5.7109375" style="293" customWidth="1"/>
    <col min="3588" max="3588" width="30.140625" style="293" customWidth="1"/>
    <col min="3589" max="3600" width="8.7109375" style="293" customWidth="1"/>
    <col min="3601" max="3602" width="9.7109375" style="293" customWidth="1"/>
    <col min="3603" max="3840" width="8.85546875" style="293"/>
    <col min="3841" max="3841" width="1.85546875" style="293" customWidth="1"/>
    <col min="3842" max="3843" width="5.7109375" style="293" customWidth="1"/>
    <col min="3844" max="3844" width="30.140625" style="293" customWidth="1"/>
    <col min="3845" max="3856" width="8.7109375" style="293" customWidth="1"/>
    <col min="3857" max="3858" width="9.7109375" style="293" customWidth="1"/>
    <col min="3859" max="4096" width="8.85546875" style="293"/>
    <col min="4097" max="4097" width="1.85546875" style="293" customWidth="1"/>
    <col min="4098" max="4099" width="5.7109375" style="293" customWidth="1"/>
    <col min="4100" max="4100" width="30.140625" style="293" customWidth="1"/>
    <col min="4101" max="4112" width="8.7109375" style="293" customWidth="1"/>
    <col min="4113" max="4114" width="9.7109375" style="293" customWidth="1"/>
    <col min="4115" max="4352" width="8.85546875" style="293"/>
    <col min="4353" max="4353" width="1.85546875" style="293" customWidth="1"/>
    <col min="4354" max="4355" width="5.7109375" style="293" customWidth="1"/>
    <col min="4356" max="4356" width="30.140625" style="293" customWidth="1"/>
    <col min="4357" max="4368" width="8.7109375" style="293" customWidth="1"/>
    <col min="4369" max="4370" width="9.7109375" style="293" customWidth="1"/>
    <col min="4371" max="4608" width="8.85546875" style="293"/>
    <col min="4609" max="4609" width="1.85546875" style="293" customWidth="1"/>
    <col min="4610" max="4611" width="5.7109375" style="293" customWidth="1"/>
    <col min="4612" max="4612" width="30.140625" style="293" customWidth="1"/>
    <col min="4613" max="4624" width="8.7109375" style="293" customWidth="1"/>
    <col min="4625" max="4626" width="9.7109375" style="293" customWidth="1"/>
    <col min="4627" max="4864" width="8.85546875" style="293"/>
    <col min="4865" max="4865" width="1.85546875" style="293" customWidth="1"/>
    <col min="4866" max="4867" width="5.7109375" style="293" customWidth="1"/>
    <col min="4868" max="4868" width="30.140625" style="293" customWidth="1"/>
    <col min="4869" max="4880" width="8.7109375" style="293" customWidth="1"/>
    <col min="4881" max="4882" width="9.7109375" style="293" customWidth="1"/>
    <col min="4883" max="5120" width="8.85546875" style="293"/>
    <col min="5121" max="5121" width="1.85546875" style="293" customWidth="1"/>
    <col min="5122" max="5123" width="5.7109375" style="293" customWidth="1"/>
    <col min="5124" max="5124" width="30.140625" style="293" customWidth="1"/>
    <col min="5125" max="5136" width="8.7109375" style="293" customWidth="1"/>
    <col min="5137" max="5138" width="9.7109375" style="293" customWidth="1"/>
    <col min="5139" max="5376" width="8.85546875" style="293"/>
    <col min="5377" max="5377" width="1.85546875" style="293" customWidth="1"/>
    <col min="5378" max="5379" width="5.7109375" style="293" customWidth="1"/>
    <col min="5380" max="5380" width="30.140625" style="293" customWidth="1"/>
    <col min="5381" max="5392" width="8.7109375" style="293" customWidth="1"/>
    <col min="5393" max="5394" width="9.7109375" style="293" customWidth="1"/>
    <col min="5395" max="5632" width="8.85546875" style="293"/>
    <col min="5633" max="5633" width="1.85546875" style="293" customWidth="1"/>
    <col min="5634" max="5635" width="5.7109375" style="293" customWidth="1"/>
    <col min="5636" max="5636" width="30.140625" style="293" customWidth="1"/>
    <col min="5637" max="5648" width="8.7109375" style="293" customWidth="1"/>
    <col min="5649" max="5650" width="9.7109375" style="293" customWidth="1"/>
    <col min="5651" max="5888" width="8.85546875" style="293"/>
    <col min="5889" max="5889" width="1.85546875" style="293" customWidth="1"/>
    <col min="5890" max="5891" width="5.7109375" style="293" customWidth="1"/>
    <col min="5892" max="5892" width="30.140625" style="293" customWidth="1"/>
    <col min="5893" max="5904" width="8.7109375" style="293" customWidth="1"/>
    <col min="5905" max="5906" width="9.7109375" style="293" customWidth="1"/>
    <col min="5907" max="6144" width="8.85546875" style="293"/>
    <col min="6145" max="6145" width="1.85546875" style="293" customWidth="1"/>
    <col min="6146" max="6147" width="5.7109375" style="293" customWidth="1"/>
    <col min="6148" max="6148" width="30.140625" style="293" customWidth="1"/>
    <col min="6149" max="6160" width="8.7109375" style="293" customWidth="1"/>
    <col min="6161" max="6162" width="9.7109375" style="293" customWidth="1"/>
    <col min="6163" max="6400" width="8.85546875" style="293"/>
    <col min="6401" max="6401" width="1.85546875" style="293" customWidth="1"/>
    <col min="6402" max="6403" width="5.7109375" style="293" customWidth="1"/>
    <col min="6404" max="6404" width="30.140625" style="293" customWidth="1"/>
    <col min="6405" max="6416" width="8.7109375" style="293" customWidth="1"/>
    <col min="6417" max="6418" width="9.7109375" style="293" customWidth="1"/>
    <col min="6419" max="6656" width="8.85546875" style="293"/>
    <col min="6657" max="6657" width="1.85546875" style="293" customWidth="1"/>
    <col min="6658" max="6659" width="5.7109375" style="293" customWidth="1"/>
    <col min="6660" max="6660" width="30.140625" style="293" customWidth="1"/>
    <col min="6661" max="6672" width="8.7109375" style="293" customWidth="1"/>
    <col min="6673" max="6674" width="9.7109375" style="293" customWidth="1"/>
    <col min="6675" max="6912" width="8.85546875" style="293"/>
    <col min="6913" max="6913" width="1.85546875" style="293" customWidth="1"/>
    <col min="6914" max="6915" width="5.7109375" style="293" customWidth="1"/>
    <col min="6916" max="6916" width="30.140625" style="293" customWidth="1"/>
    <col min="6917" max="6928" width="8.7109375" style="293" customWidth="1"/>
    <col min="6929" max="6930" width="9.7109375" style="293" customWidth="1"/>
    <col min="6931" max="7168" width="8.85546875" style="293"/>
    <col min="7169" max="7169" width="1.85546875" style="293" customWidth="1"/>
    <col min="7170" max="7171" width="5.7109375" style="293" customWidth="1"/>
    <col min="7172" max="7172" width="30.140625" style="293" customWidth="1"/>
    <col min="7173" max="7184" width="8.7109375" style="293" customWidth="1"/>
    <col min="7185" max="7186" width="9.7109375" style="293" customWidth="1"/>
    <col min="7187" max="7424" width="8.85546875" style="293"/>
    <col min="7425" max="7425" width="1.85546875" style="293" customWidth="1"/>
    <col min="7426" max="7427" width="5.7109375" style="293" customWidth="1"/>
    <col min="7428" max="7428" width="30.140625" style="293" customWidth="1"/>
    <col min="7429" max="7440" width="8.7109375" style="293" customWidth="1"/>
    <col min="7441" max="7442" width="9.7109375" style="293" customWidth="1"/>
    <col min="7443" max="7680" width="8.85546875" style="293"/>
    <col min="7681" max="7681" width="1.85546875" style="293" customWidth="1"/>
    <col min="7682" max="7683" width="5.7109375" style="293" customWidth="1"/>
    <col min="7684" max="7684" width="30.140625" style="293" customWidth="1"/>
    <col min="7685" max="7696" width="8.7109375" style="293" customWidth="1"/>
    <col min="7697" max="7698" width="9.7109375" style="293" customWidth="1"/>
    <col min="7699" max="7936" width="8.85546875" style="293"/>
    <col min="7937" max="7937" width="1.85546875" style="293" customWidth="1"/>
    <col min="7938" max="7939" width="5.7109375" style="293" customWidth="1"/>
    <col min="7940" max="7940" width="30.140625" style="293" customWidth="1"/>
    <col min="7941" max="7952" width="8.7109375" style="293" customWidth="1"/>
    <col min="7953" max="7954" width="9.7109375" style="293" customWidth="1"/>
    <col min="7955" max="8192" width="8.85546875" style="293"/>
    <col min="8193" max="8193" width="1.85546875" style="293" customWidth="1"/>
    <col min="8194" max="8195" width="5.7109375" style="293" customWidth="1"/>
    <col min="8196" max="8196" width="30.140625" style="293" customWidth="1"/>
    <col min="8197" max="8208" width="8.7109375" style="293" customWidth="1"/>
    <col min="8209" max="8210" width="9.7109375" style="293" customWidth="1"/>
    <col min="8211" max="8448" width="8.85546875" style="293"/>
    <col min="8449" max="8449" width="1.85546875" style="293" customWidth="1"/>
    <col min="8450" max="8451" width="5.7109375" style="293" customWidth="1"/>
    <col min="8452" max="8452" width="30.140625" style="293" customWidth="1"/>
    <col min="8453" max="8464" width="8.7109375" style="293" customWidth="1"/>
    <col min="8465" max="8466" width="9.7109375" style="293" customWidth="1"/>
    <col min="8467" max="8704" width="8.85546875" style="293"/>
    <col min="8705" max="8705" width="1.85546875" style="293" customWidth="1"/>
    <col min="8706" max="8707" width="5.7109375" style="293" customWidth="1"/>
    <col min="8708" max="8708" width="30.140625" style="293" customWidth="1"/>
    <col min="8709" max="8720" width="8.7109375" style="293" customWidth="1"/>
    <col min="8721" max="8722" width="9.7109375" style="293" customWidth="1"/>
    <col min="8723" max="8960" width="8.85546875" style="293"/>
    <col min="8961" max="8961" width="1.85546875" style="293" customWidth="1"/>
    <col min="8962" max="8963" width="5.7109375" style="293" customWidth="1"/>
    <col min="8964" max="8964" width="30.140625" style="293" customWidth="1"/>
    <col min="8965" max="8976" width="8.7109375" style="293" customWidth="1"/>
    <col min="8977" max="8978" width="9.7109375" style="293" customWidth="1"/>
    <col min="8979" max="9216" width="8.85546875" style="293"/>
    <col min="9217" max="9217" width="1.85546875" style="293" customWidth="1"/>
    <col min="9218" max="9219" width="5.7109375" style="293" customWidth="1"/>
    <col min="9220" max="9220" width="30.140625" style="293" customWidth="1"/>
    <col min="9221" max="9232" width="8.7109375" style="293" customWidth="1"/>
    <col min="9233" max="9234" width="9.7109375" style="293" customWidth="1"/>
    <col min="9235" max="9472" width="8.85546875" style="293"/>
    <col min="9473" max="9473" width="1.85546875" style="293" customWidth="1"/>
    <col min="9474" max="9475" width="5.7109375" style="293" customWidth="1"/>
    <col min="9476" max="9476" width="30.140625" style="293" customWidth="1"/>
    <col min="9477" max="9488" width="8.7109375" style="293" customWidth="1"/>
    <col min="9489" max="9490" width="9.7109375" style="293" customWidth="1"/>
    <col min="9491" max="9728" width="8.85546875" style="293"/>
    <col min="9729" max="9729" width="1.85546875" style="293" customWidth="1"/>
    <col min="9730" max="9731" width="5.7109375" style="293" customWidth="1"/>
    <col min="9732" max="9732" width="30.140625" style="293" customWidth="1"/>
    <col min="9733" max="9744" width="8.7109375" style="293" customWidth="1"/>
    <col min="9745" max="9746" width="9.7109375" style="293" customWidth="1"/>
    <col min="9747" max="9984" width="8.85546875" style="293"/>
    <col min="9985" max="9985" width="1.85546875" style="293" customWidth="1"/>
    <col min="9986" max="9987" width="5.7109375" style="293" customWidth="1"/>
    <col min="9988" max="9988" width="30.140625" style="293" customWidth="1"/>
    <col min="9989" max="10000" width="8.7109375" style="293" customWidth="1"/>
    <col min="10001" max="10002" width="9.7109375" style="293" customWidth="1"/>
    <col min="10003" max="10240" width="8.85546875" style="293"/>
    <col min="10241" max="10241" width="1.85546875" style="293" customWidth="1"/>
    <col min="10242" max="10243" width="5.7109375" style="293" customWidth="1"/>
    <col min="10244" max="10244" width="30.140625" style="293" customWidth="1"/>
    <col min="10245" max="10256" width="8.7109375" style="293" customWidth="1"/>
    <col min="10257" max="10258" width="9.7109375" style="293" customWidth="1"/>
    <col min="10259" max="10496" width="8.85546875" style="293"/>
    <col min="10497" max="10497" width="1.85546875" style="293" customWidth="1"/>
    <col min="10498" max="10499" width="5.7109375" style="293" customWidth="1"/>
    <col min="10500" max="10500" width="30.140625" style="293" customWidth="1"/>
    <col min="10501" max="10512" width="8.7109375" style="293" customWidth="1"/>
    <col min="10513" max="10514" width="9.7109375" style="293" customWidth="1"/>
    <col min="10515" max="10752" width="8.85546875" style="293"/>
    <col min="10753" max="10753" width="1.85546875" style="293" customWidth="1"/>
    <col min="10754" max="10755" width="5.7109375" style="293" customWidth="1"/>
    <col min="10756" max="10756" width="30.140625" style="293" customWidth="1"/>
    <col min="10757" max="10768" width="8.7109375" style="293" customWidth="1"/>
    <col min="10769" max="10770" width="9.7109375" style="293" customWidth="1"/>
    <col min="10771" max="11008" width="8.85546875" style="293"/>
    <col min="11009" max="11009" width="1.85546875" style="293" customWidth="1"/>
    <col min="11010" max="11011" width="5.7109375" style="293" customWidth="1"/>
    <col min="11012" max="11012" width="30.140625" style="293" customWidth="1"/>
    <col min="11013" max="11024" width="8.7109375" style="293" customWidth="1"/>
    <col min="11025" max="11026" width="9.7109375" style="293" customWidth="1"/>
    <col min="11027" max="11264" width="8.85546875" style="293"/>
    <col min="11265" max="11265" width="1.85546875" style="293" customWidth="1"/>
    <col min="11266" max="11267" width="5.7109375" style="293" customWidth="1"/>
    <col min="11268" max="11268" width="30.140625" style="293" customWidth="1"/>
    <col min="11269" max="11280" width="8.7109375" style="293" customWidth="1"/>
    <col min="11281" max="11282" width="9.7109375" style="293" customWidth="1"/>
    <col min="11283" max="11520" width="8.85546875" style="293"/>
    <col min="11521" max="11521" width="1.85546875" style="293" customWidth="1"/>
    <col min="11522" max="11523" width="5.7109375" style="293" customWidth="1"/>
    <col min="11524" max="11524" width="30.140625" style="293" customWidth="1"/>
    <col min="11525" max="11536" width="8.7109375" style="293" customWidth="1"/>
    <col min="11537" max="11538" width="9.7109375" style="293" customWidth="1"/>
    <col min="11539" max="11776" width="8.85546875" style="293"/>
    <col min="11777" max="11777" width="1.85546875" style="293" customWidth="1"/>
    <col min="11778" max="11779" width="5.7109375" style="293" customWidth="1"/>
    <col min="11780" max="11780" width="30.140625" style="293" customWidth="1"/>
    <col min="11781" max="11792" width="8.7109375" style="293" customWidth="1"/>
    <col min="11793" max="11794" width="9.7109375" style="293" customWidth="1"/>
    <col min="11795" max="12032" width="8.85546875" style="293"/>
    <col min="12033" max="12033" width="1.85546875" style="293" customWidth="1"/>
    <col min="12034" max="12035" width="5.7109375" style="293" customWidth="1"/>
    <col min="12036" max="12036" width="30.140625" style="293" customWidth="1"/>
    <col min="12037" max="12048" width="8.7109375" style="293" customWidth="1"/>
    <col min="12049" max="12050" width="9.7109375" style="293" customWidth="1"/>
    <col min="12051" max="12288" width="8.85546875" style="293"/>
    <col min="12289" max="12289" width="1.85546875" style="293" customWidth="1"/>
    <col min="12290" max="12291" width="5.7109375" style="293" customWidth="1"/>
    <col min="12292" max="12292" width="30.140625" style="293" customWidth="1"/>
    <col min="12293" max="12304" width="8.7109375" style="293" customWidth="1"/>
    <col min="12305" max="12306" width="9.7109375" style="293" customWidth="1"/>
    <col min="12307" max="12544" width="8.85546875" style="293"/>
    <col min="12545" max="12545" width="1.85546875" style="293" customWidth="1"/>
    <col min="12546" max="12547" width="5.7109375" style="293" customWidth="1"/>
    <col min="12548" max="12548" width="30.140625" style="293" customWidth="1"/>
    <col min="12549" max="12560" width="8.7109375" style="293" customWidth="1"/>
    <col min="12561" max="12562" width="9.7109375" style="293" customWidth="1"/>
    <col min="12563" max="12800" width="8.85546875" style="293"/>
    <col min="12801" max="12801" width="1.85546875" style="293" customWidth="1"/>
    <col min="12802" max="12803" width="5.7109375" style="293" customWidth="1"/>
    <col min="12804" max="12804" width="30.140625" style="293" customWidth="1"/>
    <col min="12805" max="12816" width="8.7109375" style="293" customWidth="1"/>
    <col min="12817" max="12818" width="9.7109375" style="293" customWidth="1"/>
    <col min="12819" max="13056" width="8.85546875" style="293"/>
    <col min="13057" max="13057" width="1.85546875" style="293" customWidth="1"/>
    <col min="13058" max="13059" width="5.7109375" style="293" customWidth="1"/>
    <col min="13060" max="13060" width="30.140625" style="293" customWidth="1"/>
    <col min="13061" max="13072" width="8.7109375" style="293" customWidth="1"/>
    <col min="13073" max="13074" width="9.7109375" style="293" customWidth="1"/>
    <col min="13075" max="13312" width="8.85546875" style="293"/>
    <col min="13313" max="13313" width="1.85546875" style="293" customWidth="1"/>
    <col min="13314" max="13315" width="5.7109375" style="293" customWidth="1"/>
    <col min="13316" max="13316" width="30.140625" style="293" customWidth="1"/>
    <col min="13317" max="13328" width="8.7109375" style="293" customWidth="1"/>
    <col min="13329" max="13330" width="9.7109375" style="293" customWidth="1"/>
    <col min="13331" max="13568" width="8.85546875" style="293"/>
    <col min="13569" max="13569" width="1.85546875" style="293" customWidth="1"/>
    <col min="13570" max="13571" width="5.7109375" style="293" customWidth="1"/>
    <col min="13572" max="13572" width="30.140625" style="293" customWidth="1"/>
    <col min="13573" max="13584" width="8.7109375" style="293" customWidth="1"/>
    <col min="13585" max="13586" width="9.7109375" style="293" customWidth="1"/>
    <col min="13587" max="13824" width="8.85546875" style="293"/>
    <col min="13825" max="13825" width="1.85546875" style="293" customWidth="1"/>
    <col min="13826" max="13827" width="5.7109375" style="293" customWidth="1"/>
    <col min="13828" max="13828" width="30.140625" style="293" customWidth="1"/>
    <col min="13829" max="13840" width="8.7109375" style="293" customWidth="1"/>
    <col min="13841" max="13842" width="9.7109375" style="293" customWidth="1"/>
    <col min="13843" max="14080" width="8.85546875" style="293"/>
    <col min="14081" max="14081" width="1.85546875" style="293" customWidth="1"/>
    <col min="14082" max="14083" width="5.7109375" style="293" customWidth="1"/>
    <col min="14084" max="14084" width="30.140625" style="293" customWidth="1"/>
    <col min="14085" max="14096" width="8.7109375" style="293" customWidth="1"/>
    <col min="14097" max="14098" width="9.7109375" style="293" customWidth="1"/>
    <col min="14099" max="14336" width="8.85546875" style="293"/>
    <col min="14337" max="14337" width="1.85546875" style="293" customWidth="1"/>
    <col min="14338" max="14339" width="5.7109375" style="293" customWidth="1"/>
    <col min="14340" max="14340" width="30.140625" style="293" customWidth="1"/>
    <col min="14341" max="14352" width="8.7109375" style="293" customWidth="1"/>
    <col min="14353" max="14354" width="9.7109375" style="293" customWidth="1"/>
    <col min="14355" max="14592" width="8.85546875" style="293"/>
    <col min="14593" max="14593" width="1.85546875" style="293" customWidth="1"/>
    <col min="14594" max="14595" width="5.7109375" style="293" customWidth="1"/>
    <col min="14596" max="14596" width="30.140625" style="293" customWidth="1"/>
    <col min="14597" max="14608" width="8.7109375" style="293" customWidth="1"/>
    <col min="14609" max="14610" width="9.7109375" style="293" customWidth="1"/>
    <col min="14611" max="14848" width="8.85546875" style="293"/>
    <col min="14849" max="14849" width="1.85546875" style="293" customWidth="1"/>
    <col min="14850" max="14851" width="5.7109375" style="293" customWidth="1"/>
    <col min="14852" max="14852" width="30.140625" style="293" customWidth="1"/>
    <col min="14853" max="14864" width="8.7109375" style="293" customWidth="1"/>
    <col min="14865" max="14866" width="9.7109375" style="293" customWidth="1"/>
    <col min="14867" max="15104" width="8.85546875" style="293"/>
    <col min="15105" max="15105" width="1.85546875" style="293" customWidth="1"/>
    <col min="15106" max="15107" width="5.7109375" style="293" customWidth="1"/>
    <col min="15108" max="15108" width="30.140625" style="293" customWidth="1"/>
    <col min="15109" max="15120" width="8.7109375" style="293" customWidth="1"/>
    <col min="15121" max="15122" width="9.7109375" style="293" customWidth="1"/>
    <col min="15123" max="15360" width="8.85546875" style="293"/>
    <col min="15361" max="15361" width="1.85546875" style="293" customWidth="1"/>
    <col min="15362" max="15363" width="5.7109375" style="293" customWidth="1"/>
    <col min="15364" max="15364" width="30.140625" style="293" customWidth="1"/>
    <col min="15365" max="15376" width="8.7109375" style="293" customWidth="1"/>
    <col min="15377" max="15378" width="9.7109375" style="293" customWidth="1"/>
    <col min="15379" max="15616" width="8.85546875" style="293"/>
    <col min="15617" max="15617" width="1.85546875" style="293" customWidth="1"/>
    <col min="15618" max="15619" width="5.7109375" style="293" customWidth="1"/>
    <col min="15620" max="15620" width="30.140625" style="293" customWidth="1"/>
    <col min="15621" max="15632" width="8.7109375" style="293" customWidth="1"/>
    <col min="15633" max="15634" width="9.7109375" style="293" customWidth="1"/>
    <col min="15635" max="15872" width="8.85546875" style="293"/>
    <col min="15873" max="15873" width="1.85546875" style="293" customWidth="1"/>
    <col min="15874" max="15875" width="5.7109375" style="293" customWidth="1"/>
    <col min="15876" max="15876" width="30.140625" style="293" customWidth="1"/>
    <col min="15877" max="15888" width="8.7109375" style="293" customWidth="1"/>
    <col min="15889" max="15890" width="9.7109375" style="293" customWidth="1"/>
    <col min="15891" max="16128" width="8.85546875" style="293"/>
    <col min="16129" max="16129" width="1.85546875" style="293" customWidth="1"/>
    <col min="16130" max="16131" width="5.7109375" style="293" customWidth="1"/>
    <col min="16132" max="16132" width="30.140625" style="293" customWidth="1"/>
    <col min="16133" max="16144" width="8.7109375" style="293" customWidth="1"/>
    <col min="16145" max="16146" width="9.7109375" style="293" customWidth="1"/>
    <col min="16147" max="16384" width="8.85546875" style="293"/>
  </cols>
  <sheetData>
    <row r="2" spans="2:88" ht="19.5">
      <c r="B2" s="2393" t="s">
        <v>1703</v>
      </c>
      <c r="C2" s="2393"/>
      <c r="D2" s="2393"/>
      <c r="E2" s="2393"/>
      <c r="F2" s="2393"/>
      <c r="G2" s="2393"/>
      <c r="H2" s="2393"/>
      <c r="I2" s="2393"/>
      <c r="J2" s="2393"/>
      <c r="K2" s="2393"/>
      <c r="L2" s="2393"/>
      <c r="M2" s="2393"/>
      <c r="N2" s="2393"/>
      <c r="O2" s="2393"/>
      <c r="P2" s="2393"/>
      <c r="Q2" s="2393"/>
      <c r="R2" s="2393"/>
    </row>
    <row r="3" spans="2:88" ht="18" customHeight="1">
      <c r="B3" s="2394" t="s">
        <v>1704</v>
      </c>
      <c r="C3" s="2394"/>
      <c r="D3" s="2394"/>
      <c r="E3" s="2394"/>
      <c r="F3" s="2394"/>
      <c r="G3" s="2394"/>
      <c r="H3" s="2394"/>
      <c r="I3" s="2394"/>
      <c r="J3" s="2394"/>
      <c r="K3" s="2394"/>
      <c r="L3" s="2394"/>
      <c r="M3" s="2394"/>
      <c r="N3" s="2394"/>
      <c r="O3" s="2394"/>
      <c r="P3" s="2394"/>
      <c r="Q3" s="2394"/>
      <c r="R3" s="2394"/>
      <c r="T3" s="294" t="s">
        <v>1705</v>
      </c>
      <c r="U3" s="295"/>
      <c r="V3" s="295"/>
      <c r="W3" s="295"/>
      <c r="X3" s="295"/>
      <c r="Y3" s="295"/>
      <c r="Z3" s="295"/>
      <c r="AH3" s="2395" t="s">
        <v>1706</v>
      </c>
      <c r="AI3" s="2395"/>
      <c r="AJ3" s="2395"/>
      <c r="AK3" s="2395"/>
      <c r="AL3" s="2395"/>
      <c r="AM3" s="2395"/>
      <c r="AN3" s="2395"/>
      <c r="AO3" s="2395"/>
      <c r="AP3" s="2395"/>
      <c r="AQ3" s="2395"/>
      <c r="AR3" s="2395"/>
      <c r="AV3" s="296" t="s">
        <v>1707</v>
      </c>
      <c r="AW3" s="297"/>
      <c r="AX3" s="297"/>
      <c r="AY3" s="297"/>
      <c r="AZ3" s="297"/>
      <c r="BA3" s="297"/>
      <c r="BB3" s="297"/>
      <c r="BC3" s="297"/>
      <c r="BD3" s="297"/>
      <c r="BE3" s="298"/>
      <c r="BJ3" s="296" t="s">
        <v>1708</v>
      </c>
      <c r="BK3" s="299"/>
      <c r="BL3" s="299"/>
      <c r="BM3" s="299"/>
      <c r="BX3" s="296" t="s">
        <v>785</v>
      </c>
    </row>
    <row r="4" spans="2:88" ht="20.100000000000001" customHeight="1">
      <c r="C4" s="2391" t="s">
        <v>1709</v>
      </c>
      <c r="D4" s="2391"/>
      <c r="AH4" s="2395"/>
      <c r="AI4" s="2395"/>
      <c r="AJ4" s="2395"/>
      <c r="AK4" s="2395"/>
      <c r="AL4" s="2395"/>
      <c r="AM4" s="2395"/>
      <c r="AN4" s="2395"/>
      <c r="AO4" s="2395"/>
      <c r="AP4" s="2395"/>
      <c r="AQ4" s="2395"/>
      <c r="AR4" s="2395"/>
      <c r="AV4" s="298"/>
      <c r="AW4" s="298"/>
      <c r="AX4" s="298"/>
      <c r="AY4" s="298"/>
      <c r="AZ4" s="298"/>
      <c r="BA4" s="298"/>
      <c r="BB4" s="298"/>
      <c r="BC4" s="298"/>
      <c r="BD4" s="298"/>
      <c r="BE4" s="298"/>
    </row>
    <row r="5" spans="2:88" ht="15" customHeight="1">
      <c r="B5" s="300" t="s">
        <v>1710</v>
      </c>
      <c r="C5" s="301"/>
      <c r="D5" s="302" t="s">
        <v>1711</v>
      </c>
      <c r="E5" s="303" t="s">
        <v>1712</v>
      </c>
      <c r="F5" s="304" t="s">
        <v>1713</v>
      </c>
      <c r="G5" s="304" t="s">
        <v>1714</v>
      </c>
      <c r="H5" s="304" t="s">
        <v>1715</v>
      </c>
      <c r="I5" s="304" t="s">
        <v>1716</v>
      </c>
      <c r="J5" s="304" t="s">
        <v>1717</v>
      </c>
      <c r="K5" s="304" t="s">
        <v>1718</v>
      </c>
      <c r="L5" s="304" t="s">
        <v>1719</v>
      </c>
      <c r="M5" s="304" t="s">
        <v>1720</v>
      </c>
      <c r="N5" s="304" t="s">
        <v>1721</v>
      </c>
      <c r="O5" s="304" t="s">
        <v>1722</v>
      </c>
      <c r="P5" s="304" t="s">
        <v>1723</v>
      </c>
      <c r="Q5" s="304" t="s">
        <v>1724</v>
      </c>
      <c r="R5" s="304" t="s">
        <v>1725</v>
      </c>
      <c r="T5" s="305" t="s">
        <v>1712</v>
      </c>
      <c r="U5" s="305" t="s">
        <v>1713</v>
      </c>
      <c r="V5" s="305" t="s">
        <v>1714</v>
      </c>
      <c r="W5" s="305" t="s">
        <v>1715</v>
      </c>
      <c r="X5" s="305" t="s">
        <v>1716</v>
      </c>
      <c r="Y5" s="305" t="s">
        <v>1717</v>
      </c>
      <c r="Z5" s="305" t="s">
        <v>1718</v>
      </c>
      <c r="AA5" s="305" t="s">
        <v>1719</v>
      </c>
      <c r="AB5" s="305" t="s">
        <v>1720</v>
      </c>
      <c r="AC5" s="305" t="s">
        <v>1721</v>
      </c>
      <c r="AD5" s="305" t="s">
        <v>1722</v>
      </c>
      <c r="AE5" s="305" t="s">
        <v>1723</v>
      </c>
      <c r="AF5" s="305" t="s">
        <v>1724</v>
      </c>
      <c r="AH5" s="305" t="s">
        <v>1712</v>
      </c>
      <c r="AI5" s="305" t="s">
        <v>1713</v>
      </c>
      <c r="AJ5" s="305" t="s">
        <v>1714</v>
      </c>
      <c r="AK5" s="305" t="s">
        <v>1715</v>
      </c>
      <c r="AL5" s="305" t="s">
        <v>1716</v>
      </c>
      <c r="AM5" s="305" t="s">
        <v>1717</v>
      </c>
      <c r="AN5" s="305" t="s">
        <v>1718</v>
      </c>
      <c r="AO5" s="305" t="s">
        <v>1719</v>
      </c>
      <c r="AP5" s="305" t="s">
        <v>1720</v>
      </c>
      <c r="AQ5" s="305" t="s">
        <v>1721</v>
      </c>
      <c r="AR5" s="305" t="s">
        <v>1722</v>
      </c>
      <c r="AS5" s="305" t="s">
        <v>1723</v>
      </c>
      <c r="AT5" s="305" t="s">
        <v>1724</v>
      </c>
      <c r="AV5" s="305" t="s">
        <v>1712</v>
      </c>
      <c r="AW5" s="305" t="s">
        <v>1713</v>
      </c>
      <c r="AX5" s="305" t="s">
        <v>1714</v>
      </c>
      <c r="AY5" s="305" t="s">
        <v>1715</v>
      </c>
      <c r="AZ5" s="305" t="s">
        <v>1716</v>
      </c>
      <c r="BA5" s="305" t="s">
        <v>1717</v>
      </c>
      <c r="BB5" s="305" t="s">
        <v>1718</v>
      </c>
      <c r="BC5" s="305" t="s">
        <v>1719</v>
      </c>
      <c r="BD5" s="305" t="s">
        <v>1720</v>
      </c>
      <c r="BE5" s="305" t="s">
        <v>1721</v>
      </c>
      <c r="BF5" s="305" t="s">
        <v>1722</v>
      </c>
      <c r="BG5" s="305" t="s">
        <v>1723</v>
      </c>
      <c r="BH5" s="305" t="s">
        <v>1724</v>
      </c>
      <c r="BJ5" s="305" t="s">
        <v>1712</v>
      </c>
      <c r="BK5" s="305" t="s">
        <v>1713</v>
      </c>
      <c r="BL5" s="305" t="s">
        <v>1714</v>
      </c>
      <c r="BM5" s="305" t="s">
        <v>1715</v>
      </c>
      <c r="BN5" s="305" t="s">
        <v>1716</v>
      </c>
      <c r="BO5" s="305" t="s">
        <v>1717</v>
      </c>
      <c r="BP5" s="305" t="s">
        <v>1718</v>
      </c>
      <c r="BQ5" s="305" t="s">
        <v>1719</v>
      </c>
      <c r="BR5" s="305" t="s">
        <v>1720</v>
      </c>
      <c r="BS5" s="305" t="s">
        <v>1721</v>
      </c>
      <c r="BT5" s="305" t="s">
        <v>1722</v>
      </c>
      <c r="BU5" s="305" t="s">
        <v>1723</v>
      </c>
      <c r="BV5" s="305" t="s">
        <v>1724</v>
      </c>
      <c r="BX5" s="305" t="s">
        <v>1712</v>
      </c>
      <c r="BY5" s="305" t="s">
        <v>1713</v>
      </c>
      <c r="BZ5" s="305" t="s">
        <v>1714</v>
      </c>
      <c r="CA5" s="305" t="s">
        <v>1715</v>
      </c>
      <c r="CB5" s="305" t="s">
        <v>1716</v>
      </c>
      <c r="CC5" s="305" t="s">
        <v>1717</v>
      </c>
      <c r="CD5" s="305" t="s">
        <v>1718</v>
      </c>
      <c r="CE5" s="305" t="s">
        <v>1719</v>
      </c>
      <c r="CF5" s="305" t="s">
        <v>1720</v>
      </c>
      <c r="CG5" s="305" t="s">
        <v>1721</v>
      </c>
      <c r="CH5" s="305" t="s">
        <v>1722</v>
      </c>
      <c r="CI5" s="305" t="s">
        <v>1723</v>
      </c>
      <c r="CJ5" s="305" t="s">
        <v>1724</v>
      </c>
    </row>
    <row r="6" spans="2:88" ht="15" customHeight="1" thickBot="1">
      <c r="B6" s="306"/>
      <c r="C6" s="307"/>
      <c r="D6" s="308"/>
      <c r="E6" s="309"/>
      <c r="F6" s="310"/>
      <c r="G6" s="310"/>
      <c r="H6" s="310"/>
      <c r="I6" s="310"/>
      <c r="J6" s="310"/>
      <c r="K6" s="310"/>
      <c r="L6" s="310"/>
      <c r="M6" s="310"/>
      <c r="N6" s="310"/>
      <c r="O6" s="310"/>
      <c r="P6" s="310"/>
      <c r="Q6" s="310"/>
      <c r="R6" s="311" t="s">
        <v>1726</v>
      </c>
      <c r="T6" s="312"/>
      <c r="U6" s="312"/>
      <c r="V6" s="312"/>
      <c r="W6" s="312"/>
      <c r="X6" s="312"/>
      <c r="Y6" s="312"/>
      <c r="Z6" s="312"/>
      <c r="AA6" s="312"/>
      <c r="AB6" s="312"/>
      <c r="AC6" s="312"/>
      <c r="AD6" s="312"/>
      <c r="AE6" s="312"/>
      <c r="AF6" s="305"/>
      <c r="AV6" s="313"/>
      <c r="AW6" s="313"/>
      <c r="AX6" s="313"/>
      <c r="AY6" s="313"/>
      <c r="AZ6" s="313"/>
      <c r="BA6" s="313"/>
      <c r="BB6" s="313"/>
      <c r="BC6" s="313"/>
      <c r="BD6" s="313"/>
      <c r="BE6" s="313"/>
      <c r="BF6" s="312"/>
      <c r="BG6" s="312"/>
      <c r="BH6" s="312"/>
    </row>
    <row r="7" spans="2:88" ht="20.100000000000001" customHeight="1" thickTop="1">
      <c r="B7" s="314">
        <v>1</v>
      </c>
      <c r="C7" s="315" t="s">
        <v>1727</v>
      </c>
      <c r="D7" s="316" t="s">
        <v>1728</v>
      </c>
      <c r="E7" s="317">
        <v>47115</v>
      </c>
      <c r="F7" s="317">
        <v>45231</v>
      </c>
      <c r="G7" s="317">
        <v>39578</v>
      </c>
      <c r="H7" s="317">
        <v>50885</v>
      </c>
      <c r="I7" s="317">
        <v>41461</v>
      </c>
      <c r="J7" s="317">
        <v>37692</v>
      </c>
      <c r="K7" s="317">
        <v>45231</v>
      </c>
      <c r="L7" s="317">
        <v>35808</v>
      </c>
      <c r="M7" s="317">
        <v>49000</v>
      </c>
      <c r="N7" s="317">
        <v>35808</v>
      </c>
      <c r="O7" s="317">
        <v>41461</v>
      </c>
      <c r="P7" s="317">
        <v>47115</v>
      </c>
      <c r="Q7" s="318">
        <f t="shared" ref="Q7:Q30" si="0">SUM(E7:P7)</f>
        <v>516385</v>
      </c>
      <c r="R7" s="318">
        <f t="shared" ref="R7:R31" si="1">ROUND(Q7*8.33%,0)</f>
        <v>43015</v>
      </c>
      <c r="T7" s="312">
        <f>+ROUND(IF(E7&gt;15000,(15000*0.12),(E7*0.12)),0)</f>
        <v>1800</v>
      </c>
      <c r="U7" s="312">
        <f>+ROUND(IF(F7&gt;15000,(15000*0.12),(F7*0.12)),0)</f>
        <v>1800</v>
      </c>
      <c r="V7" s="312">
        <f t="shared" ref="V7:AE22" si="2">+ROUND(IF(G7&gt;15000,(15000*0.12),(G7*0.12)),0)</f>
        <v>1800</v>
      </c>
      <c r="W7" s="312">
        <f t="shared" si="2"/>
        <v>1800</v>
      </c>
      <c r="X7" s="312">
        <f t="shared" si="2"/>
        <v>1800</v>
      </c>
      <c r="Y7" s="312">
        <f t="shared" si="2"/>
        <v>1800</v>
      </c>
      <c r="Z7" s="312">
        <f t="shared" si="2"/>
        <v>1800</v>
      </c>
      <c r="AA7" s="312">
        <f t="shared" si="2"/>
        <v>1800</v>
      </c>
      <c r="AB7" s="312">
        <f t="shared" si="2"/>
        <v>1800</v>
      </c>
      <c r="AC7" s="312">
        <f t="shared" si="2"/>
        <v>1800</v>
      </c>
      <c r="AD7" s="312">
        <f t="shared" si="2"/>
        <v>1800</v>
      </c>
      <c r="AE7" s="312">
        <f t="shared" si="2"/>
        <v>1800</v>
      </c>
      <c r="AF7" s="305">
        <f>+SUM(T7:AE7)</f>
        <v>21600</v>
      </c>
      <c r="AH7" s="312">
        <f>+ROUND(IF(E7&gt;15000,(15000*13%),(E7*13%)),0)</f>
        <v>1950</v>
      </c>
      <c r="AI7" s="312">
        <f t="shared" ref="AI7:AS22" si="3">+ROUND(IF(F7&gt;15000,(15000*13%),(F7*13%)),0)</f>
        <v>1950</v>
      </c>
      <c r="AJ7" s="312">
        <f t="shared" si="3"/>
        <v>1950</v>
      </c>
      <c r="AK7" s="312">
        <f t="shared" si="3"/>
        <v>1950</v>
      </c>
      <c r="AL7" s="312">
        <f t="shared" si="3"/>
        <v>1950</v>
      </c>
      <c r="AM7" s="312">
        <f t="shared" si="3"/>
        <v>1950</v>
      </c>
      <c r="AN7" s="312">
        <f t="shared" si="3"/>
        <v>1950</v>
      </c>
      <c r="AO7" s="312">
        <f t="shared" si="3"/>
        <v>1950</v>
      </c>
      <c r="AP7" s="312">
        <f t="shared" si="3"/>
        <v>1950</v>
      </c>
      <c r="AQ7" s="312">
        <f t="shared" si="3"/>
        <v>1950</v>
      </c>
      <c r="AR7" s="312">
        <f t="shared" si="3"/>
        <v>1950</v>
      </c>
      <c r="AS7" s="312">
        <f t="shared" si="3"/>
        <v>1950</v>
      </c>
      <c r="AT7" s="305">
        <f>+SUM(AH7:AS7)</f>
        <v>23400</v>
      </c>
      <c r="AV7" s="312">
        <f>+ROUND(IF(E7&lt;21001,(E7*0.75%),0),0)</f>
        <v>0</v>
      </c>
      <c r="AW7" s="312">
        <f t="shared" ref="AW7:BG22" si="4">+ROUND(IF(F7&lt;21001,(F7*0.75%),0),0)</f>
        <v>0</v>
      </c>
      <c r="AX7" s="312">
        <f t="shared" si="4"/>
        <v>0</v>
      </c>
      <c r="AY7" s="312">
        <f t="shared" si="4"/>
        <v>0</v>
      </c>
      <c r="AZ7" s="312">
        <f t="shared" si="4"/>
        <v>0</v>
      </c>
      <c r="BA7" s="312">
        <f t="shared" si="4"/>
        <v>0</v>
      </c>
      <c r="BB7" s="312">
        <f t="shared" si="4"/>
        <v>0</v>
      </c>
      <c r="BC7" s="312">
        <f t="shared" si="4"/>
        <v>0</v>
      </c>
      <c r="BD7" s="312">
        <f t="shared" si="4"/>
        <v>0</v>
      </c>
      <c r="BE7" s="312">
        <f t="shared" si="4"/>
        <v>0</v>
      </c>
      <c r="BF7" s="312">
        <f t="shared" si="4"/>
        <v>0</v>
      </c>
      <c r="BG7" s="312">
        <f t="shared" si="4"/>
        <v>0</v>
      </c>
      <c r="BH7" s="305">
        <f>+SUM(AV7:BG7)</f>
        <v>0</v>
      </c>
      <c r="BJ7" s="312">
        <f>+ROUND(IF(E7&lt;21001,(E7*3.25%),0),0)</f>
        <v>0</v>
      </c>
      <c r="BK7" s="312">
        <f t="shared" ref="BK7:BU22" si="5">+ROUND(IF(F7&lt;21001,(F7*3.25%),0),0)</f>
        <v>0</v>
      </c>
      <c r="BL7" s="312">
        <f t="shared" si="5"/>
        <v>0</v>
      </c>
      <c r="BM7" s="312">
        <f t="shared" si="5"/>
        <v>0</v>
      </c>
      <c r="BN7" s="312">
        <f t="shared" si="5"/>
        <v>0</v>
      </c>
      <c r="BO7" s="312">
        <f t="shared" si="5"/>
        <v>0</v>
      </c>
      <c r="BP7" s="312">
        <f t="shared" si="5"/>
        <v>0</v>
      </c>
      <c r="BQ7" s="312">
        <f t="shared" si="5"/>
        <v>0</v>
      </c>
      <c r="BR7" s="312">
        <f t="shared" si="5"/>
        <v>0</v>
      </c>
      <c r="BS7" s="312">
        <f t="shared" si="5"/>
        <v>0</v>
      </c>
      <c r="BT7" s="312">
        <f t="shared" si="5"/>
        <v>0</v>
      </c>
      <c r="BU7" s="312">
        <f t="shared" si="5"/>
        <v>0</v>
      </c>
      <c r="BV7" s="305">
        <f>+SUM(BJ7:BU7)</f>
        <v>0</v>
      </c>
      <c r="BX7" s="312">
        <f>+IF(E7&lt;=0,0,IF(E7&gt;10000,200,175))</f>
        <v>200</v>
      </c>
      <c r="BY7" s="312">
        <f t="shared" ref="BY7:CI22" si="6">+IF(F7&lt;=0,0,IF(F7&gt;10000,200,175))</f>
        <v>200</v>
      </c>
      <c r="BZ7" s="312">
        <f t="shared" si="6"/>
        <v>200</v>
      </c>
      <c r="CA7" s="312">
        <f t="shared" si="6"/>
        <v>200</v>
      </c>
      <c r="CB7" s="312">
        <f t="shared" si="6"/>
        <v>200</v>
      </c>
      <c r="CC7" s="312">
        <f t="shared" si="6"/>
        <v>200</v>
      </c>
      <c r="CD7" s="312">
        <f t="shared" si="6"/>
        <v>200</v>
      </c>
      <c r="CE7" s="312">
        <f t="shared" si="6"/>
        <v>200</v>
      </c>
      <c r="CF7" s="312">
        <f t="shared" si="6"/>
        <v>200</v>
      </c>
      <c r="CG7" s="312">
        <f t="shared" si="6"/>
        <v>200</v>
      </c>
      <c r="CH7" s="312">
        <f>+IF(O7&lt;=0,0,IF(O7&gt;10000,300,175))</f>
        <v>300</v>
      </c>
      <c r="CI7" s="312">
        <f t="shared" si="6"/>
        <v>200</v>
      </c>
      <c r="CJ7" s="312">
        <f>SUM(BX7:CI7)</f>
        <v>2500</v>
      </c>
    </row>
    <row r="8" spans="2:88" ht="20.100000000000001" customHeight="1">
      <c r="B8" s="314">
        <v>2</v>
      </c>
      <c r="C8" s="315" t="s">
        <v>1727</v>
      </c>
      <c r="D8" s="316" t="s">
        <v>1729</v>
      </c>
      <c r="E8" s="317">
        <v>21000</v>
      </c>
      <c r="F8" s="317">
        <v>25000</v>
      </c>
      <c r="G8" s="317">
        <v>25000</v>
      </c>
      <c r="H8" s="317">
        <v>26000</v>
      </c>
      <c r="I8" s="317">
        <v>26000</v>
      </c>
      <c r="J8" s="317">
        <v>25000</v>
      </c>
      <c r="K8" s="317">
        <v>25000</v>
      </c>
      <c r="L8" s="317">
        <v>25000</v>
      </c>
      <c r="M8" s="317">
        <v>26000</v>
      </c>
      <c r="N8" s="317">
        <v>26000</v>
      </c>
      <c r="O8" s="317">
        <v>26000</v>
      </c>
      <c r="P8" s="317">
        <v>22000</v>
      </c>
      <c r="Q8" s="318">
        <f t="shared" si="0"/>
        <v>298000</v>
      </c>
      <c r="R8" s="318">
        <f t="shared" si="1"/>
        <v>24823</v>
      </c>
      <c r="T8" s="312">
        <f t="shared" ref="T8:AE44" si="7">+ROUND(IF(E8&gt;15000,(15000*0.12),(E8*0.12)),0)</f>
        <v>1800</v>
      </c>
      <c r="U8" s="312">
        <f t="shared" si="7"/>
        <v>1800</v>
      </c>
      <c r="V8" s="312">
        <f t="shared" si="2"/>
        <v>1800</v>
      </c>
      <c r="W8" s="312">
        <f t="shared" si="2"/>
        <v>1800</v>
      </c>
      <c r="X8" s="312">
        <f t="shared" si="2"/>
        <v>1800</v>
      </c>
      <c r="Y8" s="312">
        <f t="shared" si="2"/>
        <v>1800</v>
      </c>
      <c r="Z8" s="312">
        <f t="shared" si="2"/>
        <v>1800</v>
      </c>
      <c r="AA8" s="312">
        <f t="shared" si="2"/>
        <v>1800</v>
      </c>
      <c r="AB8" s="312">
        <f t="shared" si="2"/>
        <v>1800</v>
      </c>
      <c r="AC8" s="312">
        <f t="shared" si="2"/>
        <v>1800</v>
      </c>
      <c r="AD8" s="312">
        <f t="shared" si="2"/>
        <v>1800</v>
      </c>
      <c r="AE8" s="312">
        <f t="shared" si="2"/>
        <v>1800</v>
      </c>
      <c r="AF8" s="305">
        <f t="shared" ref="AF8:AF31" si="8">+SUM(T8:AE8)</f>
        <v>21600</v>
      </c>
      <c r="AH8" s="312">
        <f t="shared" ref="AH8:AS31" si="9">+ROUND(IF(E8&gt;15000,(15000*13%),(E8*13%)),0)</f>
        <v>1950</v>
      </c>
      <c r="AI8" s="312">
        <f t="shared" si="3"/>
        <v>1950</v>
      </c>
      <c r="AJ8" s="312">
        <f t="shared" si="3"/>
        <v>1950</v>
      </c>
      <c r="AK8" s="312">
        <f t="shared" si="3"/>
        <v>1950</v>
      </c>
      <c r="AL8" s="312">
        <f t="shared" si="3"/>
        <v>1950</v>
      </c>
      <c r="AM8" s="312">
        <f t="shared" si="3"/>
        <v>1950</v>
      </c>
      <c r="AN8" s="312">
        <f t="shared" si="3"/>
        <v>1950</v>
      </c>
      <c r="AO8" s="312">
        <f t="shared" si="3"/>
        <v>1950</v>
      </c>
      <c r="AP8" s="312">
        <f t="shared" si="3"/>
        <v>1950</v>
      </c>
      <c r="AQ8" s="312">
        <f t="shared" si="3"/>
        <v>1950</v>
      </c>
      <c r="AR8" s="312">
        <f t="shared" si="3"/>
        <v>1950</v>
      </c>
      <c r="AS8" s="312">
        <f t="shared" si="3"/>
        <v>1950</v>
      </c>
      <c r="AT8" s="305">
        <f t="shared" ref="AT8:AT31" si="10">+SUM(AH8:AS8)</f>
        <v>23400</v>
      </c>
      <c r="AV8" s="312">
        <f t="shared" ref="AV8:BG45" si="11">+ROUND(IF(E8&lt;21001,(E8*0.75%),0),0)</f>
        <v>158</v>
      </c>
      <c r="AW8" s="312">
        <f t="shared" si="4"/>
        <v>0</v>
      </c>
      <c r="AX8" s="312">
        <f t="shared" si="4"/>
        <v>0</v>
      </c>
      <c r="AY8" s="312">
        <f t="shared" si="4"/>
        <v>0</v>
      </c>
      <c r="AZ8" s="312">
        <f t="shared" si="4"/>
        <v>0</v>
      </c>
      <c r="BA8" s="312">
        <f t="shared" si="4"/>
        <v>0</v>
      </c>
      <c r="BB8" s="312">
        <f t="shared" si="4"/>
        <v>0</v>
      </c>
      <c r="BC8" s="312">
        <f t="shared" si="4"/>
        <v>0</v>
      </c>
      <c r="BD8" s="312">
        <f t="shared" si="4"/>
        <v>0</v>
      </c>
      <c r="BE8" s="312">
        <f t="shared" si="4"/>
        <v>0</v>
      </c>
      <c r="BF8" s="312">
        <f t="shared" si="4"/>
        <v>0</v>
      </c>
      <c r="BG8" s="312">
        <f t="shared" si="4"/>
        <v>0</v>
      </c>
      <c r="BH8" s="305">
        <f t="shared" ref="BH8:BH31" si="12">+SUM(AV8:BG8)</f>
        <v>158</v>
      </c>
      <c r="BJ8" s="312">
        <f t="shared" ref="BJ8:BU45" si="13">+ROUND(IF(E8&lt;21001,(E8*3.25%),0),0)</f>
        <v>683</v>
      </c>
      <c r="BK8" s="312">
        <f t="shared" si="5"/>
        <v>0</v>
      </c>
      <c r="BL8" s="312">
        <f t="shared" si="5"/>
        <v>0</v>
      </c>
      <c r="BM8" s="312">
        <f t="shared" si="5"/>
        <v>0</v>
      </c>
      <c r="BN8" s="312">
        <f t="shared" si="5"/>
        <v>0</v>
      </c>
      <c r="BO8" s="312">
        <f t="shared" si="5"/>
        <v>0</v>
      </c>
      <c r="BP8" s="312">
        <f t="shared" si="5"/>
        <v>0</v>
      </c>
      <c r="BQ8" s="312">
        <f t="shared" si="5"/>
        <v>0</v>
      </c>
      <c r="BR8" s="312">
        <f t="shared" si="5"/>
        <v>0</v>
      </c>
      <c r="BS8" s="312">
        <f t="shared" si="5"/>
        <v>0</v>
      </c>
      <c r="BT8" s="312">
        <f t="shared" si="5"/>
        <v>0</v>
      </c>
      <c r="BU8" s="312">
        <f t="shared" si="5"/>
        <v>0</v>
      </c>
      <c r="BV8" s="305">
        <f t="shared" ref="BV8:BV31" si="14">+SUM(BJ8:BU8)</f>
        <v>683</v>
      </c>
      <c r="BX8" s="312">
        <f t="shared" ref="BX8:CG31" si="15">+IF(E8&lt;=0,0,IF(E8&gt;10000,200,175))</f>
        <v>200</v>
      </c>
      <c r="BY8" s="312">
        <f t="shared" si="6"/>
        <v>200</v>
      </c>
      <c r="BZ8" s="312">
        <f t="shared" si="6"/>
        <v>200</v>
      </c>
      <c r="CA8" s="312">
        <f t="shared" si="6"/>
        <v>200</v>
      </c>
      <c r="CB8" s="312">
        <f t="shared" si="6"/>
        <v>200</v>
      </c>
      <c r="CC8" s="312">
        <f t="shared" si="6"/>
        <v>200</v>
      </c>
      <c r="CD8" s="312">
        <f t="shared" si="6"/>
        <v>200</v>
      </c>
      <c r="CE8" s="312">
        <f t="shared" si="6"/>
        <v>200</v>
      </c>
      <c r="CF8" s="312">
        <f t="shared" si="6"/>
        <v>200</v>
      </c>
      <c r="CG8" s="312">
        <f t="shared" si="6"/>
        <v>200</v>
      </c>
      <c r="CH8" s="312">
        <f t="shared" ref="CH8:CH31" si="16">+IF(O8&lt;=0,0,IF(O8&gt;10000,300,175))</f>
        <v>300</v>
      </c>
      <c r="CI8" s="312">
        <f t="shared" si="6"/>
        <v>200</v>
      </c>
      <c r="CJ8" s="312">
        <f t="shared" ref="CJ8:CJ31" si="17">SUM(BX8:CI8)</f>
        <v>2500</v>
      </c>
    </row>
    <row r="9" spans="2:88" ht="20.100000000000001" customHeight="1">
      <c r="B9" s="314">
        <v>3</v>
      </c>
      <c r="C9" s="315" t="s">
        <v>1727</v>
      </c>
      <c r="D9" s="316" t="s">
        <v>1730</v>
      </c>
      <c r="E9" s="317">
        <v>25000</v>
      </c>
      <c r="F9" s="317">
        <v>26000</v>
      </c>
      <c r="G9" s="317">
        <v>13000</v>
      </c>
      <c r="H9" s="317">
        <v>24000</v>
      </c>
      <c r="I9" s="317">
        <v>27000</v>
      </c>
      <c r="J9" s="317">
        <v>24000</v>
      </c>
      <c r="K9" s="317">
        <v>25000</v>
      </c>
      <c r="L9" s="317">
        <v>23000</v>
      </c>
      <c r="M9" s="317">
        <v>21000</v>
      </c>
      <c r="N9" s="317">
        <v>27000</v>
      </c>
      <c r="O9" s="317">
        <v>26000</v>
      </c>
      <c r="P9" s="317">
        <v>23000</v>
      </c>
      <c r="Q9" s="318">
        <f t="shared" si="0"/>
        <v>284000</v>
      </c>
      <c r="R9" s="318">
        <f t="shared" si="1"/>
        <v>23657</v>
      </c>
      <c r="T9" s="312">
        <f t="shared" si="7"/>
        <v>1800</v>
      </c>
      <c r="U9" s="312">
        <f t="shared" si="7"/>
        <v>1800</v>
      </c>
      <c r="V9" s="312">
        <f t="shared" si="2"/>
        <v>1560</v>
      </c>
      <c r="W9" s="312">
        <f t="shared" si="2"/>
        <v>1800</v>
      </c>
      <c r="X9" s="312">
        <f t="shared" si="2"/>
        <v>1800</v>
      </c>
      <c r="Y9" s="312">
        <f t="shared" si="2"/>
        <v>1800</v>
      </c>
      <c r="Z9" s="312">
        <f t="shared" si="2"/>
        <v>1800</v>
      </c>
      <c r="AA9" s="312">
        <f t="shared" si="2"/>
        <v>1800</v>
      </c>
      <c r="AB9" s="312">
        <f t="shared" si="2"/>
        <v>1800</v>
      </c>
      <c r="AC9" s="312">
        <f t="shared" si="2"/>
        <v>1800</v>
      </c>
      <c r="AD9" s="312">
        <f t="shared" si="2"/>
        <v>1800</v>
      </c>
      <c r="AE9" s="312">
        <f t="shared" si="2"/>
        <v>1800</v>
      </c>
      <c r="AF9" s="305">
        <f t="shared" si="8"/>
        <v>21360</v>
      </c>
      <c r="AH9" s="312">
        <f t="shared" si="9"/>
        <v>1950</v>
      </c>
      <c r="AI9" s="312">
        <f t="shared" si="3"/>
        <v>1950</v>
      </c>
      <c r="AJ9" s="312">
        <f t="shared" si="3"/>
        <v>1690</v>
      </c>
      <c r="AK9" s="312">
        <f t="shared" si="3"/>
        <v>1950</v>
      </c>
      <c r="AL9" s="312">
        <f t="shared" si="3"/>
        <v>1950</v>
      </c>
      <c r="AM9" s="312">
        <f t="shared" si="3"/>
        <v>1950</v>
      </c>
      <c r="AN9" s="312">
        <f t="shared" si="3"/>
        <v>1950</v>
      </c>
      <c r="AO9" s="312">
        <f t="shared" si="3"/>
        <v>1950</v>
      </c>
      <c r="AP9" s="312">
        <f t="shared" si="3"/>
        <v>1950</v>
      </c>
      <c r="AQ9" s="312">
        <f t="shared" si="3"/>
        <v>1950</v>
      </c>
      <c r="AR9" s="312">
        <f t="shared" si="3"/>
        <v>1950</v>
      </c>
      <c r="AS9" s="312">
        <f t="shared" si="3"/>
        <v>1950</v>
      </c>
      <c r="AT9" s="305">
        <f t="shared" si="10"/>
        <v>23140</v>
      </c>
      <c r="AV9" s="312">
        <f t="shared" si="11"/>
        <v>0</v>
      </c>
      <c r="AW9" s="312">
        <f t="shared" si="4"/>
        <v>0</v>
      </c>
      <c r="AX9" s="312">
        <f t="shared" si="4"/>
        <v>98</v>
      </c>
      <c r="AY9" s="312">
        <f t="shared" si="4"/>
        <v>0</v>
      </c>
      <c r="AZ9" s="312">
        <f t="shared" si="4"/>
        <v>0</v>
      </c>
      <c r="BA9" s="312">
        <f t="shared" si="4"/>
        <v>0</v>
      </c>
      <c r="BB9" s="312">
        <f t="shared" si="4"/>
        <v>0</v>
      </c>
      <c r="BC9" s="312">
        <f t="shared" si="4"/>
        <v>0</v>
      </c>
      <c r="BD9" s="312">
        <f t="shared" si="4"/>
        <v>158</v>
      </c>
      <c r="BE9" s="312">
        <f t="shared" si="4"/>
        <v>0</v>
      </c>
      <c r="BF9" s="312">
        <f t="shared" si="4"/>
        <v>0</v>
      </c>
      <c r="BG9" s="312">
        <f t="shared" si="4"/>
        <v>0</v>
      </c>
      <c r="BH9" s="305">
        <f t="shared" si="12"/>
        <v>256</v>
      </c>
      <c r="BJ9" s="312">
        <f t="shared" si="13"/>
        <v>0</v>
      </c>
      <c r="BK9" s="312">
        <f t="shared" si="5"/>
        <v>0</v>
      </c>
      <c r="BL9" s="312">
        <f t="shared" si="5"/>
        <v>423</v>
      </c>
      <c r="BM9" s="312">
        <f t="shared" si="5"/>
        <v>0</v>
      </c>
      <c r="BN9" s="312">
        <f t="shared" si="5"/>
        <v>0</v>
      </c>
      <c r="BO9" s="312">
        <f t="shared" si="5"/>
        <v>0</v>
      </c>
      <c r="BP9" s="312">
        <f t="shared" si="5"/>
        <v>0</v>
      </c>
      <c r="BQ9" s="312">
        <f t="shared" si="5"/>
        <v>0</v>
      </c>
      <c r="BR9" s="312">
        <f t="shared" si="5"/>
        <v>683</v>
      </c>
      <c r="BS9" s="312">
        <f t="shared" si="5"/>
        <v>0</v>
      </c>
      <c r="BT9" s="312">
        <f t="shared" si="5"/>
        <v>0</v>
      </c>
      <c r="BU9" s="312">
        <f t="shared" si="5"/>
        <v>0</v>
      </c>
      <c r="BV9" s="305">
        <f t="shared" si="14"/>
        <v>1106</v>
      </c>
      <c r="BX9" s="312">
        <f t="shared" si="15"/>
        <v>200</v>
      </c>
      <c r="BY9" s="312">
        <f t="shared" si="6"/>
        <v>200</v>
      </c>
      <c r="BZ9" s="312">
        <f t="shared" si="6"/>
        <v>200</v>
      </c>
      <c r="CA9" s="312">
        <f t="shared" si="6"/>
        <v>200</v>
      </c>
      <c r="CB9" s="312">
        <f t="shared" si="6"/>
        <v>200</v>
      </c>
      <c r="CC9" s="312">
        <f t="shared" si="6"/>
        <v>200</v>
      </c>
      <c r="CD9" s="312">
        <f t="shared" si="6"/>
        <v>200</v>
      </c>
      <c r="CE9" s="312">
        <f t="shared" si="6"/>
        <v>200</v>
      </c>
      <c r="CF9" s="312">
        <f t="shared" si="6"/>
        <v>200</v>
      </c>
      <c r="CG9" s="312">
        <f t="shared" si="6"/>
        <v>200</v>
      </c>
      <c r="CH9" s="312">
        <f t="shared" si="16"/>
        <v>300</v>
      </c>
      <c r="CI9" s="312">
        <f t="shared" si="6"/>
        <v>200</v>
      </c>
      <c r="CJ9" s="312">
        <f t="shared" si="17"/>
        <v>2500</v>
      </c>
    </row>
    <row r="10" spans="2:88" ht="20.100000000000001" customHeight="1">
      <c r="B10" s="319">
        <v>4</v>
      </c>
      <c r="C10" s="315" t="s">
        <v>1727</v>
      </c>
      <c r="D10" s="316" t="s">
        <v>1731</v>
      </c>
      <c r="E10" s="317">
        <v>20500</v>
      </c>
      <c r="F10" s="317">
        <v>19712</v>
      </c>
      <c r="G10" s="317">
        <v>16559</v>
      </c>
      <c r="H10" s="317">
        <v>18922</v>
      </c>
      <c r="I10" s="317">
        <v>18134</v>
      </c>
      <c r="J10" s="317">
        <v>18922</v>
      </c>
      <c r="K10" s="317">
        <v>20500</v>
      </c>
      <c r="L10" s="317">
        <v>13404</v>
      </c>
      <c r="M10" s="317">
        <v>20500</v>
      </c>
      <c r="N10" s="317">
        <v>18922</v>
      </c>
      <c r="O10" s="317">
        <v>20500</v>
      </c>
      <c r="P10" s="317">
        <v>19712</v>
      </c>
      <c r="Q10" s="318">
        <f>SUM(E10:P10)</f>
        <v>226287</v>
      </c>
      <c r="R10" s="318">
        <f t="shared" si="1"/>
        <v>18850</v>
      </c>
      <c r="T10" s="312">
        <f t="shared" si="7"/>
        <v>1800</v>
      </c>
      <c r="U10" s="312">
        <f t="shared" si="7"/>
        <v>1800</v>
      </c>
      <c r="V10" s="312">
        <f t="shared" si="2"/>
        <v>1800</v>
      </c>
      <c r="W10" s="312">
        <f t="shared" si="2"/>
        <v>1800</v>
      </c>
      <c r="X10" s="312">
        <f t="shared" si="2"/>
        <v>1800</v>
      </c>
      <c r="Y10" s="312">
        <f t="shared" si="2"/>
        <v>1800</v>
      </c>
      <c r="Z10" s="312">
        <f t="shared" si="2"/>
        <v>1800</v>
      </c>
      <c r="AA10" s="312">
        <f t="shared" si="2"/>
        <v>1608</v>
      </c>
      <c r="AB10" s="312">
        <f t="shared" si="2"/>
        <v>1800</v>
      </c>
      <c r="AC10" s="312">
        <f t="shared" si="2"/>
        <v>1800</v>
      </c>
      <c r="AD10" s="312">
        <f t="shared" si="2"/>
        <v>1800</v>
      </c>
      <c r="AE10" s="312">
        <f t="shared" si="2"/>
        <v>1800</v>
      </c>
      <c r="AF10" s="305">
        <f t="shared" si="8"/>
        <v>21408</v>
      </c>
      <c r="AH10" s="312">
        <f t="shared" si="9"/>
        <v>1950</v>
      </c>
      <c r="AI10" s="312">
        <f t="shared" si="3"/>
        <v>1950</v>
      </c>
      <c r="AJ10" s="312">
        <f t="shared" si="3"/>
        <v>1950</v>
      </c>
      <c r="AK10" s="312">
        <f t="shared" si="3"/>
        <v>1950</v>
      </c>
      <c r="AL10" s="312">
        <f t="shared" si="3"/>
        <v>1950</v>
      </c>
      <c r="AM10" s="312">
        <f t="shared" si="3"/>
        <v>1950</v>
      </c>
      <c r="AN10" s="312">
        <f t="shared" si="3"/>
        <v>1950</v>
      </c>
      <c r="AO10" s="312">
        <f t="shared" si="3"/>
        <v>1743</v>
      </c>
      <c r="AP10" s="312">
        <f t="shared" si="3"/>
        <v>1950</v>
      </c>
      <c r="AQ10" s="312">
        <f t="shared" si="3"/>
        <v>1950</v>
      </c>
      <c r="AR10" s="312">
        <f t="shared" si="3"/>
        <v>1950</v>
      </c>
      <c r="AS10" s="312">
        <f t="shared" si="3"/>
        <v>1950</v>
      </c>
      <c r="AT10" s="305">
        <f t="shared" si="10"/>
        <v>23193</v>
      </c>
      <c r="AV10" s="312">
        <f t="shared" si="11"/>
        <v>154</v>
      </c>
      <c r="AW10" s="312">
        <f t="shared" si="4"/>
        <v>148</v>
      </c>
      <c r="AX10" s="312">
        <f t="shared" si="4"/>
        <v>124</v>
      </c>
      <c r="AY10" s="312">
        <f t="shared" si="4"/>
        <v>142</v>
      </c>
      <c r="AZ10" s="312">
        <f t="shared" si="4"/>
        <v>136</v>
      </c>
      <c r="BA10" s="312">
        <f t="shared" si="4"/>
        <v>142</v>
      </c>
      <c r="BB10" s="312">
        <f t="shared" si="4"/>
        <v>154</v>
      </c>
      <c r="BC10" s="312">
        <f t="shared" si="4"/>
        <v>101</v>
      </c>
      <c r="BD10" s="312">
        <f t="shared" si="4"/>
        <v>154</v>
      </c>
      <c r="BE10" s="312">
        <f t="shared" si="4"/>
        <v>142</v>
      </c>
      <c r="BF10" s="312">
        <f t="shared" si="4"/>
        <v>154</v>
      </c>
      <c r="BG10" s="312">
        <f t="shared" si="4"/>
        <v>148</v>
      </c>
      <c r="BH10" s="305">
        <f t="shared" si="12"/>
        <v>1699</v>
      </c>
      <c r="BJ10" s="312">
        <f t="shared" si="13"/>
        <v>666</v>
      </c>
      <c r="BK10" s="312">
        <f t="shared" si="5"/>
        <v>641</v>
      </c>
      <c r="BL10" s="312">
        <f t="shared" si="5"/>
        <v>538</v>
      </c>
      <c r="BM10" s="312">
        <f t="shared" si="5"/>
        <v>615</v>
      </c>
      <c r="BN10" s="312">
        <f t="shared" si="5"/>
        <v>589</v>
      </c>
      <c r="BO10" s="312">
        <f t="shared" si="5"/>
        <v>615</v>
      </c>
      <c r="BP10" s="312">
        <f t="shared" si="5"/>
        <v>666</v>
      </c>
      <c r="BQ10" s="312">
        <f t="shared" si="5"/>
        <v>436</v>
      </c>
      <c r="BR10" s="312">
        <f t="shared" si="5"/>
        <v>666</v>
      </c>
      <c r="BS10" s="312">
        <f t="shared" si="5"/>
        <v>615</v>
      </c>
      <c r="BT10" s="312">
        <f t="shared" si="5"/>
        <v>666</v>
      </c>
      <c r="BU10" s="312">
        <f t="shared" si="5"/>
        <v>641</v>
      </c>
      <c r="BV10" s="305">
        <f t="shared" si="14"/>
        <v>7354</v>
      </c>
      <c r="BX10" s="312">
        <f t="shared" si="15"/>
        <v>200</v>
      </c>
      <c r="BY10" s="312">
        <f t="shared" si="6"/>
        <v>200</v>
      </c>
      <c r="BZ10" s="312">
        <f t="shared" si="6"/>
        <v>200</v>
      </c>
      <c r="CA10" s="312">
        <f t="shared" si="6"/>
        <v>200</v>
      </c>
      <c r="CB10" s="312">
        <f t="shared" si="6"/>
        <v>200</v>
      </c>
      <c r="CC10" s="312">
        <f t="shared" si="6"/>
        <v>200</v>
      </c>
      <c r="CD10" s="312">
        <f t="shared" si="6"/>
        <v>200</v>
      </c>
      <c r="CE10" s="312">
        <f t="shared" si="6"/>
        <v>200</v>
      </c>
      <c r="CF10" s="312">
        <f t="shared" si="6"/>
        <v>200</v>
      </c>
      <c r="CG10" s="312">
        <f t="shared" si="6"/>
        <v>200</v>
      </c>
      <c r="CH10" s="312">
        <f t="shared" si="16"/>
        <v>300</v>
      </c>
      <c r="CI10" s="312">
        <f t="shared" si="6"/>
        <v>200</v>
      </c>
      <c r="CJ10" s="312">
        <f t="shared" si="17"/>
        <v>2500</v>
      </c>
    </row>
    <row r="11" spans="2:88" ht="20.100000000000001" customHeight="1">
      <c r="B11" s="319">
        <v>5</v>
      </c>
      <c r="C11" s="315" t="s">
        <v>1727</v>
      </c>
      <c r="D11" s="316" t="s">
        <v>1732</v>
      </c>
      <c r="E11" s="317">
        <v>20500</v>
      </c>
      <c r="F11" s="317">
        <v>20500</v>
      </c>
      <c r="G11" s="317">
        <v>19712</v>
      </c>
      <c r="H11" s="317">
        <v>21288</v>
      </c>
      <c r="I11" s="317">
        <v>18922</v>
      </c>
      <c r="J11" s="317">
        <v>18922</v>
      </c>
      <c r="K11" s="317">
        <v>19712</v>
      </c>
      <c r="L11" s="317">
        <v>19712</v>
      </c>
      <c r="M11" s="317">
        <v>20500</v>
      </c>
      <c r="N11" s="317">
        <v>20500</v>
      </c>
      <c r="O11" s="317">
        <v>20500</v>
      </c>
      <c r="P11" s="317">
        <v>19712</v>
      </c>
      <c r="Q11" s="318">
        <f t="shared" si="0"/>
        <v>240480</v>
      </c>
      <c r="R11" s="318">
        <f t="shared" si="1"/>
        <v>20032</v>
      </c>
      <c r="T11" s="312">
        <f t="shared" si="7"/>
        <v>1800</v>
      </c>
      <c r="U11" s="312">
        <f t="shared" si="7"/>
        <v>1800</v>
      </c>
      <c r="V11" s="312">
        <f t="shared" si="2"/>
        <v>1800</v>
      </c>
      <c r="W11" s="312">
        <f t="shared" si="2"/>
        <v>1800</v>
      </c>
      <c r="X11" s="312">
        <f t="shared" si="2"/>
        <v>1800</v>
      </c>
      <c r="Y11" s="312">
        <f t="shared" si="2"/>
        <v>1800</v>
      </c>
      <c r="Z11" s="312">
        <f t="shared" si="2"/>
        <v>1800</v>
      </c>
      <c r="AA11" s="312">
        <f t="shared" si="2"/>
        <v>1800</v>
      </c>
      <c r="AB11" s="312">
        <f t="shared" si="2"/>
        <v>1800</v>
      </c>
      <c r="AC11" s="312">
        <f t="shared" si="2"/>
        <v>1800</v>
      </c>
      <c r="AD11" s="312">
        <f t="shared" si="2"/>
        <v>1800</v>
      </c>
      <c r="AE11" s="312">
        <f t="shared" si="2"/>
        <v>1800</v>
      </c>
      <c r="AF11" s="305">
        <f t="shared" si="8"/>
        <v>21600</v>
      </c>
      <c r="AH11" s="312">
        <f t="shared" si="9"/>
        <v>1950</v>
      </c>
      <c r="AI11" s="312">
        <f t="shared" si="3"/>
        <v>1950</v>
      </c>
      <c r="AJ11" s="312">
        <f t="shared" si="3"/>
        <v>1950</v>
      </c>
      <c r="AK11" s="312">
        <f t="shared" si="3"/>
        <v>1950</v>
      </c>
      <c r="AL11" s="312">
        <f t="shared" si="3"/>
        <v>1950</v>
      </c>
      <c r="AM11" s="312">
        <f t="shared" si="3"/>
        <v>1950</v>
      </c>
      <c r="AN11" s="312">
        <f t="shared" si="3"/>
        <v>1950</v>
      </c>
      <c r="AO11" s="312">
        <f t="shared" si="3"/>
        <v>1950</v>
      </c>
      <c r="AP11" s="312">
        <f t="shared" si="3"/>
        <v>1950</v>
      </c>
      <c r="AQ11" s="312">
        <f t="shared" si="3"/>
        <v>1950</v>
      </c>
      <c r="AR11" s="312">
        <f t="shared" si="3"/>
        <v>1950</v>
      </c>
      <c r="AS11" s="312">
        <f t="shared" si="3"/>
        <v>1950</v>
      </c>
      <c r="AT11" s="305">
        <f t="shared" si="10"/>
        <v>23400</v>
      </c>
      <c r="AV11" s="312">
        <f t="shared" si="11"/>
        <v>154</v>
      </c>
      <c r="AW11" s="312">
        <f t="shared" si="4"/>
        <v>154</v>
      </c>
      <c r="AX11" s="312">
        <f t="shared" si="4"/>
        <v>148</v>
      </c>
      <c r="AY11" s="312">
        <f t="shared" si="4"/>
        <v>0</v>
      </c>
      <c r="AZ11" s="312">
        <f t="shared" si="4"/>
        <v>142</v>
      </c>
      <c r="BA11" s="312">
        <f t="shared" si="4"/>
        <v>142</v>
      </c>
      <c r="BB11" s="312">
        <f t="shared" si="4"/>
        <v>148</v>
      </c>
      <c r="BC11" s="312">
        <f t="shared" si="4"/>
        <v>148</v>
      </c>
      <c r="BD11" s="312">
        <f t="shared" si="4"/>
        <v>154</v>
      </c>
      <c r="BE11" s="312">
        <f t="shared" si="4"/>
        <v>154</v>
      </c>
      <c r="BF11" s="312">
        <f t="shared" si="4"/>
        <v>154</v>
      </c>
      <c r="BG11" s="312">
        <f t="shared" si="4"/>
        <v>148</v>
      </c>
      <c r="BH11" s="305">
        <f t="shared" si="12"/>
        <v>1646</v>
      </c>
      <c r="BJ11" s="312">
        <f t="shared" si="13"/>
        <v>666</v>
      </c>
      <c r="BK11" s="312">
        <f t="shared" si="5"/>
        <v>666</v>
      </c>
      <c r="BL11" s="312">
        <f t="shared" si="5"/>
        <v>641</v>
      </c>
      <c r="BM11" s="312">
        <f t="shared" si="5"/>
        <v>0</v>
      </c>
      <c r="BN11" s="312">
        <f t="shared" si="5"/>
        <v>615</v>
      </c>
      <c r="BO11" s="312">
        <f t="shared" si="5"/>
        <v>615</v>
      </c>
      <c r="BP11" s="312">
        <f t="shared" si="5"/>
        <v>641</v>
      </c>
      <c r="BQ11" s="312">
        <f t="shared" si="5"/>
        <v>641</v>
      </c>
      <c r="BR11" s="312">
        <f t="shared" si="5"/>
        <v>666</v>
      </c>
      <c r="BS11" s="312">
        <f t="shared" si="5"/>
        <v>666</v>
      </c>
      <c r="BT11" s="312">
        <f t="shared" si="5"/>
        <v>666</v>
      </c>
      <c r="BU11" s="312">
        <f t="shared" si="5"/>
        <v>641</v>
      </c>
      <c r="BV11" s="305">
        <f t="shared" si="14"/>
        <v>7124</v>
      </c>
      <c r="BX11" s="312">
        <f t="shared" si="15"/>
        <v>200</v>
      </c>
      <c r="BY11" s="312">
        <f t="shared" si="6"/>
        <v>200</v>
      </c>
      <c r="BZ11" s="312">
        <f t="shared" si="6"/>
        <v>200</v>
      </c>
      <c r="CA11" s="312">
        <f t="shared" si="6"/>
        <v>200</v>
      </c>
      <c r="CB11" s="312">
        <f t="shared" si="6"/>
        <v>200</v>
      </c>
      <c r="CC11" s="312">
        <f t="shared" si="6"/>
        <v>200</v>
      </c>
      <c r="CD11" s="312">
        <f t="shared" si="6"/>
        <v>200</v>
      </c>
      <c r="CE11" s="312">
        <f t="shared" si="6"/>
        <v>200</v>
      </c>
      <c r="CF11" s="312">
        <f t="shared" si="6"/>
        <v>200</v>
      </c>
      <c r="CG11" s="312">
        <f t="shared" si="6"/>
        <v>200</v>
      </c>
      <c r="CH11" s="312">
        <f t="shared" si="16"/>
        <v>300</v>
      </c>
      <c r="CI11" s="312">
        <f t="shared" si="6"/>
        <v>200</v>
      </c>
      <c r="CJ11" s="312">
        <f t="shared" si="17"/>
        <v>2500</v>
      </c>
    </row>
    <row r="12" spans="2:88" ht="20.100000000000001" customHeight="1">
      <c r="B12" s="314">
        <v>6</v>
      </c>
      <c r="C12" s="315" t="s">
        <v>1727</v>
      </c>
      <c r="D12" s="316" t="s">
        <v>209</v>
      </c>
      <c r="E12" s="317">
        <v>12651</v>
      </c>
      <c r="F12" s="317">
        <v>9900</v>
      </c>
      <c r="G12" s="317">
        <v>3507</v>
      </c>
      <c r="H12" s="317">
        <v>0</v>
      </c>
      <c r="I12" s="317">
        <v>0</v>
      </c>
      <c r="J12" s="317">
        <v>0</v>
      </c>
      <c r="K12" s="317">
        <v>0</v>
      </c>
      <c r="L12" s="317">
        <v>8800</v>
      </c>
      <c r="M12" s="317">
        <v>14851</v>
      </c>
      <c r="N12" s="317">
        <v>13200</v>
      </c>
      <c r="O12" s="317">
        <v>14300</v>
      </c>
      <c r="P12" s="317">
        <v>13200</v>
      </c>
      <c r="Q12" s="318">
        <f t="shared" si="0"/>
        <v>90409</v>
      </c>
      <c r="R12" s="318">
        <f t="shared" si="1"/>
        <v>7531</v>
      </c>
      <c r="T12" s="312">
        <f t="shared" si="7"/>
        <v>1518</v>
      </c>
      <c r="U12" s="312">
        <f t="shared" si="7"/>
        <v>1188</v>
      </c>
      <c r="V12" s="312">
        <f t="shared" si="2"/>
        <v>421</v>
      </c>
      <c r="W12" s="312">
        <f t="shared" si="2"/>
        <v>0</v>
      </c>
      <c r="X12" s="312">
        <f t="shared" si="2"/>
        <v>0</v>
      </c>
      <c r="Y12" s="312">
        <f t="shared" si="2"/>
        <v>0</v>
      </c>
      <c r="Z12" s="312">
        <f t="shared" si="2"/>
        <v>0</v>
      </c>
      <c r="AA12" s="312">
        <f t="shared" si="2"/>
        <v>1056</v>
      </c>
      <c r="AB12" s="312">
        <f t="shared" si="2"/>
        <v>1782</v>
      </c>
      <c r="AC12" s="312">
        <f t="shared" si="2"/>
        <v>1584</v>
      </c>
      <c r="AD12" s="312">
        <f t="shared" si="2"/>
        <v>1716</v>
      </c>
      <c r="AE12" s="312">
        <f t="shared" si="2"/>
        <v>1584</v>
      </c>
      <c r="AF12" s="305">
        <f t="shared" si="8"/>
        <v>10849</v>
      </c>
      <c r="AH12" s="312">
        <f t="shared" si="9"/>
        <v>1645</v>
      </c>
      <c r="AI12" s="312">
        <f t="shared" si="3"/>
        <v>1287</v>
      </c>
      <c r="AJ12" s="312">
        <f t="shared" si="3"/>
        <v>456</v>
      </c>
      <c r="AK12" s="312">
        <f t="shared" si="3"/>
        <v>0</v>
      </c>
      <c r="AL12" s="312">
        <f t="shared" si="3"/>
        <v>0</v>
      </c>
      <c r="AM12" s="312">
        <f t="shared" si="3"/>
        <v>0</v>
      </c>
      <c r="AN12" s="312">
        <f t="shared" si="3"/>
        <v>0</v>
      </c>
      <c r="AO12" s="312">
        <f t="shared" si="3"/>
        <v>1144</v>
      </c>
      <c r="AP12" s="312">
        <f t="shared" si="3"/>
        <v>1931</v>
      </c>
      <c r="AQ12" s="312">
        <f t="shared" si="3"/>
        <v>1716</v>
      </c>
      <c r="AR12" s="312">
        <f t="shared" si="3"/>
        <v>1859</v>
      </c>
      <c r="AS12" s="312">
        <f t="shared" si="3"/>
        <v>1716</v>
      </c>
      <c r="AT12" s="305">
        <f t="shared" si="10"/>
        <v>11754</v>
      </c>
      <c r="AV12" s="312">
        <f t="shared" si="11"/>
        <v>95</v>
      </c>
      <c r="AW12" s="312">
        <f t="shared" si="4"/>
        <v>74</v>
      </c>
      <c r="AX12" s="312">
        <f t="shared" si="4"/>
        <v>26</v>
      </c>
      <c r="AY12" s="312">
        <f t="shared" si="4"/>
        <v>0</v>
      </c>
      <c r="AZ12" s="312">
        <f t="shared" si="4"/>
        <v>0</v>
      </c>
      <c r="BA12" s="312">
        <f t="shared" si="4"/>
        <v>0</v>
      </c>
      <c r="BB12" s="312">
        <f t="shared" si="4"/>
        <v>0</v>
      </c>
      <c r="BC12" s="312">
        <f t="shared" si="4"/>
        <v>66</v>
      </c>
      <c r="BD12" s="312">
        <f t="shared" si="4"/>
        <v>111</v>
      </c>
      <c r="BE12" s="312">
        <f t="shared" si="4"/>
        <v>99</v>
      </c>
      <c r="BF12" s="312">
        <f t="shared" si="4"/>
        <v>107</v>
      </c>
      <c r="BG12" s="312">
        <f t="shared" si="4"/>
        <v>99</v>
      </c>
      <c r="BH12" s="305">
        <f t="shared" si="12"/>
        <v>677</v>
      </c>
      <c r="BJ12" s="312">
        <f t="shared" si="13"/>
        <v>411</v>
      </c>
      <c r="BK12" s="312">
        <f t="shared" si="5"/>
        <v>322</v>
      </c>
      <c r="BL12" s="312">
        <f t="shared" si="5"/>
        <v>114</v>
      </c>
      <c r="BM12" s="312">
        <f t="shared" si="5"/>
        <v>0</v>
      </c>
      <c r="BN12" s="312">
        <f t="shared" si="5"/>
        <v>0</v>
      </c>
      <c r="BO12" s="312">
        <f t="shared" si="5"/>
        <v>0</v>
      </c>
      <c r="BP12" s="312">
        <f t="shared" si="5"/>
        <v>0</v>
      </c>
      <c r="BQ12" s="312">
        <f t="shared" si="5"/>
        <v>286</v>
      </c>
      <c r="BR12" s="312">
        <f t="shared" si="5"/>
        <v>483</v>
      </c>
      <c r="BS12" s="312">
        <f t="shared" si="5"/>
        <v>429</v>
      </c>
      <c r="BT12" s="312">
        <f t="shared" si="5"/>
        <v>465</v>
      </c>
      <c r="BU12" s="312">
        <f t="shared" si="5"/>
        <v>429</v>
      </c>
      <c r="BV12" s="305">
        <f t="shared" si="14"/>
        <v>2939</v>
      </c>
      <c r="BX12" s="312">
        <f t="shared" si="15"/>
        <v>200</v>
      </c>
      <c r="BY12" s="312">
        <f t="shared" si="6"/>
        <v>175</v>
      </c>
      <c r="BZ12" s="312">
        <f t="shared" si="6"/>
        <v>175</v>
      </c>
      <c r="CA12" s="312">
        <f t="shared" si="6"/>
        <v>0</v>
      </c>
      <c r="CB12" s="312">
        <f t="shared" si="6"/>
        <v>0</v>
      </c>
      <c r="CC12" s="312">
        <f t="shared" si="6"/>
        <v>0</v>
      </c>
      <c r="CD12" s="312">
        <f t="shared" si="6"/>
        <v>0</v>
      </c>
      <c r="CE12" s="312">
        <f t="shared" si="6"/>
        <v>175</v>
      </c>
      <c r="CF12" s="312">
        <f t="shared" si="6"/>
        <v>200</v>
      </c>
      <c r="CG12" s="312">
        <f t="shared" si="6"/>
        <v>200</v>
      </c>
      <c r="CH12" s="312">
        <f t="shared" si="16"/>
        <v>300</v>
      </c>
      <c r="CI12" s="312">
        <f t="shared" si="6"/>
        <v>200</v>
      </c>
      <c r="CJ12" s="312">
        <f t="shared" si="17"/>
        <v>1625</v>
      </c>
    </row>
    <row r="13" spans="2:88" ht="20.100000000000001" customHeight="1">
      <c r="B13" s="319">
        <v>7</v>
      </c>
      <c r="C13" s="315" t="s">
        <v>1727</v>
      </c>
      <c r="D13" s="316" t="s">
        <v>1733</v>
      </c>
      <c r="E13" s="317">
        <v>13751</v>
      </c>
      <c r="F13" s="317">
        <v>13200</v>
      </c>
      <c r="G13" s="317">
        <v>14300</v>
      </c>
      <c r="H13" s="317">
        <v>12651</v>
      </c>
      <c r="I13" s="317">
        <v>14851</v>
      </c>
      <c r="J13" s="317">
        <v>12651</v>
      </c>
      <c r="K13" s="317">
        <v>12651</v>
      </c>
      <c r="L13" s="317">
        <v>12100</v>
      </c>
      <c r="M13" s="317">
        <v>13200</v>
      </c>
      <c r="N13" s="317">
        <v>13751</v>
      </c>
      <c r="O13" s="317">
        <v>14300</v>
      </c>
      <c r="P13" s="317">
        <v>14300</v>
      </c>
      <c r="Q13" s="318">
        <f t="shared" si="0"/>
        <v>161706</v>
      </c>
      <c r="R13" s="318">
        <f t="shared" si="1"/>
        <v>13470</v>
      </c>
      <c r="T13" s="312">
        <f t="shared" si="7"/>
        <v>1650</v>
      </c>
      <c r="U13" s="312">
        <f t="shared" si="7"/>
        <v>1584</v>
      </c>
      <c r="V13" s="312">
        <f t="shared" si="2"/>
        <v>1716</v>
      </c>
      <c r="W13" s="312">
        <f t="shared" si="2"/>
        <v>1518</v>
      </c>
      <c r="X13" s="312">
        <f t="shared" si="2"/>
        <v>1782</v>
      </c>
      <c r="Y13" s="312">
        <f t="shared" si="2"/>
        <v>1518</v>
      </c>
      <c r="Z13" s="312">
        <f t="shared" si="2"/>
        <v>1518</v>
      </c>
      <c r="AA13" s="312">
        <f t="shared" si="2"/>
        <v>1452</v>
      </c>
      <c r="AB13" s="312">
        <f t="shared" si="2"/>
        <v>1584</v>
      </c>
      <c r="AC13" s="312">
        <f t="shared" si="2"/>
        <v>1650</v>
      </c>
      <c r="AD13" s="312">
        <f t="shared" si="2"/>
        <v>1716</v>
      </c>
      <c r="AE13" s="312">
        <f t="shared" si="2"/>
        <v>1716</v>
      </c>
      <c r="AF13" s="305">
        <f t="shared" si="8"/>
        <v>19404</v>
      </c>
      <c r="AH13" s="312">
        <f t="shared" si="9"/>
        <v>1788</v>
      </c>
      <c r="AI13" s="312">
        <f t="shared" si="3"/>
        <v>1716</v>
      </c>
      <c r="AJ13" s="312">
        <f t="shared" si="3"/>
        <v>1859</v>
      </c>
      <c r="AK13" s="312">
        <f t="shared" si="3"/>
        <v>1645</v>
      </c>
      <c r="AL13" s="312">
        <f t="shared" si="3"/>
        <v>1931</v>
      </c>
      <c r="AM13" s="312">
        <f t="shared" si="3"/>
        <v>1645</v>
      </c>
      <c r="AN13" s="312">
        <f t="shared" si="3"/>
        <v>1645</v>
      </c>
      <c r="AO13" s="312">
        <f t="shared" si="3"/>
        <v>1573</v>
      </c>
      <c r="AP13" s="312">
        <f t="shared" si="3"/>
        <v>1716</v>
      </c>
      <c r="AQ13" s="312">
        <f t="shared" si="3"/>
        <v>1788</v>
      </c>
      <c r="AR13" s="312">
        <f t="shared" si="3"/>
        <v>1859</v>
      </c>
      <c r="AS13" s="312">
        <f t="shared" si="3"/>
        <v>1859</v>
      </c>
      <c r="AT13" s="305">
        <f t="shared" si="10"/>
        <v>21024</v>
      </c>
      <c r="AV13" s="312">
        <f t="shared" si="11"/>
        <v>103</v>
      </c>
      <c r="AW13" s="312">
        <f t="shared" si="4"/>
        <v>99</v>
      </c>
      <c r="AX13" s="312">
        <f t="shared" si="4"/>
        <v>107</v>
      </c>
      <c r="AY13" s="312">
        <f t="shared" si="4"/>
        <v>95</v>
      </c>
      <c r="AZ13" s="312">
        <f t="shared" si="4"/>
        <v>111</v>
      </c>
      <c r="BA13" s="312">
        <f t="shared" si="4"/>
        <v>95</v>
      </c>
      <c r="BB13" s="312">
        <f t="shared" si="4"/>
        <v>95</v>
      </c>
      <c r="BC13" s="312">
        <f t="shared" si="4"/>
        <v>91</v>
      </c>
      <c r="BD13" s="312">
        <f t="shared" si="4"/>
        <v>99</v>
      </c>
      <c r="BE13" s="312">
        <f t="shared" si="4"/>
        <v>103</v>
      </c>
      <c r="BF13" s="312">
        <f t="shared" si="4"/>
        <v>107</v>
      </c>
      <c r="BG13" s="312">
        <f t="shared" si="4"/>
        <v>107</v>
      </c>
      <c r="BH13" s="305">
        <f t="shared" si="12"/>
        <v>1212</v>
      </c>
      <c r="BJ13" s="312">
        <f t="shared" si="13"/>
        <v>447</v>
      </c>
      <c r="BK13" s="312">
        <f t="shared" si="5"/>
        <v>429</v>
      </c>
      <c r="BL13" s="312">
        <f t="shared" si="5"/>
        <v>465</v>
      </c>
      <c r="BM13" s="312">
        <f t="shared" si="5"/>
        <v>411</v>
      </c>
      <c r="BN13" s="312">
        <f t="shared" si="5"/>
        <v>483</v>
      </c>
      <c r="BO13" s="312">
        <f t="shared" si="5"/>
        <v>411</v>
      </c>
      <c r="BP13" s="312">
        <f t="shared" si="5"/>
        <v>411</v>
      </c>
      <c r="BQ13" s="312">
        <f t="shared" si="5"/>
        <v>393</v>
      </c>
      <c r="BR13" s="312">
        <f t="shared" si="5"/>
        <v>429</v>
      </c>
      <c r="BS13" s="312">
        <f t="shared" si="5"/>
        <v>447</v>
      </c>
      <c r="BT13" s="312">
        <f t="shared" si="5"/>
        <v>465</v>
      </c>
      <c r="BU13" s="312">
        <f t="shared" si="5"/>
        <v>465</v>
      </c>
      <c r="BV13" s="305">
        <f t="shared" si="14"/>
        <v>5256</v>
      </c>
      <c r="BX13" s="312">
        <f t="shared" si="15"/>
        <v>200</v>
      </c>
      <c r="BY13" s="312">
        <f t="shared" si="6"/>
        <v>200</v>
      </c>
      <c r="BZ13" s="312">
        <f t="shared" si="6"/>
        <v>200</v>
      </c>
      <c r="CA13" s="312">
        <f t="shared" si="6"/>
        <v>200</v>
      </c>
      <c r="CB13" s="312">
        <f t="shared" si="6"/>
        <v>200</v>
      </c>
      <c r="CC13" s="312">
        <f t="shared" si="6"/>
        <v>200</v>
      </c>
      <c r="CD13" s="312">
        <f t="shared" si="6"/>
        <v>200</v>
      </c>
      <c r="CE13" s="312">
        <f t="shared" si="6"/>
        <v>200</v>
      </c>
      <c r="CF13" s="312">
        <f t="shared" si="6"/>
        <v>200</v>
      </c>
      <c r="CG13" s="312">
        <f t="shared" si="6"/>
        <v>200</v>
      </c>
      <c r="CH13" s="312">
        <f t="shared" si="16"/>
        <v>300</v>
      </c>
      <c r="CI13" s="312">
        <f t="shared" si="6"/>
        <v>200</v>
      </c>
      <c r="CJ13" s="312">
        <f t="shared" si="17"/>
        <v>2500</v>
      </c>
    </row>
    <row r="14" spans="2:88" ht="20.100000000000001" customHeight="1">
      <c r="B14" s="314">
        <v>8</v>
      </c>
      <c r="C14" s="315" t="s">
        <v>1727</v>
      </c>
      <c r="D14" s="316" t="s">
        <v>1734</v>
      </c>
      <c r="E14" s="317">
        <v>13200</v>
      </c>
      <c r="F14" s="317">
        <v>14300</v>
      </c>
      <c r="G14" s="317">
        <v>14300</v>
      </c>
      <c r="H14" s="317">
        <v>14300</v>
      </c>
      <c r="I14" s="317">
        <v>13200</v>
      </c>
      <c r="J14" s="317">
        <v>13200</v>
      </c>
      <c r="K14" s="317">
        <v>14851</v>
      </c>
      <c r="L14" s="317">
        <v>12651</v>
      </c>
      <c r="M14" s="317">
        <v>13751</v>
      </c>
      <c r="N14" s="317">
        <v>14851</v>
      </c>
      <c r="O14" s="317">
        <v>12100</v>
      </c>
      <c r="P14" s="317">
        <v>13200</v>
      </c>
      <c r="Q14" s="318">
        <f t="shared" si="0"/>
        <v>163904</v>
      </c>
      <c r="R14" s="318">
        <f t="shared" si="1"/>
        <v>13653</v>
      </c>
      <c r="T14" s="312">
        <f t="shared" si="7"/>
        <v>1584</v>
      </c>
      <c r="U14" s="312">
        <f t="shared" si="7"/>
        <v>1716</v>
      </c>
      <c r="V14" s="312">
        <f t="shared" si="2"/>
        <v>1716</v>
      </c>
      <c r="W14" s="312">
        <f t="shared" si="2"/>
        <v>1716</v>
      </c>
      <c r="X14" s="312">
        <f t="shared" si="2"/>
        <v>1584</v>
      </c>
      <c r="Y14" s="312">
        <f t="shared" si="2"/>
        <v>1584</v>
      </c>
      <c r="Z14" s="312">
        <f t="shared" si="2"/>
        <v>1782</v>
      </c>
      <c r="AA14" s="312">
        <f t="shared" si="2"/>
        <v>1518</v>
      </c>
      <c r="AB14" s="312">
        <f t="shared" si="2"/>
        <v>1650</v>
      </c>
      <c r="AC14" s="312">
        <f t="shared" si="2"/>
        <v>1782</v>
      </c>
      <c r="AD14" s="312">
        <f t="shared" si="2"/>
        <v>1452</v>
      </c>
      <c r="AE14" s="312">
        <f t="shared" si="2"/>
        <v>1584</v>
      </c>
      <c r="AF14" s="305">
        <f t="shared" si="8"/>
        <v>19668</v>
      </c>
      <c r="AH14" s="312">
        <f t="shared" si="9"/>
        <v>1716</v>
      </c>
      <c r="AI14" s="312">
        <f t="shared" si="3"/>
        <v>1859</v>
      </c>
      <c r="AJ14" s="312">
        <f t="shared" si="3"/>
        <v>1859</v>
      </c>
      <c r="AK14" s="312">
        <f t="shared" si="3"/>
        <v>1859</v>
      </c>
      <c r="AL14" s="312">
        <f t="shared" si="3"/>
        <v>1716</v>
      </c>
      <c r="AM14" s="312">
        <f t="shared" si="3"/>
        <v>1716</v>
      </c>
      <c r="AN14" s="312">
        <f t="shared" si="3"/>
        <v>1931</v>
      </c>
      <c r="AO14" s="312">
        <f t="shared" si="3"/>
        <v>1645</v>
      </c>
      <c r="AP14" s="312">
        <f t="shared" si="3"/>
        <v>1788</v>
      </c>
      <c r="AQ14" s="312">
        <f t="shared" si="3"/>
        <v>1931</v>
      </c>
      <c r="AR14" s="312">
        <f t="shared" si="3"/>
        <v>1573</v>
      </c>
      <c r="AS14" s="312">
        <f t="shared" si="3"/>
        <v>1716</v>
      </c>
      <c r="AT14" s="305">
        <f t="shared" si="10"/>
        <v>21309</v>
      </c>
      <c r="AV14" s="312">
        <f t="shared" si="11"/>
        <v>99</v>
      </c>
      <c r="AW14" s="312">
        <f t="shared" si="4"/>
        <v>107</v>
      </c>
      <c r="AX14" s="312">
        <f t="shared" si="4"/>
        <v>107</v>
      </c>
      <c r="AY14" s="312">
        <f t="shared" si="4"/>
        <v>107</v>
      </c>
      <c r="AZ14" s="312">
        <f t="shared" si="4"/>
        <v>99</v>
      </c>
      <c r="BA14" s="312">
        <f t="shared" si="4"/>
        <v>99</v>
      </c>
      <c r="BB14" s="312">
        <f t="shared" si="4"/>
        <v>111</v>
      </c>
      <c r="BC14" s="312">
        <f t="shared" si="4"/>
        <v>95</v>
      </c>
      <c r="BD14" s="312">
        <f t="shared" si="4"/>
        <v>103</v>
      </c>
      <c r="BE14" s="312">
        <f t="shared" si="4"/>
        <v>111</v>
      </c>
      <c r="BF14" s="312">
        <f t="shared" si="4"/>
        <v>91</v>
      </c>
      <c r="BG14" s="312">
        <f t="shared" si="4"/>
        <v>99</v>
      </c>
      <c r="BH14" s="305">
        <f t="shared" si="12"/>
        <v>1228</v>
      </c>
      <c r="BJ14" s="312">
        <f t="shared" si="13"/>
        <v>429</v>
      </c>
      <c r="BK14" s="312">
        <f t="shared" si="5"/>
        <v>465</v>
      </c>
      <c r="BL14" s="312">
        <f t="shared" si="5"/>
        <v>465</v>
      </c>
      <c r="BM14" s="312">
        <f t="shared" si="5"/>
        <v>465</v>
      </c>
      <c r="BN14" s="312">
        <f t="shared" si="5"/>
        <v>429</v>
      </c>
      <c r="BO14" s="312">
        <f t="shared" si="5"/>
        <v>429</v>
      </c>
      <c r="BP14" s="312">
        <f t="shared" si="5"/>
        <v>483</v>
      </c>
      <c r="BQ14" s="312">
        <f t="shared" si="5"/>
        <v>411</v>
      </c>
      <c r="BR14" s="312">
        <f t="shared" si="5"/>
        <v>447</v>
      </c>
      <c r="BS14" s="312">
        <f t="shared" si="5"/>
        <v>483</v>
      </c>
      <c r="BT14" s="312">
        <f t="shared" si="5"/>
        <v>393</v>
      </c>
      <c r="BU14" s="312">
        <f t="shared" si="5"/>
        <v>429</v>
      </c>
      <c r="BV14" s="305">
        <f t="shared" si="14"/>
        <v>5328</v>
      </c>
      <c r="BX14" s="312">
        <f t="shared" si="15"/>
        <v>200</v>
      </c>
      <c r="BY14" s="312">
        <f t="shared" si="6"/>
        <v>200</v>
      </c>
      <c r="BZ14" s="312">
        <f t="shared" si="6"/>
        <v>200</v>
      </c>
      <c r="CA14" s="312">
        <f t="shared" si="6"/>
        <v>200</v>
      </c>
      <c r="CB14" s="312">
        <f t="shared" si="6"/>
        <v>200</v>
      </c>
      <c r="CC14" s="312">
        <f t="shared" si="6"/>
        <v>200</v>
      </c>
      <c r="CD14" s="312">
        <f t="shared" si="6"/>
        <v>200</v>
      </c>
      <c r="CE14" s="312">
        <f t="shared" si="6"/>
        <v>200</v>
      </c>
      <c r="CF14" s="312">
        <f t="shared" si="6"/>
        <v>200</v>
      </c>
      <c r="CG14" s="312">
        <f t="shared" si="6"/>
        <v>200</v>
      </c>
      <c r="CH14" s="312">
        <f t="shared" si="16"/>
        <v>300</v>
      </c>
      <c r="CI14" s="312">
        <f t="shared" si="6"/>
        <v>200</v>
      </c>
      <c r="CJ14" s="312">
        <f t="shared" si="17"/>
        <v>2500</v>
      </c>
    </row>
    <row r="15" spans="2:88" ht="20.100000000000001" customHeight="1">
      <c r="B15" s="319">
        <v>9</v>
      </c>
      <c r="C15" s="315" t="s">
        <v>1727</v>
      </c>
      <c r="D15" s="316" t="s">
        <v>1735</v>
      </c>
      <c r="E15" s="317">
        <v>11085</v>
      </c>
      <c r="F15" s="317">
        <v>12092</v>
      </c>
      <c r="G15" s="317">
        <v>11588</v>
      </c>
      <c r="H15" s="317">
        <v>8566</v>
      </c>
      <c r="I15" s="317">
        <v>13604</v>
      </c>
      <c r="J15" s="317">
        <v>11588</v>
      </c>
      <c r="K15" s="317">
        <v>9573</v>
      </c>
      <c r="L15" s="317">
        <v>8566</v>
      </c>
      <c r="M15" s="317">
        <v>12596</v>
      </c>
      <c r="N15" s="317">
        <v>12596</v>
      </c>
      <c r="O15" s="317">
        <v>11085</v>
      </c>
      <c r="P15" s="317">
        <v>11085</v>
      </c>
      <c r="Q15" s="318">
        <f t="shared" si="0"/>
        <v>134024</v>
      </c>
      <c r="R15" s="318">
        <f t="shared" si="1"/>
        <v>11164</v>
      </c>
      <c r="T15" s="312">
        <f t="shared" si="7"/>
        <v>1330</v>
      </c>
      <c r="U15" s="312">
        <f t="shared" si="7"/>
        <v>1451</v>
      </c>
      <c r="V15" s="312">
        <f t="shared" si="2"/>
        <v>1391</v>
      </c>
      <c r="W15" s="312">
        <f t="shared" si="2"/>
        <v>1028</v>
      </c>
      <c r="X15" s="312">
        <f t="shared" si="2"/>
        <v>1632</v>
      </c>
      <c r="Y15" s="312">
        <f t="shared" si="2"/>
        <v>1391</v>
      </c>
      <c r="Z15" s="312">
        <f t="shared" si="2"/>
        <v>1149</v>
      </c>
      <c r="AA15" s="312">
        <f t="shared" si="2"/>
        <v>1028</v>
      </c>
      <c r="AB15" s="312">
        <f t="shared" si="2"/>
        <v>1512</v>
      </c>
      <c r="AC15" s="312">
        <f t="shared" si="2"/>
        <v>1512</v>
      </c>
      <c r="AD15" s="312">
        <f t="shared" si="2"/>
        <v>1330</v>
      </c>
      <c r="AE15" s="312">
        <f t="shared" si="2"/>
        <v>1330</v>
      </c>
      <c r="AF15" s="305">
        <f t="shared" si="8"/>
        <v>16084</v>
      </c>
      <c r="AH15" s="312">
        <f t="shared" si="9"/>
        <v>1441</v>
      </c>
      <c r="AI15" s="312">
        <f t="shared" si="3"/>
        <v>1572</v>
      </c>
      <c r="AJ15" s="312">
        <f t="shared" si="3"/>
        <v>1506</v>
      </c>
      <c r="AK15" s="312">
        <f t="shared" si="3"/>
        <v>1114</v>
      </c>
      <c r="AL15" s="312">
        <f t="shared" si="3"/>
        <v>1769</v>
      </c>
      <c r="AM15" s="312">
        <f t="shared" si="3"/>
        <v>1506</v>
      </c>
      <c r="AN15" s="312">
        <f t="shared" si="3"/>
        <v>1244</v>
      </c>
      <c r="AO15" s="312">
        <f t="shared" si="3"/>
        <v>1114</v>
      </c>
      <c r="AP15" s="312">
        <f t="shared" si="3"/>
        <v>1637</v>
      </c>
      <c r="AQ15" s="312">
        <f t="shared" si="3"/>
        <v>1637</v>
      </c>
      <c r="AR15" s="312">
        <f t="shared" si="3"/>
        <v>1441</v>
      </c>
      <c r="AS15" s="312">
        <f t="shared" si="3"/>
        <v>1441</v>
      </c>
      <c r="AT15" s="305">
        <f t="shared" si="10"/>
        <v>17422</v>
      </c>
      <c r="AV15" s="312">
        <f t="shared" si="11"/>
        <v>83</v>
      </c>
      <c r="AW15" s="312">
        <f t="shared" si="4"/>
        <v>91</v>
      </c>
      <c r="AX15" s="312">
        <f t="shared" si="4"/>
        <v>87</v>
      </c>
      <c r="AY15" s="312">
        <f t="shared" si="4"/>
        <v>64</v>
      </c>
      <c r="AZ15" s="312">
        <f t="shared" si="4"/>
        <v>102</v>
      </c>
      <c r="BA15" s="312">
        <f t="shared" si="4"/>
        <v>87</v>
      </c>
      <c r="BB15" s="312">
        <f t="shared" si="4"/>
        <v>72</v>
      </c>
      <c r="BC15" s="312">
        <f t="shared" si="4"/>
        <v>64</v>
      </c>
      <c r="BD15" s="312">
        <f t="shared" si="4"/>
        <v>94</v>
      </c>
      <c r="BE15" s="312">
        <f t="shared" si="4"/>
        <v>94</v>
      </c>
      <c r="BF15" s="312">
        <f t="shared" si="4"/>
        <v>83</v>
      </c>
      <c r="BG15" s="312">
        <f t="shared" si="4"/>
        <v>83</v>
      </c>
      <c r="BH15" s="305">
        <f t="shared" si="12"/>
        <v>1004</v>
      </c>
      <c r="BJ15" s="312">
        <f t="shared" si="13"/>
        <v>360</v>
      </c>
      <c r="BK15" s="312">
        <f t="shared" si="5"/>
        <v>393</v>
      </c>
      <c r="BL15" s="312">
        <f t="shared" si="5"/>
        <v>377</v>
      </c>
      <c r="BM15" s="312">
        <f t="shared" si="5"/>
        <v>278</v>
      </c>
      <c r="BN15" s="312">
        <f t="shared" si="5"/>
        <v>442</v>
      </c>
      <c r="BO15" s="312">
        <f t="shared" si="5"/>
        <v>377</v>
      </c>
      <c r="BP15" s="312">
        <f t="shared" si="5"/>
        <v>311</v>
      </c>
      <c r="BQ15" s="312">
        <f t="shared" si="5"/>
        <v>278</v>
      </c>
      <c r="BR15" s="312">
        <f t="shared" si="5"/>
        <v>409</v>
      </c>
      <c r="BS15" s="312">
        <f t="shared" si="5"/>
        <v>409</v>
      </c>
      <c r="BT15" s="312">
        <f t="shared" si="5"/>
        <v>360</v>
      </c>
      <c r="BU15" s="312">
        <f t="shared" si="5"/>
        <v>360</v>
      </c>
      <c r="BV15" s="305">
        <f t="shared" si="14"/>
        <v>4354</v>
      </c>
      <c r="BX15" s="312">
        <f t="shared" si="15"/>
        <v>200</v>
      </c>
      <c r="BY15" s="312">
        <f t="shared" si="6"/>
        <v>200</v>
      </c>
      <c r="BZ15" s="312">
        <f t="shared" si="6"/>
        <v>200</v>
      </c>
      <c r="CA15" s="312">
        <f t="shared" si="6"/>
        <v>175</v>
      </c>
      <c r="CB15" s="312">
        <f t="shared" si="6"/>
        <v>200</v>
      </c>
      <c r="CC15" s="312">
        <f t="shared" si="6"/>
        <v>200</v>
      </c>
      <c r="CD15" s="312">
        <f t="shared" si="6"/>
        <v>175</v>
      </c>
      <c r="CE15" s="312">
        <f t="shared" si="6"/>
        <v>175</v>
      </c>
      <c r="CF15" s="312">
        <f t="shared" si="6"/>
        <v>200</v>
      </c>
      <c r="CG15" s="312">
        <f t="shared" si="6"/>
        <v>200</v>
      </c>
      <c r="CH15" s="312">
        <f t="shared" si="16"/>
        <v>300</v>
      </c>
      <c r="CI15" s="312">
        <f t="shared" si="6"/>
        <v>200</v>
      </c>
      <c r="CJ15" s="312">
        <f t="shared" si="17"/>
        <v>2425</v>
      </c>
    </row>
    <row r="16" spans="2:88" ht="20.100000000000001" customHeight="1">
      <c r="B16" s="314">
        <v>10</v>
      </c>
      <c r="C16" s="315" t="s">
        <v>1727</v>
      </c>
      <c r="D16" s="316" t="s">
        <v>1736</v>
      </c>
      <c r="E16" s="317">
        <v>12788</v>
      </c>
      <c r="F16" s="317">
        <v>11766</v>
      </c>
      <c r="G16" s="317">
        <v>12278</v>
      </c>
      <c r="H16" s="317">
        <v>12278</v>
      </c>
      <c r="I16" s="317">
        <v>10741</v>
      </c>
      <c r="J16" s="317">
        <v>11766</v>
      </c>
      <c r="K16" s="317">
        <v>13300</v>
      </c>
      <c r="L16" s="317">
        <v>10741</v>
      </c>
      <c r="M16" s="317">
        <v>12278</v>
      </c>
      <c r="N16" s="317">
        <v>11766</v>
      </c>
      <c r="O16" s="317">
        <v>9720</v>
      </c>
      <c r="P16" s="317">
        <v>13300</v>
      </c>
      <c r="Q16" s="318">
        <f t="shared" si="0"/>
        <v>142722</v>
      </c>
      <c r="R16" s="318">
        <f t="shared" si="1"/>
        <v>11889</v>
      </c>
      <c r="T16" s="312">
        <f t="shared" si="7"/>
        <v>1535</v>
      </c>
      <c r="U16" s="312">
        <f t="shared" si="7"/>
        <v>1412</v>
      </c>
      <c r="V16" s="312">
        <f t="shared" si="2"/>
        <v>1473</v>
      </c>
      <c r="W16" s="312">
        <f t="shared" si="2"/>
        <v>1473</v>
      </c>
      <c r="X16" s="312">
        <f t="shared" si="2"/>
        <v>1289</v>
      </c>
      <c r="Y16" s="312">
        <f t="shared" si="2"/>
        <v>1412</v>
      </c>
      <c r="Z16" s="312">
        <f t="shared" si="2"/>
        <v>1596</v>
      </c>
      <c r="AA16" s="312">
        <f t="shared" si="2"/>
        <v>1289</v>
      </c>
      <c r="AB16" s="312">
        <f t="shared" si="2"/>
        <v>1473</v>
      </c>
      <c r="AC16" s="312">
        <f t="shared" si="2"/>
        <v>1412</v>
      </c>
      <c r="AD16" s="312">
        <f t="shared" si="2"/>
        <v>1166</v>
      </c>
      <c r="AE16" s="312">
        <f t="shared" si="2"/>
        <v>1596</v>
      </c>
      <c r="AF16" s="305">
        <f t="shared" si="8"/>
        <v>17126</v>
      </c>
      <c r="AH16" s="312">
        <f t="shared" si="9"/>
        <v>1662</v>
      </c>
      <c r="AI16" s="312">
        <f t="shared" si="3"/>
        <v>1530</v>
      </c>
      <c r="AJ16" s="312">
        <f t="shared" si="3"/>
        <v>1596</v>
      </c>
      <c r="AK16" s="312">
        <f t="shared" si="3"/>
        <v>1596</v>
      </c>
      <c r="AL16" s="312">
        <f t="shared" si="3"/>
        <v>1396</v>
      </c>
      <c r="AM16" s="312">
        <f t="shared" si="3"/>
        <v>1530</v>
      </c>
      <c r="AN16" s="312">
        <f t="shared" si="3"/>
        <v>1729</v>
      </c>
      <c r="AO16" s="312">
        <f t="shared" si="3"/>
        <v>1396</v>
      </c>
      <c r="AP16" s="312">
        <f t="shared" si="3"/>
        <v>1596</v>
      </c>
      <c r="AQ16" s="312">
        <f t="shared" si="3"/>
        <v>1530</v>
      </c>
      <c r="AR16" s="312">
        <f t="shared" si="3"/>
        <v>1264</v>
      </c>
      <c r="AS16" s="312">
        <f t="shared" si="3"/>
        <v>1729</v>
      </c>
      <c r="AT16" s="305">
        <f t="shared" si="10"/>
        <v>18554</v>
      </c>
      <c r="AV16" s="312">
        <f t="shared" si="11"/>
        <v>96</v>
      </c>
      <c r="AW16" s="312">
        <f t="shared" si="4"/>
        <v>88</v>
      </c>
      <c r="AX16" s="312">
        <f t="shared" si="4"/>
        <v>92</v>
      </c>
      <c r="AY16" s="312">
        <f t="shared" si="4"/>
        <v>92</v>
      </c>
      <c r="AZ16" s="312">
        <f t="shared" si="4"/>
        <v>81</v>
      </c>
      <c r="BA16" s="312">
        <f t="shared" si="4"/>
        <v>88</v>
      </c>
      <c r="BB16" s="312">
        <f t="shared" si="4"/>
        <v>100</v>
      </c>
      <c r="BC16" s="312">
        <f t="shared" si="4"/>
        <v>81</v>
      </c>
      <c r="BD16" s="312">
        <f t="shared" si="4"/>
        <v>92</v>
      </c>
      <c r="BE16" s="312">
        <f t="shared" si="4"/>
        <v>88</v>
      </c>
      <c r="BF16" s="312">
        <f t="shared" si="4"/>
        <v>73</v>
      </c>
      <c r="BG16" s="312">
        <f t="shared" si="4"/>
        <v>100</v>
      </c>
      <c r="BH16" s="305">
        <f t="shared" si="12"/>
        <v>1071</v>
      </c>
      <c r="BJ16" s="312">
        <f t="shared" si="13"/>
        <v>416</v>
      </c>
      <c r="BK16" s="312">
        <f t="shared" si="5"/>
        <v>382</v>
      </c>
      <c r="BL16" s="312">
        <f t="shared" si="5"/>
        <v>399</v>
      </c>
      <c r="BM16" s="312">
        <f t="shared" si="5"/>
        <v>399</v>
      </c>
      <c r="BN16" s="312">
        <f t="shared" si="5"/>
        <v>349</v>
      </c>
      <c r="BO16" s="312">
        <f t="shared" si="5"/>
        <v>382</v>
      </c>
      <c r="BP16" s="312">
        <f t="shared" si="5"/>
        <v>432</v>
      </c>
      <c r="BQ16" s="312">
        <f t="shared" si="5"/>
        <v>349</v>
      </c>
      <c r="BR16" s="312">
        <f t="shared" si="5"/>
        <v>399</v>
      </c>
      <c r="BS16" s="312">
        <f t="shared" si="5"/>
        <v>382</v>
      </c>
      <c r="BT16" s="312">
        <f t="shared" si="5"/>
        <v>316</v>
      </c>
      <c r="BU16" s="312">
        <f t="shared" si="5"/>
        <v>432</v>
      </c>
      <c r="BV16" s="305">
        <f t="shared" si="14"/>
        <v>4637</v>
      </c>
      <c r="BX16" s="312">
        <f t="shared" si="15"/>
        <v>200</v>
      </c>
      <c r="BY16" s="312">
        <f t="shared" si="6"/>
        <v>200</v>
      </c>
      <c r="BZ16" s="312">
        <f t="shared" si="6"/>
        <v>200</v>
      </c>
      <c r="CA16" s="312">
        <f t="shared" si="6"/>
        <v>200</v>
      </c>
      <c r="CB16" s="312">
        <f t="shared" si="6"/>
        <v>200</v>
      </c>
      <c r="CC16" s="312">
        <f t="shared" si="6"/>
        <v>200</v>
      </c>
      <c r="CD16" s="312">
        <f t="shared" si="6"/>
        <v>200</v>
      </c>
      <c r="CE16" s="312">
        <f t="shared" si="6"/>
        <v>200</v>
      </c>
      <c r="CF16" s="312">
        <f t="shared" si="6"/>
        <v>200</v>
      </c>
      <c r="CG16" s="312">
        <f t="shared" si="6"/>
        <v>200</v>
      </c>
      <c r="CH16" s="312">
        <f t="shared" si="16"/>
        <v>175</v>
      </c>
      <c r="CI16" s="312">
        <f t="shared" si="6"/>
        <v>200</v>
      </c>
      <c r="CJ16" s="312">
        <f t="shared" si="17"/>
        <v>2375</v>
      </c>
    </row>
    <row r="17" spans="2:88" ht="20.100000000000001" customHeight="1">
      <c r="B17" s="319">
        <v>11</v>
      </c>
      <c r="C17" s="315" t="s">
        <v>1727</v>
      </c>
      <c r="D17" s="316" t="s">
        <v>1737</v>
      </c>
      <c r="E17" s="320">
        <v>11169</v>
      </c>
      <c r="F17" s="320">
        <v>11678</v>
      </c>
      <c r="G17" s="317">
        <v>11678</v>
      </c>
      <c r="H17" s="317">
        <v>11169</v>
      </c>
      <c r="I17" s="320">
        <v>11169</v>
      </c>
      <c r="J17" s="317">
        <v>12692</v>
      </c>
      <c r="K17" s="317">
        <v>12185</v>
      </c>
      <c r="L17" s="320">
        <v>10153</v>
      </c>
      <c r="M17" s="320">
        <v>12185</v>
      </c>
      <c r="N17" s="317">
        <v>11169</v>
      </c>
      <c r="O17" s="317">
        <v>10153</v>
      </c>
      <c r="P17" s="317">
        <v>12185</v>
      </c>
      <c r="Q17" s="318">
        <f t="shared" si="0"/>
        <v>137585</v>
      </c>
      <c r="R17" s="318">
        <f t="shared" si="1"/>
        <v>11461</v>
      </c>
      <c r="T17" s="312">
        <f t="shared" si="7"/>
        <v>1340</v>
      </c>
      <c r="U17" s="312">
        <f t="shared" si="7"/>
        <v>1401</v>
      </c>
      <c r="V17" s="312">
        <f t="shared" si="2"/>
        <v>1401</v>
      </c>
      <c r="W17" s="312">
        <f t="shared" si="2"/>
        <v>1340</v>
      </c>
      <c r="X17" s="312">
        <f t="shared" si="2"/>
        <v>1340</v>
      </c>
      <c r="Y17" s="312">
        <f t="shared" si="2"/>
        <v>1523</v>
      </c>
      <c r="Z17" s="312">
        <f t="shared" si="2"/>
        <v>1462</v>
      </c>
      <c r="AA17" s="312">
        <f t="shared" si="2"/>
        <v>1218</v>
      </c>
      <c r="AB17" s="312">
        <f t="shared" si="2"/>
        <v>1462</v>
      </c>
      <c r="AC17" s="312">
        <f t="shared" si="2"/>
        <v>1340</v>
      </c>
      <c r="AD17" s="312">
        <f t="shared" si="2"/>
        <v>1218</v>
      </c>
      <c r="AE17" s="312">
        <f t="shared" si="2"/>
        <v>1462</v>
      </c>
      <c r="AF17" s="305">
        <f t="shared" si="8"/>
        <v>16507</v>
      </c>
      <c r="AH17" s="312">
        <f t="shared" si="9"/>
        <v>1452</v>
      </c>
      <c r="AI17" s="312">
        <f t="shared" si="3"/>
        <v>1518</v>
      </c>
      <c r="AJ17" s="312">
        <f t="shared" si="3"/>
        <v>1518</v>
      </c>
      <c r="AK17" s="312">
        <f t="shared" si="3"/>
        <v>1452</v>
      </c>
      <c r="AL17" s="312">
        <f t="shared" si="3"/>
        <v>1452</v>
      </c>
      <c r="AM17" s="312">
        <f t="shared" si="3"/>
        <v>1650</v>
      </c>
      <c r="AN17" s="312">
        <f t="shared" si="3"/>
        <v>1584</v>
      </c>
      <c r="AO17" s="312">
        <f t="shared" si="3"/>
        <v>1320</v>
      </c>
      <c r="AP17" s="312">
        <f t="shared" si="3"/>
        <v>1584</v>
      </c>
      <c r="AQ17" s="312">
        <f t="shared" si="3"/>
        <v>1452</v>
      </c>
      <c r="AR17" s="312">
        <f t="shared" si="3"/>
        <v>1320</v>
      </c>
      <c r="AS17" s="312">
        <f t="shared" si="3"/>
        <v>1584</v>
      </c>
      <c r="AT17" s="305">
        <f t="shared" si="10"/>
        <v>17886</v>
      </c>
      <c r="AV17" s="312">
        <f t="shared" si="11"/>
        <v>84</v>
      </c>
      <c r="AW17" s="312">
        <f t="shared" si="4"/>
        <v>88</v>
      </c>
      <c r="AX17" s="312">
        <f t="shared" si="4"/>
        <v>88</v>
      </c>
      <c r="AY17" s="312">
        <f t="shared" si="4"/>
        <v>84</v>
      </c>
      <c r="AZ17" s="312">
        <f t="shared" si="4"/>
        <v>84</v>
      </c>
      <c r="BA17" s="312">
        <f t="shared" si="4"/>
        <v>95</v>
      </c>
      <c r="BB17" s="312">
        <f t="shared" si="4"/>
        <v>91</v>
      </c>
      <c r="BC17" s="312">
        <f t="shared" si="4"/>
        <v>76</v>
      </c>
      <c r="BD17" s="312">
        <f t="shared" si="4"/>
        <v>91</v>
      </c>
      <c r="BE17" s="312">
        <f t="shared" si="4"/>
        <v>84</v>
      </c>
      <c r="BF17" s="312">
        <f t="shared" si="4"/>
        <v>76</v>
      </c>
      <c r="BG17" s="312">
        <f t="shared" si="4"/>
        <v>91</v>
      </c>
      <c r="BH17" s="305">
        <f t="shared" si="12"/>
        <v>1032</v>
      </c>
      <c r="BJ17" s="312">
        <f t="shared" si="13"/>
        <v>363</v>
      </c>
      <c r="BK17" s="312">
        <f t="shared" si="5"/>
        <v>380</v>
      </c>
      <c r="BL17" s="312">
        <f t="shared" si="5"/>
        <v>380</v>
      </c>
      <c r="BM17" s="312">
        <f t="shared" si="5"/>
        <v>363</v>
      </c>
      <c r="BN17" s="312">
        <f t="shared" si="5"/>
        <v>363</v>
      </c>
      <c r="BO17" s="312">
        <f t="shared" si="5"/>
        <v>412</v>
      </c>
      <c r="BP17" s="312">
        <f t="shared" si="5"/>
        <v>396</v>
      </c>
      <c r="BQ17" s="312">
        <f t="shared" si="5"/>
        <v>330</v>
      </c>
      <c r="BR17" s="312">
        <f t="shared" si="5"/>
        <v>396</v>
      </c>
      <c r="BS17" s="312">
        <f t="shared" si="5"/>
        <v>363</v>
      </c>
      <c r="BT17" s="312">
        <f t="shared" si="5"/>
        <v>330</v>
      </c>
      <c r="BU17" s="312">
        <f t="shared" si="5"/>
        <v>396</v>
      </c>
      <c r="BV17" s="305">
        <f t="shared" si="14"/>
        <v>4472</v>
      </c>
      <c r="BX17" s="312">
        <f t="shared" si="15"/>
        <v>200</v>
      </c>
      <c r="BY17" s="312">
        <f t="shared" si="6"/>
        <v>200</v>
      </c>
      <c r="BZ17" s="312">
        <f t="shared" si="6"/>
        <v>200</v>
      </c>
      <c r="CA17" s="312">
        <f t="shared" si="6"/>
        <v>200</v>
      </c>
      <c r="CB17" s="312">
        <f t="shared" si="6"/>
        <v>200</v>
      </c>
      <c r="CC17" s="312">
        <f t="shared" si="6"/>
        <v>200</v>
      </c>
      <c r="CD17" s="312">
        <f t="shared" si="6"/>
        <v>200</v>
      </c>
      <c r="CE17" s="312">
        <f t="shared" si="6"/>
        <v>200</v>
      </c>
      <c r="CF17" s="312">
        <f t="shared" si="6"/>
        <v>200</v>
      </c>
      <c r="CG17" s="312">
        <f t="shared" si="6"/>
        <v>200</v>
      </c>
      <c r="CH17" s="312">
        <f t="shared" si="16"/>
        <v>300</v>
      </c>
      <c r="CI17" s="312">
        <f t="shared" si="6"/>
        <v>200</v>
      </c>
      <c r="CJ17" s="312">
        <f t="shared" si="17"/>
        <v>2500</v>
      </c>
    </row>
    <row r="18" spans="2:88" ht="20.100000000000001" customHeight="1">
      <c r="B18" s="314">
        <v>12</v>
      </c>
      <c r="C18" s="315" t="s">
        <v>1727</v>
      </c>
      <c r="D18" s="316" t="s">
        <v>1738</v>
      </c>
      <c r="E18" s="320">
        <v>10741</v>
      </c>
      <c r="F18" s="320">
        <v>13300</v>
      </c>
      <c r="G18" s="317">
        <v>12788</v>
      </c>
      <c r="H18" s="317">
        <v>11766</v>
      </c>
      <c r="I18" s="317">
        <v>13812</v>
      </c>
      <c r="J18" s="317">
        <v>11253</v>
      </c>
      <c r="K18" s="317">
        <v>12788</v>
      </c>
      <c r="L18" s="317">
        <v>10231</v>
      </c>
      <c r="M18" s="317">
        <v>8696</v>
      </c>
      <c r="N18" s="317">
        <v>12278</v>
      </c>
      <c r="O18" s="317">
        <v>10231</v>
      </c>
      <c r="P18" s="317">
        <v>12788</v>
      </c>
      <c r="Q18" s="318">
        <f t="shared" si="0"/>
        <v>140672</v>
      </c>
      <c r="R18" s="318">
        <f t="shared" si="1"/>
        <v>11718</v>
      </c>
      <c r="T18" s="312">
        <f t="shared" si="7"/>
        <v>1289</v>
      </c>
      <c r="U18" s="312">
        <f t="shared" si="7"/>
        <v>1596</v>
      </c>
      <c r="V18" s="312">
        <f t="shared" si="2"/>
        <v>1535</v>
      </c>
      <c r="W18" s="312">
        <f t="shared" si="2"/>
        <v>1412</v>
      </c>
      <c r="X18" s="312">
        <f t="shared" si="2"/>
        <v>1657</v>
      </c>
      <c r="Y18" s="312">
        <f t="shared" si="2"/>
        <v>1350</v>
      </c>
      <c r="Z18" s="312">
        <f t="shared" si="2"/>
        <v>1535</v>
      </c>
      <c r="AA18" s="312">
        <f t="shared" si="2"/>
        <v>1228</v>
      </c>
      <c r="AB18" s="312">
        <f t="shared" si="2"/>
        <v>1044</v>
      </c>
      <c r="AC18" s="312">
        <f t="shared" si="2"/>
        <v>1473</v>
      </c>
      <c r="AD18" s="312">
        <f t="shared" si="2"/>
        <v>1228</v>
      </c>
      <c r="AE18" s="312">
        <f t="shared" si="2"/>
        <v>1535</v>
      </c>
      <c r="AF18" s="305">
        <f t="shared" si="8"/>
        <v>16882</v>
      </c>
      <c r="AH18" s="312">
        <f t="shared" si="9"/>
        <v>1396</v>
      </c>
      <c r="AI18" s="312">
        <f t="shared" si="3"/>
        <v>1729</v>
      </c>
      <c r="AJ18" s="312">
        <f t="shared" si="3"/>
        <v>1662</v>
      </c>
      <c r="AK18" s="312">
        <f t="shared" si="3"/>
        <v>1530</v>
      </c>
      <c r="AL18" s="312">
        <f t="shared" si="3"/>
        <v>1796</v>
      </c>
      <c r="AM18" s="312">
        <f t="shared" si="3"/>
        <v>1463</v>
      </c>
      <c r="AN18" s="312">
        <f t="shared" si="3"/>
        <v>1662</v>
      </c>
      <c r="AO18" s="312">
        <f t="shared" si="3"/>
        <v>1330</v>
      </c>
      <c r="AP18" s="312">
        <f t="shared" si="3"/>
        <v>1130</v>
      </c>
      <c r="AQ18" s="312">
        <f t="shared" si="3"/>
        <v>1596</v>
      </c>
      <c r="AR18" s="312">
        <f t="shared" si="3"/>
        <v>1330</v>
      </c>
      <c r="AS18" s="312">
        <f t="shared" si="3"/>
        <v>1662</v>
      </c>
      <c r="AT18" s="305">
        <f t="shared" si="10"/>
        <v>18286</v>
      </c>
      <c r="AV18" s="312">
        <f t="shared" si="11"/>
        <v>81</v>
      </c>
      <c r="AW18" s="312">
        <f t="shared" si="4"/>
        <v>100</v>
      </c>
      <c r="AX18" s="312">
        <f t="shared" si="4"/>
        <v>96</v>
      </c>
      <c r="AY18" s="312">
        <f t="shared" si="4"/>
        <v>88</v>
      </c>
      <c r="AZ18" s="312">
        <f t="shared" si="4"/>
        <v>104</v>
      </c>
      <c r="BA18" s="312">
        <f t="shared" si="4"/>
        <v>84</v>
      </c>
      <c r="BB18" s="312">
        <f t="shared" si="4"/>
        <v>96</v>
      </c>
      <c r="BC18" s="312">
        <f t="shared" si="4"/>
        <v>77</v>
      </c>
      <c r="BD18" s="312">
        <f t="shared" si="4"/>
        <v>65</v>
      </c>
      <c r="BE18" s="312">
        <f t="shared" si="4"/>
        <v>92</v>
      </c>
      <c r="BF18" s="312">
        <f t="shared" si="4"/>
        <v>77</v>
      </c>
      <c r="BG18" s="312">
        <f t="shared" si="4"/>
        <v>96</v>
      </c>
      <c r="BH18" s="305">
        <f t="shared" si="12"/>
        <v>1056</v>
      </c>
      <c r="BJ18" s="312">
        <f t="shared" si="13"/>
        <v>349</v>
      </c>
      <c r="BK18" s="312">
        <f t="shared" si="5"/>
        <v>432</v>
      </c>
      <c r="BL18" s="312">
        <f t="shared" si="5"/>
        <v>416</v>
      </c>
      <c r="BM18" s="312">
        <f t="shared" si="5"/>
        <v>382</v>
      </c>
      <c r="BN18" s="312">
        <f t="shared" si="5"/>
        <v>449</v>
      </c>
      <c r="BO18" s="312">
        <f t="shared" si="5"/>
        <v>366</v>
      </c>
      <c r="BP18" s="312">
        <f t="shared" si="5"/>
        <v>416</v>
      </c>
      <c r="BQ18" s="312">
        <f t="shared" si="5"/>
        <v>333</v>
      </c>
      <c r="BR18" s="312">
        <f t="shared" si="5"/>
        <v>283</v>
      </c>
      <c r="BS18" s="312">
        <f t="shared" si="5"/>
        <v>399</v>
      </c>
      <c r="BT18" s="312">
        <f t="shared" si="5"/>
        <v>333</v>
      </c>
      <c r="BU18" s="312">
        <f t="shared" si="5"/>
        <v>416</v>
      </c>
      <c r="BV18" s="305">
        <f t="shared" si="14"/>
        <v>4574</v>
      </c>
      <c r="BX18" s="312">
        <f t="shared" si="15"/>
        <v>200</v>
      </c>
      <c r="BY18" s="312">
        <f t="shared" si="6"/>
        <v>200</v>
      </c>
      <c r="BZ18" s="312">
        <f t="shared" si="6"/>
        <v>200</v>
      </c>
      <c r="CA18" s="312">
        <f t="shared" si="6"/>
        <v>200</v>
      </c>
      <c r="CB18" s="312">
        <f t="shared" si="6"/>
        <v>200</v>
      </c>
      <c r="CC18" s="312">
        <f t="shared" si="6"/>
        <v>200</v>
      </c>
      <c r="CD18" s="312">
        <f t="shared" si="6"/>
        <v>200</v>
      </c>
      <c r="CE18" s="312">
        <f t="shared" si="6"/>
        <v>200</v>
      </c>
      <c r="CF18" s="312">
        <f t="shared" si="6"/>
        <v>175</v>
      </c>
      <c r="CG18" s="312">
        <f t="shared" si="6"/>
        <v>200</v>
      </c>
      <c r="CH18" s="312">
        <f t="shared" si="16"/>
        <v>300</v>
      </c>
      <c r="CI18" s="312">
        <f t="shared" si="6"/>
        <v>200</v>
      </c>
      <c r="CJ18" s="312">
        <f t="shared" si="17"/>
        <v>2475</v>
      </c>
    </row>
    <row r="19" spans="2:88" ht="20.100000000000001" customHeight="1">
      <c r="B19" s="319">
        <v>13</v>
      </c>
      <c r="C19" s="315" t="s">
        <v>1727</v>
      </c>
      <c r="D19" s="316" t="s">
        <v>1739</v>
      </c>
      <c r="E19" s="317">
        <v>10800</v>
      </c>
      <c r="F19" s="317">
        <v>11251</v>
      </c>
      <c r="G19" s="317">
        <v>9451</v>
      </c>
      <c r="H19" s="317">
        <v>11700</v>
      </c>
      <c r="I19" s="317">
        <v>11251</v>
      </c>
      <c r="J19" s="317">
        <v>11251</v>
      </c>
      <c r="K19" s="317">
        <v>12151</v>
      </c>
      <c r="L19" s="317">
        <v>9000</v>
      </c>
      <c r="M19" s="317">
        <v>11700</v>
      </c>
      <c r="N19" s="317">
        <v>9900</v>
      </c>
      <c r="O19" s="317">
        <v>7651</v>
      </c>
      <c r="P19" s="317">
        <v>12151</v>
      </c>
      <c r="Q19" s="318">
        <f t="shared" si="0"/>
        <v>128257</v>
      </c>
      <c r="R19" s="318">
        <f t="shared" si="1"/>
        <v>10684</v>
      </c>
      <c r="T19" s="312">
        <f t="shared" si="7"/>
        <v>1296</v>
      </c>
      <c r="U19" s="312">
        <f t="shared" si="7"/>
        <v>1350</v>
      </c>
      <c r="V19" s="312">
        <f t="shared" si="2"/>
        <v>1134</v>
      </c>
      <c r="W19" s="312">
        <f t="shared" si="2"/>
        <v>1404</v>
      </c>
      <c r="X19" s="312">
        <f t="shared" si="2"/>
        <v>1350</v>
      </c>
      <c r="Y19" s="312">
        <f t="shared" si="2"/>
        <v>1350</v>
      </c>
      <c r="Z19" s="312">
        <f t="shared" si="2"/>
        <v>1458</v>
      </c>
      <c r="AA19" s="312">
        <f t="shared" si="2"/>
        <v>1080</v>
      </c>
      <c r="AB19" s="312">
        <f t="shared" si="2"/>
        <v>1404</v>
      </c>
      <c r="AC19" s="312">
        <f t="shared" si="2"/>
        <v>1188</v>
      </c>
      <c r="AD19" s="312">
        <f t="shared" si="2"/>
        <v>918</v>
      </c>
      <c r="AE19" s="312">
        <f t="shared" si="2"/>
        <v>1458</v>
      </c>
      <c r="AF19" s="305">
        <f t="shared" si="8"/>
        <v>15390</v>
      </c>
      <c r="AH19" s="312">
        <f t="shared" si="9"/>
        <v>1404</v>
      </c>
      <c r="AI19" s="312">
        <f t="shared" si="3"/>
        <v>1463</v>
      </c>
      <c r="AJ19" s="312">
        <f t="shared" si="3"/>
        <v>1229</v>
      </c>
      <c r="AK19" s="312">
        <f t="shared" si="3"/>
        <v>1521</v>
      </c>
      <c r="AL19" s="312">
        <f t="shared" si="3"/>
        <v>1463</v>
      </c>
      <c r="AM19" s="312">
        <f t="shared" si="3"/>
        <v>1463</v>
      </c>
      <c r="AN19" s="312">
        <f t="shared" si="3"/>
        <v>1580</v>
      </c>
      <c r="AO19" s="312">
        <f t="shared" si="3"/>
        <v>1170</v>
      </c>
      <c r="AP19" s="312">
        <f t="shared" si="3"/>
        <v>1521</v>
      </c>
      <c r="AQ19" s="312">
        <f t="shared" si="3"/>
        <v>1287</v>
      </c>
      <c r="AR19" s="312">
        <f t="shared" si="3"/>
        <v>995</v>
      </c>
      <c r="AS19" s="312">
        <f t="shared" si="3"/>
        <v>1580</v>
      </c>
      <c r="AT19" s="305">
        <f t="shared" si="10"/>
        <v>16676</v>
      </c>
      <c r="AV19" s="312">
        <f t="shared" si="11"/>
        <v>81</v>
      </c>
      <c r="AW19" s="312">
        <f t="shared" si="4"/>
        <v>84</v>
      </c>
      <c r="AX19" s="312">
        <f t="shared" si="4"/>
        <v>71</v>
      </c>
      <c r="AY19" s="312">
        <f t="shared" si="4"/>
        <v>88</v>
      </c>
      <c r="AZ19" s="312">
        <f t="shared" si="4"/>
        <v>84</v>
      </c>
      <c r="BA19" s="312">
        <f t="shared" si="4"/>
        <v>84</v>
      </c>
      <c r="BB19" s="312">
        <f t="shared" si="4"/>
        <v>91</v>
      </c>
      <c r="BC19" s="312">
        <f t="shared" si="4"/>
        <v>68</v>
      </c>
      <c r="BD19" s="312">
        <f t="shared" si="4"/>
        <v>88</v>
      </c>
      <c r="BE19" s="312">
        <f t="shared" si="4"/>
        <v>74</v>
      </c>
      <c r="BF19" s="312">
        <f t="shared" si="4"/>
        <v>57</v>
      </c>
      <c r="BG19" s="312">
        <f t="shared" si="4"/>
        <v>91</v>
      </c>
      <c r="BH19" s="305">
        <f t="shared" si="12"/>
        <v>961</v>
      </c>
      <c r="BJ19" s="312">
        <f t="shared" si="13"/>
        <v>351</v>
      </c>
      <c r="BK19" s="312">
        <f t="shared" si="5"/>
        <v>366</v>
      </c>
      <c r="BL19" s="312">
        <f t="shared" si="5"/>
        <v>307</v>
      </c>
      <c r="BM19" s="312">
        <f t="shared" si="5"/>
        <v>380</v>
      </c>
      <c r="BN19" s="312">
        <f t="shared" si="5"/>
        <v>366</v>
      </c>
      <c r="BO19" s="312">
        <f t="shared" si="5"/>
        <v>366</v>
      </c>
      <c r="BP19" s="312">
        <f t="shared" si="5"/>
        <v>395</v>
      </c>
      <c r="BQ19" s="312">
        <f t="shared" si="5"/>
        <v>293</v>
      </c>
      <c r="BR19" s="312">
        <f t="shared" si="5"/>
        <v>380</v>
      </c>
      <c r="BS19" s="312">
        <f t="shared" si="5"/>
        <v>322</v>
      </c>
      <c r="BT19" s="312">
        <f t="shared" si="5"/>
        <v>249</v>
      </c>
      <c r="BU19" s="312">
        <f t="shared" si="5"/>
        <v>395</v>
      </c>
      <c r="BV19" s="305">
        <f t="shared" si="14"/>
        <v>4170</v>
      </c>
      <c r="BX19" s="312">
        <f t="shared" si="15"/>
        <v>200</v>
      </c>
      <c r="BY19" s="312">
        <f t="shared" si="6"/>
        <v>200</v>
      </c>
      <c r="BZ19" s="312">
        <f t="shared" si="6"/>
        <v>175</v>
      </c>
      <c r="CA19" s="312">
        <f t="shared" si="6"/>
        <v>200</v>
      </c>
      <c r="CB19" s="312">
        <f t="shared" si="6"/>
        <v>200</v>
      </c>
      <c r="CC19" s="312">
        <f t="shared" si="6"/>
        <v>200</v>
      </c>
      <c r="CD19" s="312">
        <f t="shared" si="6"/>
        <v>200</v>
      </c>
      <c r="CE19" s="312">
        <f t="shared" si="6"/>
        <v>175</v>
      </c>
      <c r="CF19" s="312">
        <f t="shared" si="6"/>
        <v>200</v>
      </c>
      <c r="CG19" s="312">
        <f t="shared" si="6"/>
        <v>175</v>
      </c>
      <c r="CH19" s="312">
        <f t="shared" si="16"/>
        <v>175</v>
      </c>
      <c r="CI19" s="312">
        <f t="shared" si="6"/>
        <v>200</v>
      </c>
      <c r="CJ19" s="312">
        <f t="shared" si="17"/>
        <v>2300</v>
      </c>
    </row>
    <row r="20" spans="2:88" ht="20.100000000000001" customHeight="1">
      <c r="B20" s="319">
        <v>14</v>
      </c>
      <c r="C20" s="315" t="s">
        <v>1727</v>
      </c>
      <c r="D20" s="316" t="s">
        <v>1740</v>
      </c>
      <c r="E20" s="317">
        <v>10769</v>
      </c>
      <c r="F20" s="317">
        <v>11200</v>
      </c>
      <c r="G20" s="317">
        <v>8615</v>
      </c>
      <c r="H20" s="317">
        <v>9478</v>
      </c>
      <c r="I20" s="317">
        <v>10769</v>
      </c>
      <c r="J20" s="317">
        <v>10769</v>
      </c>
      <c r="K20" s="317">
        <v>10339</v>
      </c>
      <c r="L20" s="317">
        <v>9478</v>
      </c>
      <c r="M20" s="317">
        <v>10339</v>
      </c>
      <c r="N20" s="317">
        <v>9047</v>
      </c>
      <c r="O20" s="317">
        <v>11200</v>
      </c>
      <c r="P20" s="317">
        <v>9908</v>
      </c>
      <c r="Q20" s="318">
        <f t="shared" si="0"/>
        <v>121911</v>
      </c>
      <c r="R20" s="318">
        <f t="shared" si="1"/>
        <v>10155</v>
      </c>
      <c r="T20" s="312">
        <f t="shared" si="7"/>
        <v>1292</v>
      </c>
      <c r="U20" s="312">
        <f t="shared" si="7"/>
        <v>1344</v>
      </c>
      <c r="V20" s="312">
        <f t="shared" si="2"/>
        <v>1034</v>
      </c>
      <c r="W20" s="312">
        <f t="shared" si="2"/>
        <v>1137</v>
      </c>
      <c r="X20" s="312">
        <f t="shared" si="2"/>
        <v>1292</v>
      </c>
      <c r="Y20" s="312">
        <f t="shared" si="2"/>
        <v>1292</v>
      </c>
      <c r="Z20" s="312">
        <f t="shared" si="2"/>
        <v>1241</v>
      </c>
      <c r="AA20" s="312">
        <f t="shared" si="2"/>
        <v>1137</v>
      </c>
      <c r="AB20" s="312">
        <f t="shared" si="2"/>
        <v>1241</v>
      </c>
      <c r="AC20" s="312">
        <f t="shared" si="2"/>
        <v>1086</v>
      </c>
      <c r="AD20" s="312">
        <f t="shared" si="2"/>
        <v>1344</v>
      </c>
      <c r="AE20" s="312">
        <f t="shared" si="2"/>
        <v>1189</v>
      </c>
      <c r="AF20" s="305">
        <f t="shared" si="8"/>
        <v>14629</v>
      </c>
      <c r="AH20" s="312">
        <f t="shared" si="9"/>
        <v>1400</v>
      </c>
      <c r="AI20" s="312">
        <f t="shared" si="3"/>
        <v>1456</v>
      </c>
      <c r="AJ20" s="312">
        <f t="shared" si="3"/>
        <v>1120</v>
      </c>
      <c r="AK20" s="312">
        <f t="shared" si="3"/>
        <v>1232</v>
      </c>
      <c r="AL20" s="312">
        <f t="shared" si="3"/>
        <v>1400</v>
      </c>
      <c r="AM20" s="312">
        <f t="shared" si="3"/>
        <v>1400</v>
      </c>
      <c r="AN20" s="312">
        <f t="shared" si="3"/>
        <v>1344</v>
      </c>
      <c r="AO20" s="312">
        <f t="shared" si="3"/>
        <v>1232</v>
      </c>
      <c r="AP20" s="312">
        <f t="shared" si="3"/>
        <v>1344</v>
      </c>
      <c r="AQ20" s="312">
        <f t="shared" si="3"/>
        <v>1176</v>
      </c>
      <c r="AR20" s="312">
        <f t="shared" si="3"/>
        <v>1456</v>
      </c>
      <c r="AS20" s="312">
        <f t="shared" si="3"/>
        <v>1288</v>
      </c>
      <c r="AT20" s="305">
        <f t="shared" si="10"/>
        <v>15848</v>
      </c>
      <c r="AV20" s="312">
        <f t="shared" si="11"/>
        <v>81</v>
      </c>
      <c r="AW20" s="312">
        <f t="shared" si="4"/>
        <v>84</v>
      </c>
      <c r="AX20" s="312">
        <f t="shared" si="4"/>
        <v>65</v>
      </c>
      <c r="AY20" s="312">
        <f t="shared" si="4"/>
        <v>71</v>
      </c>
      <c r="AZ20" s="312">
        <f t="shared" si="4"/>
        <v>81</v>
      </c>
      <c r="BA20" s="312">
        <f t="shared" si="4"/>
        <v>81</v>
      </c>
      <c r="BB20" s="312">
        <f t="shared" si="4"/>
        <v>78</v>
      </c>
      <c r="BC20" s="312">
        <f t="shared" si="4"/>
        <v>71</v>
      </c>
      <c r="BD20" s="312">
        <f t="shared" si="4"/>
        <v>78</v>
      </c>
      <c r="BE20" s="312">
        <f t="shared" si="4"/>
        <v>68</v>
      </c>
      <c r="BF20" s="312">
        <f t="shared" si="4"/>
        <v>84</v>
      </c>
      <c r="BG20" s="312">
        <f t="shared" si="4"/>
        <v>74</v>
      </c>
      <c r="BH20" s="305">
        <f t="shared" si="12"/>
        <v>916</v>
      </c>
      <c r="BJ20" s="312">
        <f t="shared" si="13"/>
        <v>350</v>
      </c>
      <c r="BK20" s="312">
        <f t="shared" si="5"/>
        <v>364</v>
      </c>
      <c r="BL20" s="312">
        <f t="shared" si="5"/>
        <v>280</v>
      </c>
      <c r="BM20" s="312">
        <f t="shared" si="5"/>
        <v>308</v>
      </c>
      <c r="BN20" s="312">
        <f t="shared" si="5"/>
        <v>350</v>
      </c>
      <c r="BO20" s="312">
        <f t="shared" si="5"/>
        <v>350</v>
      </c>
      <c r="BP20" s="312">
        <f t="shared" si="5"/>
        <v>336</v>
      </c>
      <c r="BQ20" s="312">
        <f t="shared" si="5"/>
        <v>308</v>
      </c>
      <c r="BR20" s="312">
        <f t="shared" si="5"/>
        <v>336</v>
      </c>
      <c r="BS20" s="312">
        <f t="shared" si="5"/>
        <v>294</v>
      </c>
      <c r="BT20" s="312">
        <f t="shared" si="5"/>
        <v>364</v>
      </c>
      <c r="BU20" s="312">
        <f t="shared" si="5"/>
        <v>322</v>
      </c>
      <c r="BV20" s="305">
        <f t="shared" si="14"/>
        <v>3962</v>
      </c>
      <c r="BX20" s="312">
        <f t="shared" si="15"/>
        <v>200</v>
      </c>
      <c r="BY20" s="312">
        <f t="shared" si="6"/>
        <v>200</v>
      </c>
      <c r="BZ20" s="312">
        <f t="shared" si="6"/>
        <v>175</v>
      </c>
      <c r="CA20" s="312">
        <f t="shared" si="6"/>
        <v>175</v>
      </c>
      <c r="CB20" s="312">
        <f t="shared" si="6"/>
        <v>200</v>
      </c>
      <c r="CC20" s="312">
        <f t="shared" si="6"/>
        <v>200</v>
      </c>
      <c r="CD20" s="312">
        <f t="shared" si="6"/>
        <v>200</v>
      </c>
      <c r="CE20" s="312">
        <f t="shared" si="6"/>
        <v>175</v>
      </c>
      <c r="CF20" s="312">
        <f t="shared" si="6"/>
        <v>200</v>
      </c>
      <c r="CG20" s="312">
        <f t="shared" si="6"/>
        <v>175</v>
      </c>
      <c r="CH20" s="312">
        <f t="shared" si="16"/>
        <v>300</v>
      </c>
      <c r="CI20" s="312">
        <f t="shared" si="6"/>
        <v>175</v>
      </c>
      <c r="CJ20" s="312">
        <f t="shared" si="17"/>
        <v>2375</v>
      </c>
    </row>
    <row r="21" spans="2:88" ht="20.100000000000001" customHeight="1">
      <c r="B21" s="314">
        <v>15</v>
      </c>
      <c r="C21" s="315" t="s">
        <v>1727</v>
      </c>
      <c r="D21" s="316" t="s">
        <v>1741</v>
      </c>
      <c r="E21" s="317">
        <v>9288</v>
      </c>
      <c r="F21" s="317">
        <v>7673</v>
      </c>
      <c r="G21" s="317">
        <v>6866</v>
      </c>
      <c r="H21" s="317">
        <v>8078</v>
      </c>
      <c r="I21" s="317">
        <v>8885</v>
      </c>
      <c r="J21" s="317">
        <v>9288</v>
      </c>
      <c r="K21" s="317">
        <v>9692</v>
      </c>
      <c r="L21" s="317">
        <v>8078</v>
      </c>
      <c r="M21" s="317">
        <v>9288</v>
      </c>
      <c r="N21" s="317">
        <v>9288</v>
      </c>
      <c r="O21" s="317">
        <v>10500</v>
      </c>
      <c r="P21" s="317">
        <v>7269</v>
      </c>
      <c r="Q21" s="318">
        <f t="shared" si="0"/>
        <v>104193</v>
      </c>
      <c r="R21" s="318">
        <f t="shared" si="1"/>
        <v>8679</v>
      </c>
      <c r="T21" s="312">
        <f t="shared" si="7"/>
        <v>1115</v>
      </c>
      <c r="U21" s="312">
        <f t="shared" si="7"/>
        <v>921</v>
      </c>
      <c r="V21" s="312">
        <f t="shared" si="2"/>
        <v>824</v>
      </c>
      <c r="W21" s="312">
        <f t="shared" si="2"/>
        <v>969</v>
      </c>
      <c r="X21" s="312">
        <f t="shared" si="2"/>
        <v>1066</v>
      </c>
      <c r="Y21" s="312">
        <f t="shared" si="2"/>
        <v>1115</v>
      </c>
      <c r="Z21" s="312">
        <f t="shared" si="2"/>
        <v>1163</v>
      </c>
      <c r="AA21" s="312">
        <f t="shared" si="2"/>
        <v>969</v>
      </c>
      <c r="AB21" s="312">
        <f t="shared" si="2"/>
        <v>1115</v>
      </c>
      <c r="AC21" s="312">
        <f t="shared" si="2"/>
        <v>1115</v>
      </c>
      <c r="AD21" s="312">
        <f t="shared" si="2"/>
        <v>1260</v>
      </c>
      <c r="AE21" s="312">
        <f t="shared" si="2"/>
        <v>872</v>
      </c>
      <c r="AF21" s="305">
        <f t="shared" si="8"/>
        <v>12504</v>
      </c>
      <c r="AH21" s="312">
        <f t="shared" si="9"/>
        <v>1207</v>
      </c>
      <c r="AI21" s="312">
        <f t="shared" si="3"/>
        <v>997</v>
      </c>
      <c r="AJ21" s="312">
        <f t="shared" si="3"/>
        <v>893</v>
      </c>
      <c r="AK21" s="312">
        <f t="shared" si="3"/>
        <v>1050</v>
      </c>
      <c r="AL21" s="312">
        <f t="shared" si="3"/>
        <v>1155</v>
      </c>
      <c r="AM21" s="312">
        <f t="shared" si="3"/>
        <v>1207</v>
      </c>
      <c r="AN21" s="312">
        <f t="shared" si="3"/>
        <v>1260</v>
      </c>
      <c r="AO21" s="312">
        <f t="shared" si="3"/>
        <v>1050</v>
      </c>
      <c r="AP21" s="312">
        <f t="shared" si="3"/>
        <v>1207</v>
      </c>
      <c r="AQ21" s="312">
        <f t="shared" si="3"/>
        <v>1207</v>
      </c>
      <c r="AR21" s="312">
        <f t="shared" si="3"/>
        <v>1365</v>
      </c>
      <c r="AS21" s="312">
        <f t="shared" si="3"/>
        <v>945</v>
      </c>
      <c r="AT21" s="305">
        <f t="shared" si="10"/>
        <v>13543</v>
      </c>
      <c r="AV21" s="312">
        <f t="shared" si="11"/>
        <v>70</v>
      </c>
      <c r="AW21" s="312">
        <f t="shared" si="4"/>
        <v>58</v>
      </c>
      <c r="AX21" s="312">
        <f t="shared" si="4"/>
        <v>51</v>
      </c>
      <c r="AY21" s="312">
        <f t="shared" si="4"/>
        <v>61</v>
      </c>
      <c r="AZ21" s="312">
        <f t="shared" si="4"/>
        <v>67</v>
      </c>
      <c r="BA21" s="312">
        <f t="shared" si="4"/>
        <v>70</v>
      </c>
      <c r="BB21" s="312">
        <f t="shared" si="4"/>
        <v>73</v>
      </c>
      <c r="BC21" s="312">
        <f t="shared" si="4"/>
        <v>61</v>
      </c>
      <c r="BD21" s="312">
        <f t="shared" si="4"/>
        <v>70</v>
      </c>
      <c r="BE21" s="312">
        <f t="shared" si="4"/>
        <v>70</v>
      </c>
      <c r="BF21" s="312">
        <f t="shared" si="4"/>
        <v>79</v>
      </c>
      <c r="BG21" s="312">
        <f t="shared" si="4"/>
        <v>55</v>
      </c>
      <c r="BH21" s="305">
        <f t="shared" si="12"/>
        <v>785</v>
      </c>
      <c r="BJ21" s="312">
        <f t="shared" si="13"/>
        <v>302</v>
      </c>
      <c r="BK21" s="312">
        <f t="shared" si="5"/>
        <v>249</v>
      </c>
      <c r="BL21" s="312">
        <f t="shared" si="5"/>
        <v>223</v>
      </c>
      <c r="BM21" s="312">
        <f t="shared" si="5"/>
        <v>263</v>
      </c>
      <c r="BN21" s="312">
        <f t="shared" si="5"/>
        <v>289</v>
      </c>
      <c r="BO21" s="312">
        <f t="shared" si="5"/>
        <v>302</v>
      </c>
      <c r="BP21" s="312">
        <f t="shared" si="5"/>
        <v>315</v>
      </c>
      <c r="BQ21" s="312">
        <f t="shared" si="5"/>
        <v>263</v>
      </c>
      <c r="BR21" s="312">
        <f t="shared" si="5"/>
        <v>302</v>
      </c>
      <c r="BS21" s="312">
        <f t="shared" si="5"/>
        <v>302</v>
      </c>
      <c r="BT21" s="312">
        <f t="shared" si="5"/>
        <v>341</v>
      </c>
      <c r="BU21" s="312">
        <f t="shared" si="5"/>
        <v>236</v>
      </c>
      <c r="BV21" s="305">
        <f t="shared" si="14"/>
        <v>3387</v>
      </c>
      <c r="BX21" s="312">
        <f t="shared" si="15"/>
        <v>175</v>
      </c>
      <c r="BY21" s="312">
        <f t="shared" si="6"/>
        <v>175</v>
      </c>
      <c r="BZ21" s="312">
        <f t="shared" si="6"/>
        <v>175</v>
      </c>
      <c r="CA21" s="312">
        <f t="shared" si="6"/>
        <v>175</v>
      </c>
      <c r="CB21" s="312">
        <f t="shared" si="6"/>
        <v>175</v>
      </c>
      <c r="CC21" s="312">
        <f t="shared" si="6"/>
        <v>175</v>
      </c>
      <c r="CD21" s="312">
        <f t="shared" si="6"/>
        <v>175</v>
      </c>
      <c r="CE21" s="312">
        <f t="shared" si="6"/>
        <v>175</v>
      </c>
      <c r="CF21" s="312">
        <f t="shared" si="6"/>
        <v>175</v>
      </c>
      <c r="CG21" s="312">
        <f t="shared" si="6"/>
        <v>175</v>
      </c>
      <c r="CH21" s="312">
        <f t="shared" si="16"/>
        <v>300</v>
      </c>
      <c r="CI21" s="312">
        <f t="shared" si="6"/>
        <v>175</v>
      </c>
      <c r="CJ21" s="312">
        <f t="shared" si="17"/>
        <v>2225</v>
      </c>
    </row>
    <row r="22" spans="2:88" ht="20.100000000000001" customHeight="1">
      <c r="B22" s="319">
        <v>16</v>
      </c>
      <c r="C22" s="315" t="s">
        <v>1727</v>
      </c>
      <c r="D22" s="316" t="s">
        <v>1742</v>
      </c>
      <c r="E22" s="317">
        <v>8078</v>
      </c>
      <c r="F22" s="317">
        <v>8885</v>
      </c>
      <c r="G22" s="317">
        <v>8480</v>
      </c>
      <c r="H22" s="317">
        <v>10096</v>
      </c>
      <c r="I22" s="317">
        <v>4847</v>
      </c>
      <c r="J22" s="317">
        <v>0</v>
      </c>
      <c r="K22" s="317">
        <v>0</v>
      </c>
      <c r="L22" s="317">
        <v>0</v>
      </c>
      <c r="M22" s="317">
        <v>0</v>
      </c>
      <c r="N22" s="317">
        <v>0</v>
      </c>
      <c r="O22" s="317">
        <v>0</v>
      </c>
      <c r="P22" s="317">
        <v>0</v>
      </c>
      <c r="Q22" s="318">
        <f t="shared" si="0"/>
        <v>40386</v>
      </c>
      <c r="R22" s="318">
        <f t="shared" si="1"/>
        <v>3364</v>
      </c>
      <c r="T22" s="312">
        <f t="shared" si="7"/>
        <v>969</v>
      </c>
      <c r="U22" s="312">
        <f t="shared" si="7"/>
        <v>1066</v>
      </c>
      <c r="V22" s="312">
        <f t="shared" si="2"/>
        <v>1018</v>
      </c>
      <c r="W22" s="312">
        <f t="shared" si="2"/>
        <v>1212</v>
      </c>
      <c r="X22" s="312">
        <f t="shared" si="2"/>
        <v>582</v>
      </c>
      <c r="Y22" s="312">
        <f t="shared" si="2"/>
        <v>0</v>
      </c>
      <c r="Z22" s="312">
        <f t="shared" si="2"/>
        <v>0</v>
      </c>
      <c r="AA22" s="312">
        <f t="shared" si="2"/>
        <v>0</v>
      </c>
      <c r="AB22" s="312">
        <f t="shared" si="2"/>
        <v>0</v>
      </c>
      <c r="AC22" s="312">
        <f t="shared" si="2"/>
        <v>0</v>
      </c>
      <c r="AD22" s="312">
        <f t="shared" si="2"/>
        <v>0</v>
      </c>
      <c r="AE22" s="312">
        <f t="shared" si="2"/>
        <v>0</v>
      </c>
      <c r="AF22" s="305">
        <f t="shared" si="8"/>
        <v>4847</v>
      </c>
      <c r="AH22" s="312">
        <f t="shared" si="9"/>
        <v>1050</v>
      </c>
      <c r="AI22" s="312">
        <f t="shared" si="3"/>
        <v>1155</v>
      </c>
      <c r="AJ22" s="312">
        <f t="shared" si="3"/>
        <v>1102</v>
      </c>
      <c r="AK22" s="312">
        <f t="shared" si="3"/>
        <v>1312</v>
      </c>
      <c r="AL22" s="312">
        <f t="shared" si="3"/>
        <v>630</v>
      </c>
      <c r="AM22" s="312">
        <f t="shared" si="3"/>
        <v>0</v>
      </c>
      <c r="AN22" s="312">
        <f t="shared" si="3"/>
        <v>0</v>
      </c>
      <c r="AO22" s="312">
        <f t="shared" si="3"/>
        <v>0</v>
      </c>
      <c r="AP22" s="312">
        <f t="shared" si="3"/>
        <v>0</v>
      </c>
      <c r="AQ22" s="312">
        <f t="shared" si="3"/>
        <v>0</v>
      </c>
      <c r="AR22" s="312">
        <f t="shared" si="3"/>
        <v>0</v>
      </c>
      <c r="AS22" s="312">
        <f t="shared" si="3"/>
        <v>0</v>
      </c>
      <c r="AT22" s="305">
        <f t="shared" si="10"/>
        <v>5249</v>
      </c>
      <c r="AV22" s="312">
        <f t="shared" si="11"/>
        <v>61</v>
      </c>
      <c r="AW22" s="312">
        <f t="shared" si="4"/>
        <v>67</v>
      </c>
      <c r="AX22" s="312">
        <f t="shared" si="4"/>
        <v>64</v>
      </c>
      <c r="AY22" s="312">
        <f t="shared" si="4"/>
        <v>76</v>
      </c>
      <c r="AZ22" s="312">
        <f t="shared" si="4"/>
        <v>36</v>
      </c>
      <c r="BA22" s="312">
        <f t="shared" si="4"/>
        <v>0</v>
      </c>
      <c r="BB22" s="312">
        <f t="shared" si="4"/>
        <v>0</v>
      </c>
      <c r="BC22" s="312">
        <f t="shared" si="4"/>
        <v>0</v>
      </c>
      <c r="BD22" s="312">
        <f t="shared" si="4"/>
        <v>0</v>
      </c>
      <c r="BE22" s="312">
        <f t="shared" si="4"/>
        <v>0</v>
      </c>
      <c r="BF22" s="312">
        <f t="shared" si="4"/>
        <v>0</v>
      </c>
      <c r="BG22" s="312">
        <f t="shared" si="4"/>
        <v>0</v>
      </c>
      <c r="BH22" s="305">
        <f t="shared" si="12"/>
        <v>304</v>
      </c>
      <c r="BJ22" s="312">
        <f t="shared" si="13"/>
        <v>263</v>
      </c>
      <c r="BK22" s="312">
        <f t="shared" si="5"/>
        <v>289</v>
      </c>
      <c r="BL22" s="312">
        <f t="shared" si="5"/>
        <v>276</v>
      </c>
      <c r="BM22" s="312">
        <f t="shared" si="5"/>
        <v>328</v>
      </c>
      <c r="BN22" s="312">
        <f t="shared" si="5"/>
        <v>158</v>
      </c>
      <c r="BO22" s="312">
        <f t="shared" si="5"/>
        <v>0</v>
      </c>
      <c r="BP22" s="312">
        <f t="shared" si="5"/>
        <v>0</v>
      </c>
      <c r="BQ22" s="312">
        <f t="shared" si="5"/>
        <v>0</v>
      </c>
      <c r="BR22" s="312">
        <f t="shared" si="5"/>
        <v>0</v>
      </c>
      <c r="BS22" s="312">
        <f t="shared" si="5"/>
        <v>0</v>
      </c>
      <c r="BT22" s="312">
        <f t="shared" si="5"/>
        <v>0</v>
      </c>
      <c r="BU22" s="312">
        <f t="shared" si="5"/>
        <v>0</v>
      </c>
      <c r="BV22" s="305">
        <f t="shared" si="14"/>
        <v>1314</v>
      </c>
      <c r="BX22" s="312">
        <f t="shared" si="15"/>
        <v>175</v>
      </c>
      <c r="BY22" s="312">
        <f t="shared" si="6"/>
        <v>175</v>
      </c>
      <c r="BZ22" s="312">
        <f t="shared" si="6"/>
        <v>175</v>
      </c>
      <c r="CA22" s="312">
        <f t="shared" si="6"/>
        <v>200</v>
      </c>
      <c r="CB22" s="312">
        <f t="shared" si="6"/>
        <v>175</v>
      </c>
      <c r="CC22" s="312">
        <f t="shared" si="6"/>
        <v>0</v>
      </c>
      <c r="CD22" s="312">
        <f t="shared" si="6"/>
        <v>0</v>
      </c>
      <c r="CE22" s="312">
        <f t="shared" si="6"/>
        <v>0</v>
      </c>
      <c r="CF22" s="312">
        <f t="shared" si="6"/>
        <v>0</v>
      </c>
      <c r="CG22" s="312">
        <f t="shared" si="6"/>
        <v>0</v>
      </c>
      <c r="CH22" s="312">
        <f t="shared" si="16"/>
        <v>0</v>
      </c>
      <c r="CI22" s="312">
        <f t="shared" si="6"/>
        <v>0</v>
      </c>
      <c r="CJ22" s="312">
        <f t="shared" si="17"/>
        <v>900</v>
      </c>
    </row>
    <row r="23" spans="2:88" ht="20.100000000000001" customHeight="1">
      <c r="B23" s="314">
        <v>17</v>
      </c>
      <c r="C23" s="315" t="s">
        <v>1727</v>
      </c>
      <c r="D23" s="316" t="s">
        <v>1743</v>
      </c>
      <c r="E23" s="317">
        <v>2553</v>
      </c>
      <c r="F23" s="317">
        <v>1915</v>
      </c>
      <c r="G23" s="317">
        <v>16600</v>
      </c>
      <c r="H23" s="317">
        <v>15322</v>
      </c>
      <c r="I23" s="317">
        <v>12131</v>
      </c>
      <c r="J23" s="317">
        <v>13408</v>
      </c>
      <c r="K23" s="317">
        <v>16600</v>
      </c>
      <c r="L23" s="317">
        <v>12131</v>
      </c>
      <c r="M23" s="317">
        <v>10215</v>
      </c>
      <c r="N23" s="317">
        <v>15322</v>
      </c>
      <c r="O23" s="317">
        <v>16600</v>
      </c>
      <c r="P23" s="317">
        <v>11492</v>
      </c>
      <c r="Q23" s="318">
        <f t="shared" si="0"/>
        <v>144289</v>
      </c>
      <c r="R23" s="318">
        <f t="shared" si="1"/>
        <v>12019</v>
      </c>
      <c r="T23" s="312">
        <f t="shared" si="7"/>
        <v>306</v>
      </c>
      <c r="U23" s="312">
        <f t="shared" si="7"/>
        <v>230</v>
      </c>
      <c r="V23" s="312">
        <f t="shared" si="7"/>
        <v>1800</v>
      </c>
      <c r="W23" s="312">
        <f t="shared" si="7"/>
        <v>1800</v>
      </c>
      <c r="X23" s="312">
        <f t="shared" si="7"/>
        <v>1456</v>
      </c>
      <c r="Y23" s="312">
        <f t="shared" si="7"/>
        <v>1609</v>
      </c>
      <c r="Z23" s="312">
        <f t="shared" si="7"/>
        <v>1800</v>
      </c>
      <c r="AA23" s="312">
        <f t="shared" si="7"/>
        <v>1456</v>
      </c>
      <c r="AB23" s="312">
        <f t="shared" si="7"/>
        <v>1226</v>
      </c>
      <c r="AC23" s="312">
        <f t="shared" si="7"/>
        <v>1800</v>
      </c>
      <c r="AD23" s="312">
        <f t="shared" si="7"/>
        <v>1800</v>
      </c>
      <c r="AE23" s="312">
        <f t="shared" si="7"/>
        <v>1379</v>
      </c>
      <c r="AF23" s="305">
        <f t="shared" si="8"/>
        <v>16662</v>
      </c>
      <c r="AH23" s="312">
        <f t="shared" si="9"/>
        <v>332</v>
      </c>
      <c r="AI23" s="312">
        <f t="shared" si="9"/>
        <v>249</v>
      </c>
      <c r="AJ23" s="312">
        <f t="shared" si="9"/>
        <v>1950</v>
      </c>
      <c r="AK23" s="312">
        <f t="shared" si="9"/>
        <v>1950</v>
      </c>
      <c r="AL23" s="312">
        <f t="shared" si="9"/>
        <v>1577</v>
      </c>
      <c r="AM23" s="312">
        <f t="shared" si="9"/>
        <v>1743</v>
      </c>
      <c r="AN23" s="312">
        <f t="shared" si="9"/>
        <v>1950</v>
      </c>
      <c r="AO23" s="312">
        <f t="shared" si="9"/>
        <v>1577</v>
      </c>
      <c r="AP23" s="312">
        <f t="shared" si="9"/>
        <v>1328</v>
      </c>
      <c r="AQ23" s="312">
        <f t="shared" si="9"/>
        <v>1950</v>
      </c>
      <c r="AR23" s="312">
        <f t="shared" si="9"/>
        <v>1950</v>
      </c>
      <c r="AS23" s="312">
        <f t="shared" si="9"/>
        <v>1494</v>
      </c>
      <c r="AT23" s="305">
        <f t="shared" si="10"/>
        <v>18050</v>
      </c>
      <c r="AV23" s="312">
        <f t="shared" si="11"/>
        <v>19</v>
      </c>
      <c r="AW23" s="312">
        <f t="shared" si="11"/>
        <v>14</v>
      </c>
      <c r="AX23" s="312">
        <f t="shared" si="11"/>
        <v>125</v>
      </c>
      <c r="AY23" s="312">
        <f t="shared" si="11"/>
        <v>115</v>
      </c>
      <c r="AZ23" s="312">
        <f t="shared" si="11"/>
        <v>91</v>
      </c>
      <c r="BA23" s="312">
        <f t="shared" si="11"/>
        <v>101</v>
      </c>
      <c r="BB23" s="312">
        <f t="shared" si="11"/>
        <v>125</v>
      </c>
      <c r="BC23" s="312">
        <f t="shared" si="11"/>
        <v>91</v>
      </c>
      <c r="BD23" s="312">
        <f t="shared" si="11"/>
        <v>77</v>
      </c>
      <c r="BE23" s="312">
        <f t="shared" si="11"/>
        <v>115</v>
      </c>
      <c r="BF23" s="312">
        <f t="shared" si="11"/>
        <v>125</v>
      </c>
      <c r="BG23" s="312">
        <f t="shared" si="11"/>
        <v>86</v>
      </c>
      <c r="BH23" s="305">
        <f t="shared" si="12"/>
        <v>1084</v>
      </c>
      <c r="BJ23" s="312">
        <f t="shared" si="13"/>
        <v>83</v>
      </c>
      <c r="BK23" s="312">
        <f t="shared" si="13"/>
        <v>62</v>
      </c>
      <c r="BL23" s="312">
        <f t="shared" si="13"/>
        <v>540</v>
      </c>
      <c r="BM23" s="312">
        <f t="shared" si="13"/>
        <v>498</v>
      </c>
      <c r="BN23" s="312">
        <f t="shared" si="13"/>
        <v>394</v>
      </c>
      <c r="BO23" s="312">
        <f t="shared" si="13"/>
        <v>436</v>
      </c>
      <c r="BP23" s="312">
        <f t="shared" si="13"/>
        <v>540</v>
      </c>
      <c r="BQ23" s="312">
        <f t="shared" si="13"/>
        <v>394</v>
      </c>
      <c r="BR23" s="312">
        <f t="shared" si="13"/>
        <v>332</v>
      </c>
      <c r="BS23" s="312">
        <f t="shared" si="13"/>
        <v>498</v>
      </c>
      <c r="BT23" s="312">
        <f t="shared" si="13"/>
        <v>540</v>
      </c>
      <c r="BU23" s="312">
        <f t="shared" si="13"/>
        <v>373</v>
      </c>
      <c r="BV23" s="305">
        <f t="shared" si="14"/>
        <v>4690</v>
      </c>
      <c r="BX23" s="312">
        <f t="shared" si="15"/>
        <v>175</v>
      </c>
      <c r="BY23" s="312">
        <f t="shared" si="15"/>
        <v>175</v>
      </c>
      <c r="BZ23" s="312">
        <f t="shared" si="15"/>
        <v>200</v>
      </c>
      <c r="CA23" s="312">
        <f t="shared" si="15"/>
        <v>200</v>
      </c>
      <c r="CB23" s="312">
        <f t="shared" si="15"/>
        <v>200</v>
      </c>
      <c r="CC23" s="312">
        <f t="shared" si="15"/>
        <v>200</v>
      </c>
      <c r="CD23" s="312">
        <f t="shared" si="15"/>
        <v>200</v>
      </c>
      <c r="CE23" s="312">
        <f t="shared" si="15"/>
        <v>200</v>
      </c>
      <c r="CF23" s="312">
        <f t="shared" si="15"/>
        <v>200</v>
      </c>
      <c r="CG23" s="312">
        <f t="shared" si="15"/>
        <v>200</v>
      </c>
      <c r="CH23" s="312">
        <f t="shared" si="16"/>
        <v>300</v>
      </c>
      <c r="CI23" s="312">
        <f t="shared" ref="CI23:CI31" si="18">+IF(P23&lt;=0,0,IF(P23&gt;10000,200,175))</f>
        <v>200</v>
      </c>
      <c r="CJ23" s="312">
        <f t="shared" si="17"/>
        <v>2450</v>
      </c>
    </row>
    <row r="24" spans="2:88" ht="20.100000000000001" customHeight="1">
      <c r="B24" s="319">
        <v>18</v>
      </c>
      <c r="C24" s="315" t="s">
        <v>1727</v>
      </c>
      <c r="D24" s="316" t="s">
        <v>1744</v>
      </c>
      <c r="E24" s="317">
        <v>8292</v>
      </c>
      <c r="F24" s="317">
        <v>8885</v>
      </c>
      <c r="G24" s="317">
        <v>11847</v>
      </c>
      <c r="H24" s="317">
        <v>11253</v>
      </c>
      <c r="I24" s="317">
        <v>10661</v>
      </c>
      <c r="J24" s="317">
        <v>10069</v>
      </c>
      <c r="K24" s="317">
        <v>12439</v>
      </c>
      <c r="L24" s="317">
        <v>9478</v>
      </c>
      <c r="M24" s="317">
        <v>11847</v>
      </c>
      <c r="N24" s="317">
        <v>10069</v>
      </c>
      <c r="O24" s="317">
        <v>10069</v>
      </c>
      <c r="P24" s="317">
        <v>13622</v>
      </c>
      <c r="Q24" s="318">
        <f t="shared" si="0"/>
        <v>128531</v>
      </c>
      <c r="R24" s="318">
        <f t="shared" si="1"/>
        <v>10707</v>
      </c>
      <c r="T24" s="312">
        <f t="shared" si="7"/>
        <v>995</v>
      </c>
      <c r="U24" s="312">
        <f t="shared" si="7"/>
        <v>1066</v>
      </c>
      <c r="V24" s="312">
        <f t="shared" si="7"/>
        <v>1422</v>
      </c>
      <c r="W24" s="312">
        <f t="shared" si="7"/>
        <v>1350</v>
      </c>
      <c r="X24" s="312">
        <f t="shared" si="7"/>
        <v>1279</v>
      </c>
      <c r="Y24" s="312">
        <f t="shared" si="7"/>
        <v>1208</v>
      </c>
      <c r="Z24" s="312">
        <f t="shared" si="7"/>
        <v>1493</v>
      </c>
      <c r="AA24" s="312">
        <f t="shared" si="7"/>
        <v>1137</v>
      </c>
      <c r="AB24" s="312">
        <f t="shared" si="7"/>
        <v>1422</v>
      </c>
      <c r="AC24" s="312">
        <f t="shared" si="7"/>
        <v>1208</v>
      </c>
      <c r="AD24" s="312">
        <f t="shared" si="7"/>
        <v>1208</v>
      </c>
      <c r="AE24" s="312">
        <f t="shared" si="7"/>
        <v>1635</v>
      </c>
      <c r="AF24" s="305">
        <f t="shared" si="8"/>
        <v>15423</v>
      </c>
      <c r="AH24" s="312">
        <f t="shared" si="9"/>
        <v>1078</v>
      </c>
      <c r="AI24" s="312">
        <f t="shared" si="9"/>
        <v>1155</v>
      </c>
      <c r="AJ24" s="312">
        <f t="shared" si="9"/>
        <v>1540</v>
      </c>
      <c r="AK24" s="312">
        <f t="shared" si="9"/>
        <v>1463</v>
      </c>
      <c r="AL24" s="312">
        <f t="shared" si="9"/>
        <v>1386</v>
      </c>
      <c r="AM24" s="312">
        <f t="shared" si="9"/>
        <v>1309</v>
      </c>
      <c r="AN24" s="312">
        <f t="shared" si="9"/>
        <v>1617</v>
      </c>
      <c r="AO24" s="312">
        <f t="shared" si="9"/>
        <v>1232</v>
      </c>
      <c r="AP24" s="312">
        <f t="shared" si="9"/>
        <v>1540</v>
      </c>
      <c r="AQ24" s="312">
        <f t="shared" si="9"/>
        <v>1309</v>
      </c>
      <c r="AR24" s="312">
        <f t="shared" si="9"/>
        <v>1309</v>
      </c>
      <c r="AS24" s="312">
        <f t="shared" si="9"/>
        <v>1771</v>
      </c>
      <c r="AT24" s="305">
        <f t="shared" si="10"/>
        <v>16709</v>
      </c>
      <c r="AV24" s="312">
        <f t="shared" si="11"/>
        <v>62</v>
      </c>
      <c r="AW24" s="312">
        <f t="shared" si="11"/>
        <v>67</v>
      </c>
      <c r="AX24" s="312">
        <f t="shared" si="11"/>
        <v>89</v>
      </c>
      <c r="AY24" s="312">
        <f t="shared" si="11"/>
        <v>84</v>
      </c>
      <c r="AZ24" s="312">
        <f t="shared" si="11"/>
        <v>80</v>
      </c>
      <c r="BA24" s="312">
        <f t="shared" si="11"/>
        <v>76</v>
      </c>
      <c r="BB24" s="312">
        <f t="shared" si="11"/>
        <v>93</v>
      </c>
      <c r="BC24" s="312">
        <f t="shared" si="11"/>
        <v>71</v>
      </c>
      <c r="BD24" s="312">
        <f t="shared" si="11"/>
        <v>89</v>
      </c>
      <c r="BE24" s="312">
        <f t="shared" si="11"/>
        <v>76</v>
      </c>
      <c r="BF24" s="312">
        <f t="shared" si="11"/>
        <v>76</v>
      </c>
      <c r="BG24" s="312">
        <f t="shared" si="11"/>
        <v>102</v>
      </c>
      <c r="BH24" s="305">
        <f t="shared" si="12"/>
        <v>965</v>
      </c>
      <c r="BJ24" s="312">
        <f t="shared" si="13"/>
        <v>269</v>
      </c>
      <c r="BK24" s="312">
        <f t="shared" si="13"/>
        <v>289</v>
      </c>
      <c r="BL24" s="312">
        <f t="shared" si="13"/>
        <v>385</v>
      </c>
      <c r="BM24" s="312">
        <f t="shared" si="13"/>
        <v>366</v>
      </c>
      <c r="BN24" s="312">
        <f t="shared" si="13"/>
        <v>346</v>
      </c>
      <c r="BO24" s="312">
        <f t="shared" si="13"/>
        <v>327</v>
      </c>
      <c r="BP24" s="312">
        <f t="shared" si="13"/>
        <v>404</v>
      </c>
      <c r="BQ24" s="312">
        <f t="shared" si="13"/>
        <v>308</v>
      </c>
      <c r="BR24" s="312">
        <f t="shared" si="13"/>
        <v>385</v>
      </c>
      <c r="BS24" s="312">
        <f t="shared" si="13"/>
        <v>327</v>
      </c>
      <c r="BT24" s="312">
        <f t="shared" si="13"/>
        <v>327</v>
      </c>
      <c r="BU24" s="312">
        <f t="shared" si="13"/>
        <v>443</v>
      </c>
      <c r="BV24" s="305">
        <f t="shared" si="14"/>
        <v>4176</v>
      </c>
      <c r="BX24" s="312">
        <f t="shared" si="15"/>
        <v>175</v>
      </c>
      <c r="BY24" s="312">
        <f t="shared" si="15"/>
        <v>175</v>
      </c>
      <c r="BZ24" s="312">
        <f t="shared" si="15"/>
        <v>200</v>
      </c>
      <c r="CA24" s="312">
        <f t="shared" si="15"/>
        <v>200</v>
      </c>
      <c r="CB24" s="312">
        <f t="shared" si="15"/>
        <v>200</v>
      </c>
      <c r="CC24" s="312">
        <f t="shared" si="15"/>
        <v>200</v>
      </c>
      <c r="CD24" s="312">
        <f t="shared" si="15"/>
        <v>200</v>
      </c>
      <c r="CE24" s="312">
        <f t="shared" si="15"/>
        <v>175</v>
      </c>
      <c r="CF24" s="312">
        <f t="shared" si="15"/>
        <v>200</v>
      </c>
      <c r="CG24" s="312">
        <f t="shared" si="15"/>
        <v>200</v>
      </c>
      <c r="CH24" s="312">
        <f t="shared" si="16"/>
        <v>300</v>
      </c>
      <c r="CI24" s="312">
        <f t="shared" si="18"/>
        <v>200</v>
      </c>
      <c r="CJ24" s="312">
        <f t="shared" si="17"/>
        <v>2425</v>
      </c>
    </row>
    <row r="25" spans="2:88" ht="20.100000000000001" customHeight="1">
      <c r="B25" s="314">
        <v>19</v>
      </c>
      <c r="C25" s="315" t="s">
        <v>1727</v>
      </c>
      <c r="D25" s="316" t="s">
        <v>1745</v>
      </c>
      <c r="E25" s="317">
        <v>12520</v>
      </c>
      <c r="F25" s="317">
        <v>13115</v>
      </c>
      <c r="G25" s="317">
        <v>15500</v>
      </c>
      <c r="H25" s="317">
        <v>14308</v>
      </c>
      <c r="I25" s="317">
        <v>11922</v>
      </c>
      <c r="J25" s="317">
        <v>11922</v>
      </c>
      <c r="K25" s="317">
        <v>16096</v>
      </c>
      <c r="L25" s="317">
        <v>13115</v>
      </c>
      <c r="M25" s="317">
        <v>15500</v>
      </c>
      <c r="N25" s="317">
        <v>9539</v>
      </c>
      <c r="O25" s="317">
        <v>15500</v>
      </c>
      <c r="P25" s="317">
        <v>14904</v>
      </c>
      <c r="Q25" s="318">
        <f t="shared" si="0"/>
        <v>163941</v>
      </c>
      <c r="R25" s="318">
        <f t="shared" si="1"/>
        <v>13656</v>
      </c>
      <c r="T25" s="312">
        <f t="shared" si="7"/>
        <v>1502</v>
      </c>
      <c r="U25" s="312">
        <f t="shared" si="7"/>
        <v>1574</v>
      </c>
      <c r="V25" s="312">
        <f t="shared" si="7"/>
        <v>1800</v>
      </c>
      <c r="W25" s="312">
        <f t="shared" si="7"/>
        <v>1717</v>
      </c>
      <c r="X25" s="312">
        <f t="shared" si="7"/>
        <v>1431</v>
      </c>
      <c r="Y25" s="312">
        <f t="shared" si="7"/>
        <v>1431</v>
      </c>
      <c r="Z25" s="312">
        <f t="shared" si="7"/>
        <v>1800</v>
      </c>
      <c r="AA25" s="312">
        <f t="shared" si="7"/>
        <v>1574</v>
      </c>
      <c r="AB25" s="312">
        <f t="shared" si="7"/>
        <v>1800</v>
      </c>
      <c r="AC25" s="312">
        <f t="shared" si="7"/>
        <v>1145</v>
      </c>
      <c r="AD25" s="312">
        <f t="shared" si="7"/>
        <v>1800</v>
      </c>
      <c r="AE25" s="312">
        <f t="shared" si="7"/>
        <v>1788</v>
      </c>
      <c r="AF25" s="305">
        <f t="shared" si="8"/>
        <v>19362</v>
      </c>
      <c r="AH25" s="312">
        <f t="shared" si="9"/>
        <v>1628</v>
      </c>
      <c r="AI25" s="312">
        <f t="shared" si="9"/>
        <v>1705</v>
      </c>
      <c r="AJ25" s="312">
        <f t="shared" si="9"/>
        <v>1950</v>
      </c>
      <c r="AK25" s="312">
        <f t="shared" si="9"/>
        <v>1860</v>
      </c>
      <c r="AL25" s="312">
        <f t="shared" si="9"/>
        <v>1550</v>
      </c>
      <c r="AM25" s="312">
        <f t="shared" si="9"/>
        <v>1550</v>
      </c>
      <c r="AN25" s="312">
        <f t="shared" si="9"/>
        <v>1950</v>
      </c>
      <c r="AO25" s="312">
        <f t="shared" si="9"/>
        <v>1705</v>
      </c>
      <c r="AP25" s="312">
        <f t="shared" si="9"/>
        <v>1950</v>
      </c>
      <c r="AQ25" s="312">
        <f t="shared" si="9"/>
        <v>1240</v>
      </c>
      <c r="AR25" s="312">
        <f t="shared" si="9"/>
        <v>1950</v>
      </c>
      <c r="AS25" s="312">
        <f t="shared" si="9"/>
        <v>1938</v>
      </c>
      <c r="AT25" s="305">
        <f t="shared" si="10"/>
        <v>20976</v>
      </c>
      <c r="AV25" s="312">
        <f t="shared" si="11"/>
        <v>94</v>
      </c>
      <c r="AW25" s="312">
        <f t="shared" si="11"/>
        <v>98</v>
      </c>
      <c r="AX25" s="312">
        <f t="shared" si="11"/>
        <v>116</v>
      </c>
      <c r="AY25" s="312">
        <f t="shared" si="11"/>
        <v>107</v>
      </c>
      <c r="AZ25" s="312">
        <f t="shared" si="11"/>
        <v>89</v>
      </c>
      <c r="BA25" s="312">
        <f t="shared" si="11"/>
        <v>89</v>
      </c>
      <c r="BB25" s="312">
        <f t="shared" si="11"/>
        <v>121</v>
      </c>
      <c r="BC25" s="312">
        <f t="shared" si="11"/>
        <v>98</v>
      </c>
      <c r="BD25" s="312">
        <f t="shared" si="11"/>
        <v>116</v>
      </c>
      <c r="BE25" s="312">
        <f t="shared" si="11"/>
        <v>72</v>
      </c>
      <c r="BF25" s="312">
        <f t="shared" si="11"/>
        <v>116</v>
      </c>
      <c r="BG25" s="312">
        <f t="shared" si="11"/>
        <v>112</v>
      </c>
      <c r="BH25" s="305">
        <f t="shared" si="12"/>
        <v>1228</v>
      </c>
      <c r="BJ25" s="312">
        <f t="shared" si="13"/>
        <v>407</v>
      </c>
      <c r="BK25" s="312">
        <f t="shared" si="13"/>
        <v>426</v>
      </c>
      <c r="BL25" s="312">
        <f t="shared" si="13"/>
        <v>504</v>
      </c>
      <c r="BM25" s="312">
        <f t="shared" si="13"/>
        <v>465</v>
      </c>
      <c r="BN25" s="312">
        <f t="shared" si="13"/>
        <v>387</v>
      </c>
      <c r="BO25" s="312">
        <f t="shared" si="13"/>
        <v>387</v>
      </c>
      <c r="BP25" s="312">
        <f t="shared" si="13"/>
        <v>523</v>
      </c>
      <c r="BQ25" s="312">
        <f t="shared" si="13"/>
        <v>426</v>
      </c>
      <c r="BR25" s="312">
        <f t="shared" si="13"/>
        <v>504</v>
      </c>
      <c r="BS25" s="312">
        <f t="shared" si="13"/>
        <v>310</v>
      </c>
      <c r="BT25" s="312">
        <f t="shared" si="13"/>
        <v>504</v>
      </c>
      <c r="BU25" s="312">
        <f t="shared" si="13"/>
        <v>484</v>
      </c>
      <c r="BV25" s="305">
        <f t="shared" si="14"/>
        <v>5327</v>
      </c>
      <c r="BX25" s="312">
        <f t="shared" si="15"/>
        <v>200</v>
      </c>
      <c r="BY25" s="312">
        <f t="shared" si="15"/>
        <v>200</v>
      </c>
      <c r="BZ25" s="312">
        <f t="shared" si="15"/>
        <v>200</v>
      </c>
      <c r="CA25" s="312">
        <f t="shared" si="15"/>
        <v>200</v>
      </c>
      <c r="CB25" s="312">
        <f t="shared" si="15"/>
        <v>200</v>
      </c>
      <c r="CC25" s="312">
        <f t="shared" si="15"/>
        <v>200</v>
      </c>
      <c r="CD25" s="312">
        <f t="shared" si="15"/>
        <v>200</v>
      </c>
      <c r="CE25" s="312">
        <f t="shared" si="15"/>
        <v>200</v>
      </c>
      <c r="CF25" s="312">
        <f t="shared" si="15"/>
        <v>200</v>
      </c>
      <c r="CG25" s="312">
        <f t="shared" si="15"/>
        <v>175</v>
      </c>
      <c r="CH25" s="312">
        <f t="shared" si="16"/>
        <v>300</v>
      </c>
      <c r="CI25" s="312">
        <f t="shared" si="18"/>
        <v>200</v>
      </c>
      <c r="CJ25" s="312">
        <f t="shared" si="17"/>
        <v>2475</v>
      </c>
    </row>
    <row r="26" spans="2:88" ht="20.100000000000001" customHeight="1">
      <c r="B26" s="314">
        <v>20</v>
      </c>
      <c r="C26" s="315" t="s">
        <v>1727</v>
      </c>
      <c r="D26" s="316" t="s">
        <v>1746</v>
      </c>
      <c r="E26" s="317">
        <v>14904</v>
      </c>
      <c r="F26" s="317">
        <v>16096</v>
      </c>
      <c r="G26" s="317">
        <v>14904</v>
      </c>
      <c r="H26" s="317">
        <v>1788</v>
      </c>
      <c r="I26" s="317">
        <v>0</v>
      </c>
      <c r="J26" s="317">
        <v>0</v>
      </c>
      <c r="K26" s="317">
        <v>0</v>
      </c>
      <c r="L26" s="317">
        <v>0</v>
      </c>
      <c r="M26" s="317">
        <v>0</v>
      </c>
      <c r="N26" s="317">
        <v>0</v>
      </c>
      <c r="O26" s="317">
        <v>0</v>
      </c>
      <c r="P26" s="317">
        <v>0</v>
      </c>
      <c r="Q26" s="318">
        <f t="shared" si="0"/>
        <v>47692</v>
      </c>
      <c r="R26" s="318">
        <f t="shared" si="1"/>
        <v>3973</v>
      </c>
      <c r="T26" s="312">
        <f t="shared" si="7"/>
        <v>1788</v>
      </c>
      <c r="U26" s="312">
        <f t="shared" si="7"/>
        <v>1800</v>
      </c>
      <c r="V26" s="312">
        <f t="shared" si="7"/>
        <v>1788</v>
      </c>
      <c r="W26" s="312">
        <f t="shared" si="7"/>
        <v>215</v>
      </c>
      <c r="X26" s="312">
        <f t="shared" si="7"/>
        <v>0</v>
      </c>
      <c r="Y26" s="312">
        <f t="shared" si="7"/>
        <v>0</v>
      </c>
      <c r="Z26" s="312">
        <f t="shared" si="7"/>
        <v>0</v>
      </c>
      <c r="AA26" s="312">
        <f t="shared" si="7"/>
        <v>0</v>
      </c>
      <c r="AB26" s="312">
        <f t="shared" si="7"/>
        <v>0</v>
      </c>
      <c r="AC26" s="312">
        <f t="shared" si="7"/>
        <v>0</v>
      </c>
      <c r="AD26" s="312">
        <f t="shared" si="7"/>
        <v>0</v>
      </c>
      <c r="AE26" s="312">
        <f t="shared" si="7"/>
        <v>0</v>
      </c>
      <c r="AF26" s="305">
        <f t="shared" si="8"/>
        <v>5591</v>
      </c>
      <c r="AH26" s="312">
        <f t="shared" si="9"/>
        <v>1938</v>
      </c>
      <c r="AI26" s="312">
        <f t="shared" si="9"/>
        <v>1950</v>
      </c>
      <c r="AJ26" s="312">
        <f t="shared" si="9"/>
        <v>1938</v>
      </c>
      <c r="AK26" s="312">
        <f t="shared" si="9"/>
        <v>232</v>
      </c>
      <c r="AL26" s="312">
        <f t="shared" si="9"/>
        <v>0</v>
      </c>
      <c r="AM26" s="312">
        <f t="shared" si="9"/>
        <v>0</v>
      </c>
      <c r="AN26" s="312">
        <f t="shared" si="9"/>
        <v>0</v>
      </c>
      <c r="AO26" s="312">
        <f t="shared" si="9"/>
        <v>0</v>
      </c>
      <c r="AP26" s="312">
        <f t="shared" si="9"/>
        <v>0</v>
      </c>
      <c r="AQ26" s="312">
        <f t="shared" si="9"/>
        <v>0</v>
      </c>
      <c r="AR26" s="312">
        <f t="shared" si="9"/>
        <v>0</v>
      </c>
      <c r="AS26" s="312">
        <f t="shared" si="9"/>
        <v>0</v>
      </c>
      <c r="AT26" s="305">
        <f t="shared" si="10"/>
        <v>6058</v>
      </c>
      <c r="AV26" s="312">
        <f t="shared" si="11"/>
        <v>112</v>
      </c>
      <c r="AW26" s="312">
        <f t="shared" si="11"/>
        <v>121</v>
      </c>
      <c r="AX26" s="312">
        <f t="shared" si="11"/>
        <v>112</v>
      </c>
      <c r="AY26" s="312">
        <f t="shared" si="11"/>
        <v>13</v>
      </c>
      <c r="AZ26" s="312">
        <f t="shared" si="11"/>
        <v>0</v>
      </c>
      <c r="BA26" s="312">
        <f t="shared" si="11"/>
        <v>0</v>
      </c>
      <c r="BB26" s="312">
        <f t="shared" si="11"/>
        <v>0</v>
      </c>
      <c r="BC26" s="312">
        <f t="shared" si="11"/>
        <v>0</v>
      </c>
      <c r="BD26" s="312">
        <f t="shared" si="11"/>
        <v>0</v>
      </c>
      <c r="BE26" s="312">
        <f t="shared" si="11"/>
        <v>0</v>
      </c>
      <c r="BF26" s="312">
        <f t="shared" si="11"/>
        <v>0</v>
      </c>
      <c r="BG26" s="312">
        <f t="shared" si="11"/>
        <v>0</v>
      </c>
      <c r="BH26" s="305">
        <f t="shared" si="12"/>
        <v>358</v>
      </c>
      <c r="BJ26" s="312">
        <f t="shared" si="13"/>
        <v>484</v>
      </c>
      <c r="BK26" s="312">
        <f t="shared" si="13"/>
        <v>523</v>
      </c>
      <c r="BL26" s="312">
        <f t="shared" si="13"/>
        <v>484</v>
      </c>
      <c r="BM26" s="312">
        <f t="shared" si="13"/>
        <v>58</v>
      </c>
      <c r="BN26" s="312">
        <f t="shared" si="13"/>
        <v>0</v>
      </c>
      <c r="BO26" s="312">
        <f t="shared" si="13"/>
        <v>0</v>
      </c>
      <c r="BP26" s="312">
        <f t="shared" si="13"/>
        <v>0</v>
      </c>
      <c r="BQ26" s="312">
        <f t="shared" si="13"/>
        <v>0</v>
      </c>
      <c r="BR26" s="312">
        <f t="shared" si="13"/>
        <v>0</v>
      </c>
      <c r="BS26" s="312">
        <f t="shared" si="13"/>
        <v>0</v>
      </c>
      <c r="BT26" s="312">
        <f t="shared" si="13"/>
        <v>0</v>
      </c>
      <c r="BU26" s="312">
        <f t="shared" si="13"/>
        <v>0</v>
      </c>
      <c r="BV26" s="305">
        <f t="shared" si="14"/>
        <v>1549</v>
      </c>
      <c r="BX26" s="312">
        <f t="shared" si="15"/>
        <v>200</v>
      </c>
      <c r="BY26" s="312">
        <f t="shared" si="15"/>
        <v>200</v>
      </c>
      <c r="BZ26" s="312">
        <f t="shared" si="15"/>
        <v>200</v>
      </c>
      <c r="CA26" s="312">
        <f t="shared" si="15"/>
        <v>175</v>
      </c>
      <c r="CB26" s="312">
        <f t="shared" si="15"/>
        <v>0</v>
      </c>
      <c r="CC26" s="312">
        <f t="shared" si="15"/>
        <v>0</v>
      </c>
      <c r="CD26" s="312">
        <f t="shared" si="15"/>
        <v>0</v>
      </c>
      <c r="CE26" s="312">
        <f t="shared" si="15"/>
        <v>0</v>
      </c>
      <c r="CF26" s="312">
        <f t="shared" si="15"/>
        <v>0</v>
      </c>
      <c r="CG26" s="312">
        <f t="shared" si="15"/>
        <v>0</v>
      </c>
      <c r="CH26" s="312">
        <f t="shared" si="16"/>
        <v>0</v>
      </c>
      <c r="CI26" s="312">
        <f t="shared" si="18"/>
        <v>0</v>
      </c>
      <c r="CJ26" s="312">
        <f t="shared" si="17"/>
        <v>775</v>
      </c>
    </row>
    <row r="27" spans="2:88" ht="20.100000000000001" customHeight="1">
      <c r="B27" s="319">
        <v>21</v>
      </c>
      <c r="C27" s="315" t="s">
        <v>1727</v>
      </c>
      <c r="D27" s="316" t="s">
        <v>1747</v>
      </c>
      <c r="E27" s="317">
        <v>11953</v>
      </c>
      <c r="F27" s="317">
        <v>13092</v>
      </c>
      <c r="G27" s="317">
        <v>13092</v>
      </c>
      <c r="H27" s="317">
        <v>14231</v>
      </c>
      <c r="I27" s="317">
        <v>10815</v>
      </c>
      <c r="J27" s="317">
        <v>13092</v>
      </c>
      <c r="K27" s="317">
        <v>13092</v>
      </c>
      <c r="L27" s="317">
        <v>11953</v>
      </c>
      <c r="M27" s="317">
        <v>13661</v>
      </c>
      <c r="N27" s="317">
        <v>14231</v>
      </c>
      <c r="O27" s="317">
        <v>14800</v>
      </c>
      <c r="P27" s="317">
        <v>14800</v>
      </c>
      <c r="Q27" s="318">
        <f t="shared" si="0"/>
        <v>158812</v>
      </c>
      <c r="R27" s="318">
        <f t="shared" si="1"/>
        <v>13229</v>
      </c>
      <c r="T27" s="312">
        <f t="shared" si="7"/>
        <v>1434</v>
      </c>
      <c r="U27" s="312">
        <f t="shared" si="7"/>
        <v>1571</v>
      </c>
      <c r="V27" s="312">
        <f t="shared" si="7"/>
        <v>1571</v>
      </c>
      <c r="W27" s="312">
        <f t="shared" si="7"/>
        <v>1708</v>
      </c>
      <c r="X27" s="312">
        <f t="shared" si="7"/>
        <v>1298</v>
      </c>
      <c r="Y27" s="312">
        <f t="shared" si="7"/>
        <v>1571</v>
      </c>
      <c r="Z27" s="312">
        <f t="shared" si="7"/>
        <v>1571</v>
      </c>
      <c r="AA27" s="312">
        <f t="shared" si="7"/>
        <v>1434</v>
      </c>
      <c r="AB27" s="312">
        <f t="shared" si="7"/>
        <v>1639</v>
      </c>
      <c r="AC27" s="312">
        <f t="shared" si="7"/>
        <v>1708</v>
      </c>
      <c r="AD27" s="312">
        <f t="shared" si="7"/>
        <v>1776</v>
      </c>
      <c r="AE27" s="312">
        <f t="shared" si="7"/>
        <v>1776</v>
      </c>
      <c r="AF27" s="305">
        <f t="shared" si="8"/>
        <v>19057</v>
      </c>
      <c r="AH27" s="312">
        <f t="shared" si="9"/>
        <v>1554</v>
      </c>
      <c r="AI27" s="312">
        <f t="shared" si="9"/>
        <v>1702</v>
      </c>
      <c r="AJ27" s="312">
        <f t="shared" si="9"/>
        <v>1702</v>
      </c>
      <c r="AK27" s="312">
        <f t="shared" si="9"/>
        <v>1850</v>
      </c>
      <c r="AL27" s="312">
        <f t="shared" si="9"/>
        <v>1406</v>
      </c>
      <c r="AM27" s="312">
        <f t="shared" si="9"/>
        <v>1702</v>
      </c>
      <c r="AN27" s="312">
        <f t="shared" si="9"/>
        <v>1702</v>
      </c>
      <c r="AO27" s="312">
        <f t="shared" si="9"/>
        <v>1554</v>
      </c>
      <c r="AP27" s="312">
        <f t="shared" si="9"/>
        <v>1776</v>
      </c>
      <c r="AQ27" s="312">
        <f t="shared" si="9"/>
        <v>1850</v>
      </c>
      <c r="AR27" s="312">
        <f t="shared" si="9"/>
        <v>1924</v>
      </c>
      <c r="AS27" s="312">
        <f t="shared" si="9"/>
        <v>1924</v>
      </c>
      <c r="AT27" s="305">
        <f t="shared" si="10"/>
        <v>20646</v>
      </c>
      <c r="AV27" s="312">
        <f t="shared" si="11"/>
        <v>90</v>
      </c>
      <c r="AW27" s="312">
        <f t="shared" si="11"/>
        <v>98</v>
      </c>
      <c r="AX27" s="312">
        <f t="shared" si="11"/>
        <v>98</v>
      </c>
      <c r="AY27" s="312">
        <f t="shared" si="11"/>
        <v>107</v>
      </c>
      <c r="AZ27" s="312">
        <f t="shared" si="11"/>
        <v>81</v>
      </c>
      <c r="BA27" s="312">
        <f t="shared" si="11"/>
        <v>98</v>
      </c>
      <c r="BB27" s="312">
        <f t="shared" si="11"/>
        <v>98</v>
      </c>
      <c r="BC27" s="312">
        <f t="shared" si="11"/>
        <v>90</v>
      </c>
      <c r="BD27" s="312">
        <f t="shared" si="11"/>
        <v>102</v>
      </c>
      <c r="BE27" s="312">
        <f t="shared" si="11"/>
        <v>107</v>
      </c>
      <c r="BF27" s="312">
        <f t="shared" si="11"/>
        <v>111</v>
      </c>
      <c r="BG27" s="312">
        <f t="shared" si="11"/>
        <v>111</v>
      </c>
      <c r="BH27" s="305">
        <f t="shared" si="12"/>
        <v>1191</v>
      </c>
      <c r="BJ27" s="312">
        <f t="shared" si="13"/>
        <v>388</v>
      </c>
      <c r="BK27" s="312">
        <f t="shared" si="13"/>
        <v>425</v>
      </c>
      <c r="BL27" s="312">
        <f t="shared" si="13"/>
        <v>425</v>
      </c>
      <c r="BM27" s="312">
        <f t="shared" si="13"/>
        <v>463</v>
      </c>
      <c r="BN27" s="312">
        <f t="shared" si="13"/>
        <v>351</v>
      </c>
      <c r="BO27" s="312">
        <f t="shared" si="13"/>
        <v>425</v>
      </c>
      <c r="BP27" s="312">
        <f t="shared" si="13"/>
        <v>425</v>
      </c>
      <c r="BQ27" s="312">
        <f t="shared" si="13"/>
        <v>388</v>
      </c>
      <c r="BR27" s="312">
        <f t="shared" si="13"/>
        <v>444</v>
      </c>
      <c r="BS27" s="312">
        <f t="shared" si="13"/>
        <v>463</v>
      </c>
      <c r="BT27" s="312">
        <f t="shared" si="13"/>
        <v>481</v>
      </c>
      <c r="BU27" s="312">
        <f t="shared" si="13"/>
        <v>481</v>
      </c>
      <c r="BV27" s="305">
        <f t="shared" si="14"/>
        <v>5159</v>
      </c>
      <c r="BX27" s="312">
        <f t="shared" si="15"/>
        <v>200</v>
      </c>
      <c r="BY27" s="312">
        <f t="shared" si="15"/>
        <v>200</v>
      </c>
      <c r="BZ27" s="312">
        <f t="shared" si="15"/>
        <v>200</v>
      </c>
      <c r="CA27" s="312">
        <f t="shared" si="15"/>
        <v>200</v>
      </c>
      <c r="CB27" s="312">
        <f t="shared" si="15"/>
        <v>200</v>
      </c>
      <c r="CC27" s="312">
        <f t="shared" si="15"/>
        <v>200</v>
      </c>
      <c r="CD27" s="312">
        <f t="shared" si="15"/>
        <v>200</v>
      </c>
      <c r="CE27" s="312">
        <f t="shared" si="15"/>
        <v>200</v>
      </c>
      <c r="CF27" s="312">
        <f t="shared" si="15"/>
        <v>200</v>
      </c>
      <c r="CG27" s="312">
        <f t="shared" si="15"/>
        <v>200</v>
      </c>
      <c r="CH27" s="312">
        <f t="shared" si="16"/>
        <v>300</v>
      </c>
      <c r="CI27" s="312">
        <f t="shared" si="18"/>
        <v>200</v>
      </c>
      <c r="CJ27" s="312">
        <f t="shared" si="17"/>
        <v>2500</v>
      </c>
    </row>
    <row r="28" spans="2:88" ht="20.100000000000001" customHeight="1">
      <c r="B28" s="314">
        <v>22</v>
      </c>
      <c r="C28" s="315" t="s">
        <v>1727</v>
      </c>
      <c r="D28" s="321" t="s">
        <v>616</v>
      </c>
      <c r="E28" s="317">
        <v>10500</v>
      </c>
      <c r="F28" s="317">
        <v>11500</v>
      </c>
      <c r="G28" s="317">
        <v>12000</v>
      </c>
      <c r="H28" s="317">
        <v>12500</v>
      </c>
      <c r="I28" s="317">
        <v>11000</v>
      </c>
      <c r="J28" s="317">
        <v>7500</v>
      </c>
      <c r="K28" s="317">
        <v>13000</v>
      </c>
      <c r="L28" s="317">
        <v>10000</v>
      </c>
      <c r="M28" s="317">
        <v>10500</v>
      </c>
      <c r="N28" s="317">
        <v>11500</v>
      </c>
      <c r="O28" s="317">
        <v>13000</v>
      </c>
      <c r="P28" s="317">
        <v>12500</v>
      </c>
      <c r="Q28" s="318">
        <f t="shared" si="0"/>
        <v>135500</v>
      </c>
      <c r="R28" s="318">
        <f t="shared" si="1"/>
        <v>11287</v>
      </c>
      <c r="T28" s="312">
        <f t="shared" si="7"/>
        <v>1260</v>
      </c>
      <c r="U28" s="312">
        <f t="shared" si="7"/>
        <v>1380</v>
      </c>
      <c r="V28" s="312">
        <f t="shared" si="7"/>
        <v>1440</v>
      </c>
      <c r="W28" s="312">
        <f t="shared" si="7"/>
        <v>1500</v>
      </c>
      <c r="X28" s="312">
        <f t="shared" si="7"/>
        <v>1320</v>
      </c>
      <c r="Y28" s="312">
        <f t="shared" si="7"/>
        <v>900</v>
      </c>
      <c r="Z28" s="312">
        <f t="shared" si="7"/>
        <v>1560</v>
      </c>
      <c r="AA28" s="312">
        <f t="shared" si="7"/>
        <v>1200</v>
      </c>
      <c r="AB28" s="312">
        <f t="shared" si="7"/>
        <v>1260</v>
      </c>
      <c r="AC28" s="312">
        <f t="shared" si="7"/>
        <v>1380</v>
      </c>
      <c r="AD28" s="312">
        <f t="shared" si="7"/>
        <v>1560</v>
      </c>
      <c r="AE28" s="312">
        <f t="shared" si="7"/>
        <v>1500</v>
      </c>
      <c r="AF28" s="305">
        <f t="shared" si="8"/>
        <v>16260</v>
      </c>
      <c r="AH28" s="312">
        <f t="shared" si="9"/>
        <v>1365</v>
      </c>
      <c r="AI28" s="312">
        <f t="shared" si="9"/>
        <v>1495</v>
      </c>
      <c r="AJ28" s="312">
        <f t="shared" si="9"/>
        <v>1560</v>
      </c>
      <c r="AK28" s="312">
        <f t="shared" si="9"/>
        <v>1625</v>
      </c>
      <c r="AL28" s="312">
        <f t="shared" si="9"/>
        <v>1430</v>
      </c>
      <c r="AM28" s="312">
        <f t="shared" si="9"/>
        <v>975</v>
      </c>
      <c r="AN28" s="312">
        <f t="shared" si="9"/>
        <v>1690</v>
      </c>
      <c r="AO28" s="312">
        <f t="shared" si="9"/>
        <v>1300</v>
      </c>
      <c r="AP28" s="312">
        <f t="shared" si="9"/>
        <v>1365</v>
      </c>
      <c r="AQ28" s="312">
        <f t="shared" si="9"/>
        <v>1495</v>
      </c>
      <c r="AR28" s="312">
        <f t="shared" si="9"/>
        <v>1690</v>
      </c>
      <c r="AS28" s="312">
        <f t="shared" si="9"/>
        <v>1625</v>
      </c>
      <c r="AT28" s="305">
        <f t="shared" si="10"/>
        <v>17615</v>
      </c>
      <c r="AV28" s="312">
        <f t="shared" si="11"/>
        <v>79</v>
      </c>
      <c r="AW28" s="312">
        <f t="shared" si="11"/>
        <v>86</v>
      </c>
      <c r="AX28" s="312">
        <f t="shared" si="11"/>
        <v>90</v>
      </c>
      <c r="AY28" s="312">
        <f t="shared" si="11"/>
        <v>94</v>
      </c>
      <c r="AZ28" s="312">
        <f t="shared" si="11"/>
        <v>83</v>
      </c>
      <c r="BA28" s="312">
        <f t="shared" si="11"/>
        <v>56</v>
      </c>
      <c r="BB28" s="312">
        <f t="shared" si="11"/>
        <v>98</v>
      </c>
      <c r="BC28" s="312">
        <f t="shared" si="11"/>
        <v>75</v>
      </c>
      <c r="BD28" s="312">
        <f t="shared" si="11"/>
        <v>79</v>
      </c>
      <c r="BE28" s="312">
        <f t="shared" si="11"/>
        <v>86</v>
      </c>
      <c r="BF28" s="312">
        <f t="shared" si="11"/>
        <v>98</v>
      </c>
      <c r="BG28" s="312">
        <f t="shared" si="11"/>
        <v>94</v>
      </c>
      <c r="BH28" s="305">
        <f t="shared" si="12"/>
        <v>1018</v>
      </c>
      <c r="BJ28" s="312">
        <f t="shared" si="13"/>
        <v>341</v>
      </c>
      <c r="BK28" s="312">
        <f t="shared" si="13"/>
        <v>374</v>
      </c>
      <c r="BL28" s="312">
        <f t="shared" si="13"/>
        <v>390</v>
      </c>
      <c r="BM28" s="312">
        <f t="shared" si="13"/>
        <v>406</v>
      </c>
      <c r="BN28" s="312">
        <f t="shared" si="13"/>
        <v>358</v>
      </c>
      <c r="BO28" s="312">
        <f t="shared" si="13"/>
        <v>244</v>
      </c>
      <c r="BP28" s="312">
        <f t="shared" si="13"/>
        <v>423</v>
      </c>
      <c r="BQ28" s="312">
        <f t="shared" si="13"/>
        <v>325</v>
      </c>
      <c r="BR28" s="312">
        <f t="shared" si="13"/>
        <v>341</v>
      </c>
      <c r="BS28" s="312">
        <f t="shared" si="13"/>
        <v>374</v>
      </c>
      <c r="BT28" s="312">
        <f t="shared" si="13"/>
        <v>423</v>
      </c>
      <c r="BU28" s="312">
        <f t="shared" si="13"/>
        <v>406</v>
      </c>
      <c r="BV28" s="305">
        <f t="shared" si="14"/>
        <v>4405</v>
      </c>
      <c r="BX28" s="312">
        <f t="shared" si="15"/>
        <v>200</v>
      </c>
      <c r="BY28" s="312">
        <f t="shared" si="15"/>
        <v>200</v>
      </c>
      <c r="BZ28" s="312">
        <f t="shared" si="15"/>
        <v>200</v>
      </c>
      <c r="CA28" s="312">
        <f t="shared" si="15"/>
        <v>200</v>
      </c>
      <c r="CB28" s="312">
        <f t="shared" si="15"/>
        <v>200</v>
      </c>
      <c r="CC28" s="312">
        <f t="shared" si="15"/>
        <v>175</v>
      </c>
      <c r="CD28" s="312">
        <f t="shared" si="15"/>
        <v>200</v>
      </c>
      <c r="CE28" s="312">
        <f t="shared" si="15"/>
        <v>175</v>
      </c>
      <c r="CF28" s="312">
        <f t="shared" si="15"/>
        <v>200</v>
      </c>
      <c r="CG28" s="312">
        <f t="shared" si="15"/>
        <v>200</v>
      </c>
      <c r="CH28" s="312">
        <f t="shared" si="16"/>
        <v>300</v>
      </c>
      <c r="CI28" s="312">
        <f t="shared" si="18"/>
        <v>200</v>
      </c>
      <c r="CJ28" s="312">
        <f t="shared" si="17"/>
        <v>2450</v>
      </c>
    </row>
    <row r="29" spans="2:88" ht="20.100000000000001" customHeight="1">
      <c r="B29" s="319">
        <v>23</v>
      </c>
      <c r="C29" s="315" t="s">
        <v>1727</v>
      </c>
      <c r="D29" s="316" t="s">
        <v>1748</v>
      </c>
      <c r="E29" s="317">
        <v>22308</v>
      </c>
      <c r="F29" s="317">
        <v>29327</v>
      </c>
      <c r="G29" s="317">
        <v>26980</v>
      </c>
      <c r="H29" s="317">
        <v>29327</v>
      </c>
      <c r="I29" s="317">
        <v>29327</v>
      </c>
      <c r="J29" s="317">
        <v>25808</v>
      </c>
      <c r="K29" s="317">
        <v>30500</v>
      </c>
      <c r="L29" s="317">
        <v>29327</v>
      </c>
      <c r="M29" s="317">
        <v>23461</v>
      </c>
      <c r="N29" s="317">
        <v>26980</v>
      </c>
      <c r="O29" s="317">
        <v>24634</v>
      </c>
      <c r="P29" s="317">
        <v>25808</v>
      </c>
      <c r="Q29" s="318">
        <f t="shared" si="0"/>
        <v>323787</v>
      </c>
      <c r="R29" s="318">
        <f t="shared" si="1"/>
        <v>26971</v>
      </c>
      <c r="T29" s="312">
        <f t="shared" si="7"/>
        <v>1800</v>
      </c>
      <c r="U29" s="312">
        <f t="shared" si="7"/>
        <v>1800</v>
      </c>
      <c r="V29" s="312">
        <f t="shared" si="7"/>
        <v>1800</v>
      </c>
      <c r="W29" s="312">
        <f t="shared" si="7"/>
        <v>1800</v>
      </c>
      <c r="X29" s="312">
        <f t="shared" si="7"/>
        <v>1800</v>
      </c>
      <c r="Y29" s="312">
        <f t="shared" si="7"/>
        <v>1800</v>
      </c>
      <c r="Z29" s="312">
        <f t="shared" si="7"/>
        <v>1800</v>
      </c>
      <c r="AA29" s="312">
        <f t="shared" si="7"/>
        <v>1800</v>
      </c>
      <c r="AB29" s="312">
        <f t="shared" si="7"/>
        <v>1800</v>
      </c>
      <c r="AC29" s="312">
        <f t="shared" si="7"/>
        <v>1800</v>
      </c>
      <c r="AD29" s="312">
        <f t="shared" si="7"/>
        <v>1800</v>
      </c>
      <c r="AE29" s="312">
        <f t="shared" si="7"/>
        <v>1800</v>
      </c>
      <c r="AF29" s="305">
        <f t="shared" si="8"/>
        <v>21600</v>
      </c>
      <c r="AH29" s="312">
        <f t="shared" si="9"/>
        <v>1950</v>
      </c>
      <c r="AI29" s="312">
        <f t="shared" si="9"/>
        <v>1950</v>
      </c>
      <c r="AJ29" s="312">
        <f t="shared" si="9"/>
        <v>1950</v>
      </c>
      <c r="AK29" s="312">
        <f t="shared" si="9"/>
        <v>1950</v>
      </c>
      <c r="AL29" s="312">
        <f t="shared" si="9"/>
        <v>1950</v>
      </c>
      <c r="AM29" s="312">
        <f t="shared" si="9"/>
        <v>1950</v>
      </c>
      <c r="AN29" s="312">
        <f t="shared" si="9"/>
        <v>1950</v>
      </c>
      <c r="AO29" s="312">
        <f t="shared" si="9"/>
        <v>1950</v>
      </c>
      <c r="AP29" s="312">
        <f t="shared" si="9"/>
        <v>1950</v>
      </c>
      <c r="AQ29" s="312">
        <f t="shared" si="9"/>
        <v>1950</v>
      </c>
      <c r="AR29" s="312">
        <f t="shared" si="9"/>
        <v>1950</v>
      </c>
      <c r="AS29" s="312">
        <f t="shared" si="9"/>
        <v>1950</v>
      </c>
      <c r="AT29" s="305">
        <f t="shared" si="10"/>
        <v>23400</v>
      </c>
      <c r="AV29" s="312">
        <f t="shared" si="11"/>
        <v>0</v>
      </c>
      <c r="AW29" s="312">
        <f t="shared" si="11"/>
        <v>0</v>
      </c>
      <c r="AX29" s="312">
        <f t="shared" si="11"/>
        <v>0</v>
      </c>
      <c r="AY29" s="312">
        <f t="shared" si="11"/>
        <v>0</v>
      </c>
      <c r="AZ29" s="312">
        <f t="shared" si="11"/>
        <v>0</v>
      </c>
      <c r="BA29" s="312">
        <f t="shared" si="11"/>
        <v>0</v>
      </c>
      <c r="BB29" s="312">
        <f t="shared" si="11"/>
        <v>0</v>
      </c>
      <c r="BC29" s="312">
        <f t="shared" si="11"/>
        <v>0</v>
      </c>
      <c r="BD29" s="312">
        <f t="shared" si="11"/>
        <v>0</v>
      </c>
      <c r="BE29" s="312">
        <f t="shared" si="11"/>
        <v>0</v>
      </c>
      <c r="BF29" s="312">
        <f t="shared" si="11"/>
        <v>0</v>
      </c>
      <c r="BG29" s="312">
        <f t="shared" si="11"/>
        <v>0</v>
      </c>
      <c r="BH29" s="305">
        <f t="shared" si="12"/>
        <v>0</v>
      </c>
      <c r="BJ29" s="312">
        <f t="shared" si="13"/>
        <v>0</v>
      </c>
      <c r="BK29" s="312">
        <f t="shared" si="13"/>
        <v>0</v>
      </c>
      <c r="BL29" s="312">
        <f t="shared" si="13"/>
        <v>0</v>
      </c>
      <c r="BM29" s="312">
        <f t="shared" si="13"/>
        <v>0</v>
      </c>
      <c r="BN29" s="312">
        <f t="shared" si="13"/>
        <v>0</v>
      </c>
      <c r="BO29" s="312">
        <f t="shared" si="13"/>
        <v>0</v>
      </c>
      <c r="BP29" s="312">
        <f t="shared" si="13"/>
        <v>0</v>
      </c>
      <c r="BQ29" s="312">
        <f t="shared" si="13"/>
        <v>0</v>
      </c>
      <c r="BR29" s="312">
        <f t="shared" si="13"/>
        <v>0</v>
      </c>
      <c r="BS29" s="312">
        <f t="shared" si="13"/>
        <v>0</v>
      </c>
      <c r="BT29" s="312">
        <f t="shared" si="13"/>
        <v>0</v>
      </c>
      <c r="BU29" s="312">
        <f t="shared" si="13"/>
        <v>0</v>
      </c>
      <c r="BV29" s="305">
        <f t="shared" si="14"/>
        <v>0</v>
      </c>
      <c r="BX29" s="312">
        <f t="shared" si="15"/>
        <v>200</v>
      </c>
      <c r="BY29" s="312">
        <f t="shared" si="15"/>
        <v>200</v>
      </c>
      <c r="BZ29" s="312">
        <f t="shared" si="15"/>
        <v>200</v>
      </c>
      <c r="CA29" s="312">
        <f t="shared" si="15"/>
        <v>200</v>
      </c>
      <c r="CB29" s="312">
        <f t="shared" si="15"/>
        <v>200</v>
      </c>
      <c r="CC29" s="312">
        <f t="shared" si="15"/>
        <v>200</v>
      </c>
      <c r="CD29" s="312">
        <f t="shared" si="15"/>
        <v>200</v>
      </c>
      <c r="CE29" s="312">
        <f t="shared" si="15"/>
        <v>200</v>
      </c>
      <c r="CF29" s="312">
        <f t="shared" si="15"/>
        <v>200</v>
      </c>
      <c r="CG29" s="312">
        <f t="shared" si="15"/>
        <v>200</v>
      </c>
      <c r="CH29" s="312">
        <f t="shared" si="16"/>
        <v>300</v>
      </c>
      <c r="CI29" s="312">
        <f t="shared" si="18"/>
        <v>200</v>
      </c>
      <c r="CJ29" s="312">
        <f t="shared" si="17"/>
        <v>2500</v>
      </c>
    </row>
    <row r="30" spans="2:88" ht="20.100000000000001" customHeight="1">
      <c r="B30" s="314">
        <v>24</v>
      </c>
      <c r="C30" s="315" t="s">
        <v>1727</v>
      </c>
      <c r="D30" s="316" t="s">
        <v>1749</v>
      </c>
      <c r="E30" s="317">
        <v>13400</v>
      </c>
      <c r="F30" s="317">
        <v>13400</v>
      </c>
      <c r="G30" s="317">
        <v>13400</v>
      </c>
      <c r="H30" s="317">
        <v>13400</v>
      </c>
      <c r="I30" s="317">
        <v>12885</v>
      </c>
      <c r="J30" s="317">
        <v>12885</v>
      </c>
      <c r="K30" s="317">
        <v>13400</v>
      </c>
      <c r="L30" s="317">
        <v>9792</v>
      </c>
      <c r="M30" s="317">
        <v>12369</v>
      </c>
      <c r="N30" s="317">
        <v>13915</v>
      </c>
      <c r="O30" s="317">
        <v>13400</v>
      </c>
      <c r="P30" s="317">
        <v>10308</v>
      </c>
      <c r="Q30" s="318">
        <f t="shared" si="0"/>
        <v>152554</v>
      </c>
      <c r="R30" s="318">
        <f t="shared" si="1"/>
        <v>12708</v>
      </c>
      <c r="T30" s="312">
        <f t="shared" si="7"/>
        <v>1608</v>
      </c>
      <c r="U30" s="312">
        <f t="shared" si="7"/>
        <v>1608</v>
      </c>
      <c r="V30" s="312">
        <f t="shared" si="7"/>
        <v>1608</v>
      </c>
      <c r="W30" s="312">
        <f t="shared" si="7"/>
        <v>1608</v>
      </c>
      <c r="X30" s="312">
        <f t="shared" si="7"/>
        <v>1546</v>
      </c>
      <c r="Y30" s="312">
        <f t="shared" si="7"/>
        <v>1546</v>
      </c>
      <c r="Z30" s="312">
        <f t="shared" si="7"/>
        <v>1608</v>
      </c>
      <c r="AA30" s="312">
        <f t="shared" si="7"/>
        <v>1175</v>
      </c>
      <c r="AB30" s="312">
        <f t="shared" si="7"/>
        <v>1484</v>
      </c>
      <c r="AC30" s="312">
        <f t="shared" si="7"/>
        <v>1670</v>
      </c>
      <c r="AD30" s="312">
        <f t="shared" si="7"/>
        <v>1608</v>
      </c>
      <c r="AE30" s="312">
        <f t="shared" si="7"/>
        <v>1237</v>
      </c>
      <c r="AF30" s="305">
        <f t="shared" si="8"/>
        <v>18306</v>
      </c>
      <c r="AH30" s="312">
        <f t="shared" si="9"/>
        <v>1742</v>
      </c>
      <c r="AI30" s="312">
        <f t="shared" si="9"/>
        <v>1742</v>
      </c>
      <c r="AJ30" s="312">
        <f t="shared" si="9"/>
        <v>1742</v>
      </c>
      <c r="AK30" s="312">
        <f t="shared" si="9"/>
        <v>1742</v>
      </c>
      <c r="AL30" s="312">
        <f t="shared" si="9"/>
        <v>1675</v>
      </c>
      <c r="AM30" s="312">
        <f t="shared" si="9"/>
        <v>1675</v>
      </c>
      <c r="AN30" s="312">
        <f t="shared" si="9"/>
        <v>1742</v>
      </c>
      <c r="AO30" s="312">
        <f t="shared" si="9"/>
        <v>1273</v>
      </c>
      <c r="AP30" s="312">
        <f t="shared" si="9"/>
        <v>1608</v>
      </c>
      <c r="AQ30" s="312">
        <f t="shared" si="9"/>
        <v>1809</v>
      </c>
      <c r="AR30" s="312">
        <f t="shared" si="9"/>
        <v>1742</v>
      </c>
      <c r="AS30" s="312">
        <f t="shared" si="9"/>
        <v>1340</v>
      </c>
      <c r="AT30" s="305">
        <f t="shared" si="10"/>
        <v>19832</v>
      </c>
      <c r="AV30" s="312">
        <f t="shared" si="11"/>
        <v>101</v>
      </c>
      <c r="AW30" s="312">
        <f t="shared" si="11"/>
        <v>101</v>
      </c>
      <c r="AX30" s="312">
        <f t="shared" si="11"/>
        <v>101</v>
      </c>
      <c r="AY30" s="312">
        <f t="shared" si="11"/>
        <v>101</v>
      </c>
      <c r="AZ30" s="312">
        <f t="shared" si="11"/>
        <v>97</v>
      </c>
      <c r="BA30" s="312">
        <f t="shared" si="11"/>
        <v>97</v>
      </c>
      <c r="BB30" s="312">
        <f t="shared" si="11"/>
        <v>101</v>
      </c>
      <c r="BC30" s="312">
        <f t="shared" si="11"/>
        <v>73</v>
      </c>
      <c r="BD30" s="312">
        <f t="shared" si="11"/>
        <v>93</v>
      </c>
      <c r="BE30" s="312">
        <f t="shared" si="11"/>
        <v>104</v>
      </c>
      <c r="BF30" s="312">
        <f t="shared" si="11"/>
        <v>101</v>
      </c>
      <c r="BG30" s="312">
        <f t="shared" si="11"/>
        <v>77</v>
      </c>
      <c r="BH30" s="305">
        <f t="shared" si="12"/>
        <v>1147</v>
      </c>
      <c r="BJ30" s="312">
        <f t="shared" si="13"/>
        <v>436</v>
      </c>
      <c r="BK30" s="312">
        <f t="shared" si="13"/>
        <v>436</v>
      </c>
      <c r="BL30" s="312">
        <f t="shared" si="13"/>
        <v>436</v>
      </c>
      <c r="BM30" s="312">
        <f t="shared" si="13"/>
        <v>436</v>
      </c>
      <c r="BN30" s="312">
        <f t="shared" si="13"/>
        <v>419</v>
      </c>
      <c r="BO30" s="312">
        <f t="shared" si="13"/>
        <v>419</v>
      </c>
      <c r="BP30" s="312">
        <f t="shared" si="13"/>
        <v>436</v>
      </c>
      <c r="BQ30" s="312">
        <f t="shared" si="13"/>
        <v>318</v>
      </c>
      <c r="BR30" s="312">
        <f t="shared" si="13"/>
        <v>402</v>
      </c>
      <c r="BS30" s="312">
        <f t="shared" si="13"/>
        <v>452</v>
      </c>
      <c r="BT30" s="312">
        <f t="shared" si="13"/>
        <v>436</v>
      </c>
      <c r="BU30" s="312">
        <f t="shared" si="13"/>
        <v>335</v>
      </c>
      <c r="BV30" s="305">
        <f t="shared" si="14"/>
        <v>4961</v>
      </c>
      <c r="BX30" s="312">
        <f t="shared" si="15"/>
        <v>200</v>
      </c>
      <c r="BY30" s="312">
        <f t="shared" si="15"/>
        <v>200</v>
      </c>
      <c r="BZ30" s="312">
        <f t="shared" si="15"/>
        <v>200</v>
      </c>
      <c r="CA30" s="312">
        <f t="shared" si="15"/>
        <v>200</v>
      </c>
      <c r="CB30" s="312">
        <f t="shared" si="15"/>
        <v>200</v>
      </c>
      <c r="CC30" s="312">
        <f t="shared" si="15"/>
        <v>200</v>
      </c>
      <c r="CD30" s="312">
        <f t="shared" si="15"/>
        <v>200</v>
      </c>
      <c r="CE30" s="312">
        <f t="shared" si="15"/>
        <v>175</v>
      </c>
      <c r="CF30" s="312">
        <f t="shared" si="15"/>
        <v>200</v>
      </c>
      <c r="CG30" s="312">
        <f t="shared" si="15"/>
        <v>200</v>
      </c>
      <c r="CH30" s="312">
        <f t="shared" si="16"/>
        <v>300</v>
      </c>
      <c r="CI30" s="312">
        <f t="shared" si="18"/>
        <v>200</v>
      </c>
      <c r="CJ30" s="312">
        <f t="shared" si="17"/>
        <v>2475</v>
      </c>
    </row>
    <row r="31" spans="2:88" ht="20.100000000000001" customHeight="1">
      <c r="B31" s="314">
        <v>25</v>
      </c>
      <c r="C31" s="315" t="s">
        <v>1727</v>
      </c>
      <c r="D31" s="316" t="s">
        <v>1750</v>
      </c>
      <c r="E31" s="317">
        <v>13400</v>
      </c>
      <c r="F31" s="317">
        <v>13400</v>
      </c>
      <c r="G31" s="317">
        <v>12885</v>
      </c>
      <c r="H31" s="317">
        <v>13915</v>
      </c>
      <c r="I31" s="317">
        <v>13400</v>
      </c>
      <c r="J31" s="317">
        <v>13400</v>
      </c>
      <c r="K31" s="317">
        <v>13915</v>
      </c>
      <c r="L31" s="317">
        <v>10308</v>
      </c>
      <c r="M31" s="317">
        <v>13400</v>
      </c>
      <c r="N31" s="317">
        <v>13400</v>
      </c>
      <c r="O31" s="317">
        <v>13400</v>
      </c>
      <c r="P31" s="317">
        <v>13400</v>
      </c>
      <c r="Q31" s="318">
        <f>SUM(E31:P31)</f>
        <v>158223</v>
      </c>
      <c r="R31" s="318">
        <f t="shared" si="1"/>
        <v>13180</v>
      </c>
      <c r="T31" s="312">
        <f t="shared" si="7"/>
        <v>1608</v>
      </c>
      <c r="U31" s="312">
        <f t="shared" si="7"/>
        <v>1608</v>
      </c>
      <c r="V31" s="312">
        <f t="shared" si="7"/>
        <v>1546</v>
      </c>
      <c r="W31" s="312">
        <f t="shared" si="7"/>
        <v>1670</v>
      </c>
      <c r="X31" s="312">
        <f t="shared" si="7"/>
        <v>1608</v>
      </c>
      <c r="Y31" s="312">
        <f t="shared" si="7"/>
        <v>1608</v>
      </c>
      <c r="Z31" s="312">
        <f t="shared" si="7"/>
        <v>1670</v>
      </c>
      <c r="AA31" s="312">
        <f t="shared" si="7"/>
        <v>1237</v>
      </c>
      <c r="AB31" s="312">
        <f t="shared" si="7"/>
        <v>1608</v>
      </c>
      <c r="AC31" s="312">
        <f t="shared" si="7"/>
        <v>1608</v>
      </c>
      <c r="AD31" s="312">
        <f t="shared" si="7"/>
        <v>1608</v>
      </c>
      <c r="AE31" s="312">
        <f t="shared" si="7"/>
        <v>1608</v>
      </c>
      <c r="AF31" s="305">
        <f t="shared" si="8"/>
        <v>18987</v>
      </c>
      <c r="AH31" s="312">
        <f t="shared" si="9"/>
        <v>1742</v>
      </c>
      <c r="AI31" s="312">
        <f t="shared" si="9"/>
        <v>1742</v>
      </c>
      <c r="AJ31" s="312">
        <f t="shared" si="9"/>
        <v>1675</v>
      </c>
      <c r="AK31" s="312">
        <f t="shared" si="9"/>
        <v>1809</v>
      </c>
      <c r="AL31" s="312">
        <f t="shared" si="9"/>
        <v>1742</v>
      </c>
      <c r="AM31" s="312">
        <f t="shared" si="9"/>
        <v>1742</v>
      </c>
      <c r="AN31" s="312">
        <f t="shared" si="9"/>
        <v>1809</v>
      </c>
      <c r="AO31" s="312">
        <f t="shared" si="9"/>
        <v>1340</v>
      </c>
      <c r="AP31" s="312">
        <f t="shared" si="9"/>
        <v>1742</v>
      </c>
      <c r="AQ31" s="312">
        <f t="shared" si="9"/>
        <v>1742</v>
      </c>
      <c r="AR31" s="312">
        <f t="shared" si="9"/>
        <v>1742</v>
      </c>
      <c r="AS31" s="312">
        <f t="shared" si="9"/>
        <v>1742</v>
      </c>
      <c r="AT31" s="305">
        <f t="shared" si="10"/>
        <v>20569</v>
      </c>
      <c r="AV31" s="312">
        <f t="shared" si="11"/>
        <v>101</v>
      </c>
      <c r="AW31" s="312">
        <f t="shared" si="11"/>
        <v>101</v>
      </c>
      <c r="AX31" s="312">
        <f t="shared" si="11"/>
        <v>97</v>
      </c>
      <c r="AY31" s="312">
        <f t="shared" si="11"/>
        <v>104</v>
      </c>
      <c r="AZ31" s="312">
        <f t="shared" si="11"/>
        <v>101</v>
      </c>
      <c r="BA31" s="312">
        <f t="shared" si="11"/>
        <v>101</v>
      </c>
      <c r="BB31" s="312">
        <f t="shared" si="11"/>
        <v>104</v>
      </c>
      <c r="BC31" s="312">
        <f t="shared" si="11"/>
        <v>77</v>
      </c>
      <c r="BD31" s="312">
        <f t="shared" si="11"/>
        <v>101</v>
      </c>
      <c r="BE31" s="312">
        <f t="shared" si="11"/>
        <v>101</v>
      </c>
      <c r="BF31" s="312">
        <f t="shared" si="11"/>
        <v>101</v>
      </c>
      <c r="BG31" s="312">
        <f t="shared" si="11"/>
        <v>101</v>
      </c>
      <c r="BH31" s="305">
        <f t="shared" si="12"/>
        <v>1190</v>
      </c>
      <c r="BJ31" s="312">
        <f t="shared" si="13"/>
        <v>436</v>
      </c>
      <c r="BK31" s="312">
        <f t="shared" si="13"/>
        <v>436</v>
      </c>
      <c r="BL31" s="312">
        <f t="shared" si="13"/>
        <v>419</v>
      </c>
      <c r="BM31" s="312">
        <f t="shared" si="13"/>
        <v>452</v>
      </c>
      <c r="BN31" s="312">
        <f t="shared" si="13"/>
        <v>436</v>
      </c>
      <c r="BO31" s="312">
        <f t="shared" si="13"/>
        <v>436</v>
      </c>
      <c r="BP31" s="312">
        <f t="shared" si="13"/>
        <v>452</v>
      </c>
      <c r="BQ31" s="312">
        <f t="shared" si="13"/>
        <v>335</v>
      </c>
      <c r="BR31" s="312">
        <f t="shared" si="13"/>
        <v>436</v>
      </c>
      <c r="BS31" s="312">
        <f t="shared" si="13"/>
        <v>436</v>
      </c>
      <c r="BT31" s="312">
        <f t="shared" si="13"/>
        <v>436</v>
      </c>
      <c r="BU31" s="312">
        <f t="shared" si="13"/>
        <v>436</v>
      </c>
      <c r="BV31" s="305">
        <f t="shared" si="14"/>
        <v>5146</v>
      </c>
      <c r="BX31" s="312">
        <f t="shared" si="15"/>
        <v>200</v>
      </c>
      <c r="BY31" s="312">
        <f t="shared" si="15"/>
        <v>200</v>
      </c>
      <c r="BZ31" s="312">
        <f t="shared" si="15"/>
        <v>200</v>
      </c>
      <c r="CA31" s="312">
        <f t="shared" si="15"/>
        <v>200</v>
      </c>
      <c r="CB31" s="312">
        <f t="shared" si="15"/>
        <v>200</v>
      </c>
      <c r="CC31" s="312">
        <f t="shared" si="15"/>
        <v>200</v>
      </c>
      <c r="CD31" s="312">
        <f t="shared" si="15"/>
        <v>200</v>
      </c>
      <c r="CE31" s="312">
        <f t="shared" si="15"/>
        <v>200</v>
      </c>
      <c r="CF31" s="312">
        <f t="shared" si="15"/>
        <v>200</v>
      </c>
      <c r="CG31" s="312">
        <f t="shared" si="15"/>
        <v>200</v>
      </c>
      <c r="CH31" s="312">
        <f t="shared" si="16"/>
        <v>300</v>
      </c>
      <c r="CI31" s="312">
        <f t="shared" si="18"/>
        <v>200</v>
      </c>
      <c r="CJ31" s="312">
        <f t="shared" si="17"/>
        <v>2500</v>
      </c>
    </row>
    <row r="32" spans="2:88" ht="20.100000000000001" customHeight="1">
      <c r="B32" s="322"/>
      <c r="C32" s="322"/>
      <c r="D32" s="323"/>
      <c r="E32" s="324"/>
      <c r="F32" s="324"/>
      <c r="G32" s="324"/>
      <c r="H32" s="324"/>
      <c r="I32" s="324"/>
      <c r="J32" s="324"/>
      <c r="K32" s="324"/>
      <c r="L32" s="324"/>
      <c r="M32" s="324"/>
      <c r="N32" s="324"/>
      <c r="O32" s="324"/>
      <c r="P32" s="324"/>
      <c r="Q32" s="324"/>
      <c r="R32" s="324"/>
      <c r="T32" s="312"/>
      <c r="U32" s="312"/>
      <c r="V32" s="312"/>
      <c r="W32" s="312"/>
      <c r="X32" s="312"/>
      <c r="Y32" s="312"/>
      <c r="Z32" s="312"/>
      <c r="AA32" s="312"/>
      <c r="AB32" s="312"/>
      <c r="AC32" s="312"/>
      <c r="AD32" s="312"/>
      <c r="AE32" s="312"/>
      <c r="AF32" s="305"/>
      <c r="AH32" s="312"/>
      <c r="AI32" s="312"/>
      <c r="AJ32" s="312"/>
      <c r="AK32" s="312"/>
      <c r="AL32" s="312"/>
      <c r="AM32" s="312"/>
      <c r="AN32" s="312"/>
      <c r="AO32" s="312"/>
      <c r="AP32" s="312"/>
      <c r="AQ32" s="312"/>
      <c r="AR32" s="312"/>
      <c r="AS32" s="312"/>
      <c r="AT32" s="305"/>
      <c r="AV32" s="312"/>
      <c r="AW32" s="312"/>
      <c r="AX32" s="312"/>
      <c r="AY32" s="312"/>
      <c r="AZ32" s="312"/>
      <c r="BA32" s="312"/>
      <c r="BB32" s="312"/>
      <c r="BC32" s="312"/>
      <c r="BD32" s="312"/>
      <c r="BE32" s="312"/>
      <c r="BF32" s="312"/>
      <c r="BG32" s="312"/>
      <c r="BJ32" s="312"/>
      <c r="BK32" s="312"/>
      <c r="BL32" s="312"/>
      <c r="BM32" s="312"/>
      <c r="BN32" s="312"/>
      <c r="BO32" s="312"/>
      <c r="BP32" s="312"/>
      <c r="BQ32" s="312"/>
      <c r="BR32" s="312"/>
      <c r="BS32" s="312"/>
      <c r="BT32" s="312"/>
      <c r="BU32" s="312"/>
      <c r="BX32" s="312"/>
      <c r="BY32" s="312"/>
      <c r="BZ32" s="312"/>
      <c r="CA32" s="312"/>
      <c r="CB32" s="312"/>
      <c r="CC32" s="312"/>
      <c r="CD32" s="312"/>
      <c r="CE32" s="312"/>
      <c r="CF32" s="312"/>
      <c r="CG32" s="312"/>
      <c r="CH32" s="312"/>
      <c r="CI32" s="312"/>
      <c r="CJ32" s="312"/>
    </row>
    <row r="33" spans="2:89" ht="15" customHeight="1">
      <c r="B33" s="300" t="s">
        <v>1710</v>
      </c>
      <c r="C33" s="301"/>
      <c r="D33" s="302" t="s">
        <v>1711</v>
      </c>
      <c r="E33" s="303" t="s">
        <v>1712</v>
      </c>
      <c r="F33" s="304" t="s">
        <v>1713</v>
      </c>
      <c r="G33" s="304" t="s">
        <v>1714</v>
      </c>
      <c r="H33" s="304" t="s">
        <v>1715</v>
      </c>
      <c r="I33" s="304" t="s">
        <v>1716</v>
      </c>
      <c r="J33" s="304" t="s">
        <v>1717</v>
      </c>
      <c r="K33" s="304" t="s">
        <v>1718</v>
      </c>
      <c r="L33" s="304" t="s">
        <v>1719</v>
      </c>
      <c r="M33" s="304" t="s">
        <v>1720</v>
      </c>
      <c r="N33" s="304" t="s">
        <v>1721</v>
      </c>
      <c r="O33" s="304" t="s">
        <v>1722</v>
      </c>
      <c r="P33" s="304" t="s">
        <v>1723</v>
      </c>
      <c r="Q33" s="304" t="s">
        <v>1724</v>
      </c>
      <c r="R33" s="304" t="s">
        <v>1725</v>
      </c>
      <c r="T33" s="312"/>
      <c r="U33" s="312"/>
      <c r="V33" s="312"/>
      <c r="W33" s="312"/>
      <c r="X33" s="312"/>
      <c r="Y33" s="312"/>
      <c r="Z33" s="312"/>
      <c r="AA33" s="312"/>
      <c r="AB33" s="312"/>
      <c r="AC33" s="312"/>
      <c r="AD33" s="312"/>
      <c r="AE33" s="312"/>
      <c r="AF33" s="305"/>
      <c r="AH33" s="312"/>
      <c r="AI33" s="312"/>
      <c r="AJ33" s="312"/>
      <c r="AK33" s="312"/>
      <c r="AL33" s="312"/>
      <c r="AM33" s="312"/>
      <c r="AN33" s="312"/>
      <c r="AO33" s="312"/>
      <c r="AP33" s="312"/>
      <c r="AQ33" s="312"/>
      <c r="AR33" s="312"/>
      <c r="AS33" s="312"/>
      <c r="AT33" s="305"/>
      <c r="AV33" s="312"/>
      <c r="AW33" s="312"/>
      <c r="AX33" s="312"/>
      <c r="AY33" s="312"/>
      <c r="AZ33" s="312"/>
      <c r="BA33" s="312"/>
      <c r="BB33" s="312"/>
      <c r="BC33" s="312"/>
      <c r="BD33" s="312"/>
      <c r="BE33" s="312"/>
      <c r="BF33" s="312"/>
      <c r="BG33" s="312"/>
      <c r="BH33" s="312"/>
      <c r="BJ33" s="312"/>
      <c r="BK33" s="312"/>
      <c r="BL33" s="312"/>
      <c r="BM33" s="312"/>
      <c r="BN33" s="312"/>
      <c r="BO33" s="312"/>
      <c r="BP33" s="312"/>
      <c r="BQ33" s="312"/>
      <c r="BR33" s="312"/>
      <c r="BS33" s="312"/>
      <c r="BT33" s="312"/>
      <c r="BU33" s="312"/>
      <c r="BV33" s="305"/>
      <c r="BX33" s="312"/>
      <c r="BY33" s="312"/>
      <c r="BZ33" s="312"/>
      <c r="CA33" s="312"/>
      <c r="CB33" s="312"/>
      <c r="CC33" s="312"/>
      <c r="CD33" s="312"/>
      <c r="CE33" s="312"/>
      <c r="CF33" s="312"/>
      <c r="CG33" s="312"/>
      <c r="CH33" s="312"/>
      <c r="CI33" s="312"/>
      <c r="CJ33" s="312"/>
      <c r="CK33" s="312"/>
    </row>
    <row r="34" spans="2:89" ht="15" customHeight="1" thickBot="1">
      <c r="B34" s="306"/>
      <c r="C34" s="307"/>
      <c r="D34" s="308"/>
      <c r="E34" s="309"/>
      <c r="F34" s="310"/>
      <c r="G34" s="310"/>
      <c r="H34" s="310"/>
      <c r="I34" s="310"/>
      <c r="J34" s="310"/>
      <c r="K34" s="310"/>
      <c r="L34" s="310"/>
      <c r="M34" s="310"/>
      <c r="N34" s="310"/>
      <c r="O34" s="310"/>
      <c r="P34" s="310"/>
      <c r="Q34" s="310"/>
      <c r="R34" s="311" t="s">
        <v>1726</v>
      </c>
      <c r="T34" s="312"/>
      <c r="U34" s="312"/>
      <c r="V34" s="312"/>
      <c r="W34" s="312"/>
      <c r="X34" s="312"/>
      <c r="Y34" s="312"/>
      <c r="Z34" s="312"/>
      <c r="AA34" s="312"/>
      <c r="AB34" s="312"/>
      <c r="AC34" s="312"/>
      <c r="AD34" s="312"/>
      <c r="AE34" s="312"/>
      <c r="AF34" s="305"/>
      <c r="AH34" s="312"/>
      <c r="AI34" s="312"/>
      <c r="AJ34" s="312"/>
      <c r="AK34" s="312"/>
      <c r="AL34" s="312"/>
      <c r="AM34" s="312"/>
      <c r="AN34" s="312"/>
      <c r="AO34" s="312"/>
      <c r="AP34" s="312"/>
      <c r="AQ34" s="312"/>
      <c r="AR34" s="312"/>
      <c r="AS34" s="312"/>
      <c r="AT34" s="305"/>
      <c r="AV34" s="312"/>
      <c r="AW34" s="312"/>
      <c r="AX34" s="312"/>
      <c r="AY34" s="312"/>
      <c r="AZ34" s="312"/>
      <c r="BA34" s="312"/>
      <c r="BB34" s="312"/>
      <c r="BC34" s="312"/>
      <c r="BD34" s="312"/>
      <c r="BE34" s="312"/>
      <c r="BF34" s="312"/>
      <c r="BG34" s="312"/>
      <c r="BH34" s="312"/>
      <c r="BJ34" s="312"/>
      <c r="BK34" s="312"/>
      <c r="BL34" s="312"/>
      <c r="BM34" s="312"/>
      <c r="BN34" s="312"/>
      <c r="BO34" s="312"/>
      <c r="BP34" s="312"/>
      <c r="BQ34" s="312"/>
      <c r="BR34" s="312"/>
      <c r="BS34" s="312"/>
      <c r="BT34" s="312"/>
      <c r="BU34" s="312"/>
      <c r="BV34" s="305"/>
      <c r="BX34" s="312"/>
      <c r="BY34" s="312"/>
      <c r="BZ34" s="312"/>
      <c r="CA34" s="312"/>
      <c r="CB34" s="312"/>
      <c r="CC34" s="312"/>
      <c r="CD34" s="312"/>
      <c r="CE34" s="312"/>
      <c r="CF34" s="312"/>
      <c r="CG34" s="312"/>
      <c r="CH34" s="312"/>
      <c r="CI34" s="312"/>
      <c r="CJ34" s="312"/>
      <c r="CK34" s="312"/>
    </row>
    <row r="35" spans="2:89" ht="20.100000000000001" customHeight="1" thickTop="1">
      <c r="B35" s="314">
        <v>26</v>
      </c>
      <c r="C35" s="315" t="s">
        <v>1727</v>
      </c>
      <c r="D35" s="316" t="s">
        <v>1751</v>
      </c>
      <c r="E35" s="317">
        <v>12308</v>
      </c>
      <c r="F35" s="317">
        <v>11322</v>
      </c>
      <c r="G35" s="317">
        <v>12308</v>
      </c>
      <c r="H35" s="317">
        <v>6892</v>
      </c>
      <c r="I35" s="317">
        <v>12308</v>
      </c>
      <c r="J35" s="317">
        <v>12308</v>
      </c>
      <c r="K35" s="317">
        <v>12308</v>
      </c>
      <c r="L35" s="317">
        <v>11322</v>
      </c>
      <c r="M35" s="317">
        <v>13292</v>
      </c>
      <c r="N35" s="317">
        <v>11815</v>
      </c>
      <c r="O35" s="317">
        <v>12800</v>
      </c>
      <c r="P35" s="317">
        <v>11322</v>
      </c>
      <c r="Q35" s="318">
        <f t="shared" ref="Q35:Q53" si="19">SUM(E35:P35)</f>
        <v>140305</v>
      </c>
      <c r="R35" s="318">
        <f t="shared" ref="R35:R54" si="20">ROUND(Q35*8.33%,0)</f>
        <v>11687</v>
      </c>
      <c r="T35" s="312">
        <f t="shared" si="7"/>
        <v>1477</v>
      </c>
      <c r="U35" s="312">
        <f t="shared" si="7"/>
        <v>1359</v>
      </c>
      <c r="V35" s="312">
        <f t="shared" si="7"/>
        <v>1477</v>
      </c>
      <c r="W35" s="312">
        <f t="shared" si="7"/>
        <v>827</v>
      </c>
      <c r="X35" s="312">
        <f t="shared" si="7"/>
        <v>1477</v>
      </c>
      <c r="Y35" s="312">
        <f t="shared" si="7"/>
        <v>1477</v>
      </c>
      <c r="Z35" s="312">
        <f t="shared" si="7"/>
        <v>1477</v>
      </c>
      <c r="AA35" s="312">
        <f t="shared" si="7"/>
        <v>1359</v>
      </c>
      <c r="AB35" s="312">
        <f t="shared" si="7"/>
        <v>1595</v>
      </c>
      <c r="AC35" s="312">
        <f t="shared" si="7"/>
        <v>1418</v>
      </c>
      <c r="AD35" s="312">
        <f t="shared" si="7"/>
        <v>1536</v>
      </c>
      <c r="AE35" s="312">
        <f t="shared" si="7"/>
        <v>1359</v>
      </c>
      <c r="AF35" s="305">
        <f t="shared" ref="AF35:AF51" si="21">+SUM(T35:AE35)</f>
        <v>16838</v>
      </c>
      <c r="AH35" s="312">
        <f t="shared" ref="AH35:AS54" si="22">+ROUND(IF(E35&gt;15000,(15000*13%),(E35*13%)),0)</f>
        <v>1600</v>
      </c>
      <c r="AI35" s="312">
        <f t="shared" si="22"/>
        <v>1472</v>
      </c>
      <c r="AJ35" s="312">
        <f t="shared" si="22"/>
        <v>1600</v>
      </c>
      <c r="AK35" s="312">
        <f t="shared" si="22"/>
        <v>896</v>
      </c>
      <c r="AL35" s="312">
        <f t="shared" si="22"/>
        <v>1600</v>
      </c>
      <c r="AM35" s="312">
        <f t="shared" si="22"/>
        <v>1600</v>
      </c>
      <c r="AN35" s="312">
        <f t="shared" si="22"/>
        <v>1600</v>
      </c>
      <c r="AO35" s="312">
        <f t="shared" si="22"/>
        <v>1472</v>
      </c>
      <c r="AP35" s="312">
        <f t="shared" si="22"/>
        <v>1728</v>
      </c>
      <c r="AQ35" s="312">
        <f t="shared" si="22"/>
        <v>1536</v>
      </c>
      <c r="AR35" s="312">
        <f t="shared" si="22"/>
        <v>1664</v>
      </c>
      <c r="AS35" s="312">
        <f t="shared" si="22"/>
        <v>1472</v>
      </c>
      <c r="AT35" s="305">
        <f t="shared" ref="AT35:AT54" si="23">+SUM(AH35:AS35)</f>
        <v>18240</v>
      </c>
      <c r="AV35" s="312">
        <f t="shared" si="11"/>
        <v>92</v>
      </c>
      <c r="AW35" s="312">
        <f t="shared" si="11"/>
        <v>85</v>
      </c>
      <c r="AX35" s="312">
        <f t="shared" si="11"/>
        <v>92</v>
      </c>
      <c r="AY35" s="312">
        <f t="shared" si="11"/>
        <v>52</v>
      </c>
      <c r="AZ35" s="312">
        <f t="shared" si="11"/>
        <v>92</v>
      </c>
      <c r="BA35" s="312">
        <f t="shared" si="11"/>
        <v>92</v>
      </c>
      <c r="BB35" s="312">
        <f t="shared" si="11"/>
        <v>92</v>
      </c>
      <c r="BC35" s="312">
        <f t="shared" si="11"/>
        <v>85</v>
      </c>
      <c r="BD35" s="312">
        <f t="shared" si="11"/>
        <v>100</v>
      </c>
      <c r="BE35" s="312">
        <f t="shared" si="11"/>
        <v>89</v>
      </c>
      <c r="BF35" s="312">
        <f t="shared" si="11"/>
        <v>96</v>
      </c>
      <c r="BG35" s="312">
        <f t="shared" si="11"/>
        <v>85</v>
      </c>
      <c r="BH35" s="305">
        <f t="shared" ref="BH35:BH54" si="24">+SUM(AV35:BG35)</f>
        <v>1052</v>
      </c>
      <c r="BJ35" s="312">
        <f t="shared" si="13"/>
        <v>400</v>
      </c>
      <c r="BK35" s="312">
        <f t="shared" si="13"/>
        <v>368</v>
      </c>
      <c r="BL35" s="312">
        <f t="shared" si="13"/>
        <v>400</v>
      </c>
      <c r="BM35" s="312">
        <f t="shared" si="13"/>
        <v>224</v>
      </c>
      <c r="BN35" s="312">
        <f t="shared" si="13"/>
        <v>400</v>
      </c>
      <c r="BO35" s="312">
        <f t="shared" si="13"/>
        <v>400</v>
      </c>
      <c r="BP35" s="312">
        <f t="shared" si="13"/>
        <v>400</v>
      </c>
      <c r="BQ35" s="312">
        <f t="shared" si="13"/>
        <v>368</v>
      </c>
      <c r="BR35" s="312">
        <f t="shared" si="13"/>
        <v>432</v>
      </c>
      <c r="BS35" s="312">
        <f t="shared" si="13"/>
        <v>384</v>
      </c>
      <c r="BT35" s="312">
        <f t="shared" si="13"/>
        <v>416</v>
      </c>
      <c r="BU35" s="312">
        <f t="shared" si="13"/>
        <v>368</v>
      </c>
      <c r="BV35" s="305">
        <f t="shared" ref="BV35:BV54" si="25">+SUM(BJ35:BU35)</f>
        <v>4560</v>
      </c>
      <c r="BX35" s="312">
        <f t="shared" ref="BX35:CG54" si="26">+IF(E35&lt;=0,0,IF(E35&gt;10000,200,175))</f>
        <v>200</v>
      </c>
      <c r="BY35" s="312">
        <f t="shared" si="26"/>
        <v>200</v>
      </c>
      <c r="BZ35" s="312">
        <f t="shared" si="26"/>
        <v>200</v>
      </c>
      <c r="CA35" s="312">
        <f t="shared" si="26"/>
        <v>175</v>
      </c>
      <c r="CB35" s="312">
        <f t="shared" si="26"/>
        <v>200</v>
      </c>
      <c r="CC35" s="312">
        <f t="shared" si="26"/>
        <v>200</v>
      </c>
      <c r="CD35" s="312">
        <f t="shared" si="26"/>
        <v>200</v>
      </c>
      <c r="CE35" s="312">
        <f t="shared" si="26"/>
        <v>200</v>
      </c>
      <c r="CF35" s="312">
        <f t="shared" si="26"/>
        <v>200</v>
      </c>
      <c r="CG35" s="312">
        <f t="shared" si="26"/>
        <v>200</v>
      </c>
      <c r="CH35" s="312">
        <f t="shared" ref="CH35:CH54" si="27">+IF(O35&lt;=0,0,IF(O35&gt;10000,300,175))</f>
        <v>300</v>
      </c>
      <c r="CI35" s="312">
        <f t="shared" ref="CI35:CI54" si="28">+IF(P35&lt;=0,0,IF(P35&gt;10000,200,175))</f>
        <v>200</v>
      </c>
      <c r="CJ35" s="312">
        <f t="shared" ref="CJ35:CJ54" si="29">SUM(BX35:CI35)</f>
        <v>2475</v>
      </c>
      <c r="CK35" s="312"/>
    </row>
    <row r="36" spans="2:89" ht="20.100000000000001" customHeight="1">
      <c r="B36" s="314">
        <v>27</v>
      </c>
      <c r="C36" s="315" t="s">
        <v>1727</v>
      </c>
      <c r="D36" s="316" t="s">
        <v>1752</v>
      </c>
      <c r="E36" s="317">
        <v>13115</v>
      </c>
      <c r="F36" s="317">
        <v>13115</v>
      </c>
      <c r="G36" s="317">
        <v>10731</v>
      </c>
      <c r="H36" s="317">
        <v>13115</v>
      </c>
      <c r="I36" s="317">
        <v>2980</v>
      </c>
      <c r="J36" s="317">
        <v>8347</v>
      </c>
      <c r="K36" s="317">
        <v>13712</v>
      </c>
      <c r="L36" s="317">
        <v>5366</v>
      </c>
      <c r="M36" s="317">
        <v>0</v>
      </c>
      <c r="N36" s="317">
        <v>0</v>
      </c>
      <c r="O36" s="317">
        <v>0</v>
      </c>
      <c r="P36" s="317">
        <v>0</v>
      </c>
      <c r="Q36" s="318">
        <f t="shared" si="19"/>
        <v>80481</v>
      </c>
      <c r="R36" s="318">
        <f t="shared" si="20"/>
        <v>6704</v>
      </c>
      <c r="T36" s="312">
        <f t="shared" si="7"/>
        <v>1574</v>
      </c>
      <c r="U36" s="312">
        <f t="shared" si="7"/>
        <v>1574</v>
      </c>
      <c r="V36" s="312">
        <f t="shared" si="7"/>
        <v>1288</v>
      </c>
      <c r="W36" s="312">
        <f t="shared" si="7"/>
        <v>1574</v>
      </c>
      <c r="X36" s="312">
        <f t="shared" si="7"/>
        <v>358</v>
      </c>
      <c r="Y36" s="312">
        <f t="shared" si="7"/>
        <v>1002</v>
      </c>
      <c r="Z36" s="312">
        <f t="shared" si="7"/>
        <v>1645</v>
      </c>
      <c r="AA36" s="312">
        <f t="shared" si="7"/>
        <v>644</v>
      </c>
      <c r="AB36" s="312">
        <f t="shared" si="7"/>
        <v>0</v>
      </c>
      <c r="AC36" s="312">
        <f t="shared" si="7"/>
        <v>0</v>
      </c>
      <c r="AD36" s="312">
        <f t="shared" si="7"/>
        <v>0</v>
      </c>
      <c r="AE36" s="312">
        <f t="shared" si="7"/>
        <v>0</v>
      </c>
      <c r="AF36" s="305">
        <f t="shared" si="21"/>
        <v>9659</v>
      </c>
      <c r="AH36" s="312">
        <f t="shared" si="22"/>
        <v>1705</v>
      </c>
      <c r="AI36" s="312">
        <f t="shared" si="22"/>
        <v>1705</v>
      </c>
      <c r="AJ36" s="312">
        <f t="shared" si="22"/>
        <v>1395</v>
      </c>
      <c r="AK36" s="312">
        <f t="shared" si="22"/>
        <v>1705</v>
      </c>
      <c r="AL36" s="312">
        <f t="shared" si="22"/>
        <v>387</v>
      </c>
      <c r="AM36" s="312">
        <f t="shared" si="22"/>
        <v>1085</v>
      </c>
      <c r="AN36" s="312">
        <f t="shared" si="22"/>
        <v>1783</v>
      </c>
      <c r="AO36" s="312">
        <f t="shared" si="22"/>
        <v>698</v>
      </c>
      <c r="AP36" s="312">
        <f t="shared" si="22"/>
        <v>0</v>
      </c>
      <c r="AQ36" s="312">
        <f t="shared" si="22"/>
        <v>0</v>
      </c>
      <c r="AR36" s="312">
        <f t="shared" si="22"/>
        <v>0</v>
      </c>
      <c r="AS36" s="312">
        <f t="shared" si="22"/>
        <v>0</v>
      </c>
      <c r="AT36" s="305">
        <f t="shared" si="23"/>
        <v>10463</v>
      </c>
      <c r="AV36" s="312">
        <f t="shared" si="11"/>
        <v>98</v>
      </c>
      <c r="AW36" s="312">
        <f t="shared" si="11"/>
        <v>98</v>
      </c>
      <c r="AX36" s="312">
        <f t="shared" si="11"/>
        <v>80</v>
      </c>
      <c r="AY36" s="312">
        <f t="shared" si="11"/>
        <v>98</v>
      </c>
      <c r="AZ36" s="312">
        <f t="shared" si="11"/>
        <v>22</v>
      </c>
      <c r="BA36" s="312">
        <f t="shared" si="11"/>
        <v>63</v>
      </c>
      <c r="BB36" s="312">
        <f t="shared" si="11"/>
        <v>103</v>
      </c>
      <c r="BC36" s="312">
        <f t="shared" si="11"/>
        <v>40</v>
      </c>
      <c r="BD36" s="312">
        <f t="shared" si="11"/>
        <v>0</v>
      </c>
      <c r="BE36" s="312">
        <f t="shared" si="11"/>
        <v>0</v>
      </c>
      <c r="BF36" s="312">
        <f t="shared" si="11"/>
        <v>0</v>
      </c>
      <c r="BG36" s="312">
        <f t="shared" si="11"/>
        <v>0</v>
      </c>
      <c r="BH36" s="305">
        <f t="shared" si="24"/>
        <v>602</v>
      </c>
      <c r="BJ36" s="312">
        <f t="shared" si="13"/>
        <v>426</v>
      </c>
      <c r="BK36" s="312">
        <f t="shared" si="13"/>
        <v>426</v>
      </c>
      <c r="BL36" s="312">
        <f t="shared" si="13"/>
        <v>349</v>
      </c>
      <c r="BM36" s="312">
        <f t="shared" si="13"/>
        <v>426</v>
      </c>
      <c r="BN36" s="312">
        <f t="shared" si="13"/>
        <v>97</v>
      </c>
      <c r="BO36" s="312">
        <f t="shared" si="13"/>
        <v>271</v>
      </c>
      <c r="BP36" s="312">
        <f t="shared" si="13"/>
        <v>446</v>
      </c>
      <c r="BQ36" s="312">
        <f t="shared" si="13"/>
        <v>174</v>
      </c>
      <c r="BR36" s="312">
        <f t="shared" si="13"/>
        <v>0</v>
      </c>
      <c r="BS36" s="312">
        <f t="shared" si="13"/>
        <v>0</v>
      </c>
      <c r="BT36" s="312">
        <f t="shared" si="13"/>
        <v>0</v>
      </c>
      <c r="BU36" s="312">
        <f t="shared" si="13"/>
        <v>0</v>
      </c>
      <c r="BV36" s="305">
        <f t="shared" si="25"/>
        <v>2615</v>
      </c>
      <c r="BX36" s="312">
        <f t="shared" si="26"/>
        <v>200</v>
      </c>
      <c r="BY36" s="312">
        <f t="shared" si="26"/>
        <v>200</v>
      </c>
      <c r="BZ36" s="312">
        <f t="shared" si="26"/>
        <v>200</v>
      </c>
      <c r="CA36" s="312">
        <f t="shared" si="26"/>
        <v>200</v>
      </c>
      <c r="CB36" s="312">
        <f t="shared" si="26"/>
        <v>175</v>
      </c>
      <c r="CC36" s="312">
        <f t="shared" si="26"/>
        <v>175</v>
      </c>
      <c r="CD36" s="312">
        <f t="shared" si="26"/>
        <v>200</v>
      </c>
      <c r="CE36" s="312">
        <f t="shared" si="26"/>
        <v>175</v>
      </c>
      <c r="CF36" s="312">
        <f t="shared" si="26"/>
        <v>0</v>
      </c>
      <c r="CG36" s="312">
        <f t="shared" si="26"/>
        <v>0</v>
      </c>
      <c r="CH36" s="312">
        <f t="shared" si="27"/>
        <v>0</v>
      </c>
      <c r="CI36" s="312">
        <f t="shared" si="28"/>
        <v>0</v>
      </c>
      <c r="CJ36" s="312">
        <f t="shared" si="29"/>
        <v>1525</v>
      </c>
      <c r="CK36" s="312"/>
    </row>
    <row r="37" spans="2:89" ht="20.100000000000001" customHeight="1">
      <c r="B37" s="314">
        <v>28</v>
      </c>
      <c r="C37" s="315" t="s">
        <v>1727</v>
      </c>
      <c r="D37" s="316" t="s">
        <v>1753</v>
      </c>
      <c r="E37" s="317">
        <v>30922</v>
      </c>
      <c r="F37" s="317">
        <v>33500</v>
      </c>
      <c r="G37" s="317">
        <v>33500</v>
      </c>
      <c r="H37" s="317">
        <v>33500</v>
      </c>
      <c r="I37" s="317">
        <v>32212</v>
      </c>
      <c r="J37" s="317">
        <v>32212</v>
      </c>
      <c r="K37" s="317">
        <v>33500</v>
      </c>
      <c r="L37" s="317">
        <v>20615</v>
      </c>
      <c r="M37" s="317">
        <v>25769</v>
      </c>
      <c r="N37" s="317">
        <v>34788</v>
      </c>
      <c r="O37" s="317">
        <v>14173</v>
      </c>
      <c r="P37" s="317">
        <v>15461</v>
      </c>
      <c r="Q37" s="317">
        <f t="shared" si="19"/>
        <v>340152</v>
      </c>
      <c r="R37" s="318">
        <f t="shared" si="20"/>
        <v>28335</v>
      </c>
      <c r="T37" s="312">
        <f t="shared" si="7"/>
        <v>1800</v>
      </c>
      <c r="U37" s="312">
        <f t="shared" si="7"/>
        <v>1800</v>
      </c>
      <c r="V37" s="312">
        <f t="shared" si="7"/>
        <v>1800</v>
      </c>
      <c r="W37" s="312">
        <f t="shared" si="7"/>
        <v>1800</v>
      </c>
      <c r="X37" s="312">
        <f t="shared" si="7"/>
        <v>1800</v>
      </c>
      <c r="Y37" s="312">
        <f t="shared" si="7"/>
        <v>1800</v>
      </c>
      <c r="Z37" s="312">
        <f t="shared" si="7"/>
        <v>1800</v>
      </c>
      <c r="AA37" s="312">
        <f t="shared" si="7"/>
        <v>1800</v>
      </c>
      <c r="AB37" s="312">
        <f t="shared" si="7"/>
        <v>1800</v>
      </c>
      <c r="AC37" s="312">
        <f t="shared" si="7"/>
        <v>1800</v>
      </c>
      <c r="AD37" s="312">
        <f t="shared" si="7"/>
        <v>1701</v>
      </c>
      <c r="AE37" s="312">
        <f t="shared" si="7"/>
        <v>1800</v>
      </c>
      <c r="AF37" s="305">
        <f t="shared" si="21"/>
        <v>21501</v>
      </c>
      <c r="AH37" s="312">
        <f t="shared" si="22"/>
        <v>1950</v>
      </c>
      <c r="AI37" s="312">
        <f t="shared" si="22"/>
        <v>1950</v>
      </c>
      <c r="AJ37" s="312">
        <f t="shared" si="22"/>
        <v>1950</v>
      </c>
      <c r="AK37" s="312">
        <f t="shared" si="22"/>
        <v>1950</v>
      </c>
      <c r="AL37" s="312">
        <f t="shared" si="22"/>
        <v>1950</v>
      </c>
      <c r="AM37" s="312">
        <f t="shared" si="22"/>
        <v>1950</v>
      </c>
      <c r="AN37" s="312">
        <f t="shared" si="22"/>
        <v>1950</v>
      </c>
      <c r="AO37" s="312">
        <f t="shared" si="22"/>
        <v>1950</v>
      </c>
      <c r="AP37" s="312">
        <f t="shared" si="22"/>
        <v>1950</v>
      </c>
      <c r="AQ37" s="312">
        <f t="shared" si="22"/>
        <v>1950</v>
      </c>
      <c r="AR37" s="312">
        <f t="shared" si="22"/>
        <v>1842</v>
      </c>
      <c r="AS37" s="312">
        <f t="shared" si="22"/>
        <v>1950</v>
      </c>
      <c r="AT37" s="305">
        <f t="shared" si="23"/>
        <v>23292</v>
      </c>
      <c r="AV37" s="312">
        <f t="shared" si="11"/>
        <v>0</v>
      </c>
      <c r="AW37" s="312">
        <f t="shared" si="11"/>
        <v>0</v>
      </c>
      <c r="AX37" s="312">
        <f t="shared" si="11"/>
        <v>0</v>
      </c>
      <c r="AY37" s="312">
        <f t="shared" si="11"/>
        <v>0</v>
      </c>
      <c r="AZ37" s="312">
        <f t="shared" si="11"/>
        <v>0</v>
      </c>
      <c r="BA37" s="312">
        <f t="shared" si="11"/>
        <v>0</v>
      </c>
      <c r="BB37" s="312">
        <f t="shared" si="11"/>
        <v>0</v>
      </c>
      <c r="BC37" s="312">
        <f t="shared" si="11"/>
        <v>155</v>
      </c>
      <c r="BD37" s="312">
        <f t="shared" si="11"/>
        <v>0</v>
      </c>
      <c r="BE37" s="312">
        <f t="shared" si="11"/>
        <v>0</v>
      </c>
      <c r="BF37" s="312">
        <f t="shared" si="11"/>
        <v>106</v>
      </c>
      <c r="BG37" s="312">
        <f t="shared" si="11"/>
        <v>116</v>
      </c>
      <c r="BH37" s="305">
        <f t="shared" si="24"/>
        <v>377</v>
      </c>
      <c r="BJ37" s="312">
        <f t="shared" si="13"/>
        <v>0</v>
      </c>
      <c r="BK37" s="312">
        <f t="shared" si="13"/>
        <v>0</v>
      </c>
      <c r="BL37" s="312">
        <f t="shared" si="13"/>
        <v>0</v>
      </c>
      <c r="BM37" s="312">
        <f t="shared" si="13"/>
        <v>0</v>
      </c>
      <c r="BN37" s="312">
        <f t="shared" si="13"/>
        <v>0</v>
      </c>
      <c r="BO37" s="312">
        <f t="shared" si="13"/>
        <v>0</v>
      </c>
      <c r="BP37" s="312">
        <f t="shared" si="13"/>
        <v>0</v>
      </c>
      <c r="BQ37" s="312">
        <f t="shared" si="13"/>
        <v>670</v>
      </c>
      <c r="BR37" s="312">
        <f t="shared" si="13"/>
        <v>0</v>
      </c>
      <c r="BS37" s="312">
        <f t="shared" si="13"/>
        <v>0</v>
      </c>
      <c r="BT37" s="312">
        <f t="shared" si="13"/>
        <v>461</v>
      </c>
      <c r="BU37" s="312">
        <f t="shared" si="13"/>
        <v>502</v>
      </c>
      <c r="BV37" s="305">
        <f t="shared" si="25"/>
        <v>1633</v>
      </c>
      <c r="BX37" s="312">
        <f t="shared" si="26"/>
        <v>200</v>
      </c>
      <c r="BY37" s="312">
        <f t="shared" si="26"/>
        <v>200</v>
      </c>
      <c r="BZ37" s="312">
        <f t="shared" si="26"/>
        <v>200</v>
      </c>
      <c r="CA37" s="312">
        <f t="shared" si="26"/>
        <v>200</v>
      </c>
      <c r="CB37" s="312">
        <f t="shared" si="26"/>
        <v>200</v>
      </c>
      <c r="CC37" s="312">
        <f t="shared" si="26"/>
        <v>200</v>
      </c>
      <c r="CD37" s="312">
        <f t="shared" si="26"/>
        <v>200</v>
      </c>
      <c r="CE37" s="312">
        <f t="shared" si="26"/>
        <v>200</v>
      </c>
      <c r="CF37" s="312">
        <f t="shared" si="26"/>
        <v>200</v>
      </c>
      <c r="CG37" s="312">
        <f t="shared" si="26"/>
        <v>200</v>
      </c>
      <c r="CH37" s="312">
        <f t="shared" si="27"/>
        <v>300</v>
      </c>
      <c r="CI37" s="312">
        <f t="shared" si="28"/>
        <v>200</v>
      </c>
      <c r="CJ37" s="312">
        <f t="shared" si="29"/>
        <v>2500</v>
      </c>
      <c r="CK37" s="312"/>
    </row>
    <row r="38" spans="2:89" ht="20.100000000000001" customHeight="1">
      <c r="B38" s="319">
        <v>29</v>
      </c>
      <c r="C38" s="325" t="s">
        <v>1727</v>
      </c>
      <c r="D38" s="326" t="s">
        <v>1754</v>
      </c>
      <c r="E38" s="318">
        <v>17261</v>
      </c>
      <c r="F38" s="318">
        <v>15822</v>
      </c>
      <c r="G38" s="318">
        <v>17261</v>
      </c>
      <c r="H38" s="318">
        <v>3596</v>
      </c>
      <c r="I38" s="318">
        <v>6473</v>
      </c>
      <c r="J38" s="318">
        <v>13666</v>
      </c>
      <c r="K38" s="318">
        <v>19420</v>
      </c>
      <c r="L38" s="318">
        <v>13666</v>
      </c>
      <c r="M38" s="318">
        <v>19420</v>
      </c>
      <c r="N38" s="318">
        <v>16541</v>
      </c>
      <c r="O38" s="318">
        <v>11508</v>
      </c>
      <c r="P38" s="318">
        <v>17980</v>
      </c>
      <c r="Q38" s="318">
        <f t="shared" si="19"/>
        <v>172614</v>
      </c>
      <c r="R38" s="318">
        <f t="shared" si="20"/>
        <v>14379</v>
      </c>
      <c r="T38" s="312">
        <f t="shared" si="7"/>
        <v>1800</v>
      </c>
      <c r="U38" s="312">
        <f t="shared" si="7"/>
        <v>1800</v>
      </c>
      <c r="V38" s="312">
        <f t="shared" si="7"/>
        <v>1800</v>
      </c>
      <c r="W38" s="312">
        <f t="shared" si="7"/>
        <v>432</v>
      </c>
      <c r="X38" s="312">
        <f t="shared" si="7"/>
        <v>777</v>
      </c>
      <c r="Y38" s="312">
        <f t="shared" si="7"/>
        <v>1640</v>
      </c>
      <c r="Z38" s="312">
        <f t="shared" si="7"/>
        <v>1800</v>
      </c>
      <c r="AA38" s="312">
        <f t="shared" si="7"/>
        <v>1640</v>
      </c>
      <c r="AB38" s="312">
        <f t="shared" si="7"/>
        <v>1800</v>
      </c>
      <c r="AC38" s="312">
        <f t="shared" si="7"/>
        <v>1800</v>
      </c>
      <c r="AD38" s="312">
        <f t="shared" si="7"/>
        <v>1381</v>
      </c>
      <c r="AE38" s="312">
        <f t="shared" si="7"/>
        <v>1800</v>
      </c>
      <c r="AF38" s="305">
        <f t="shared" si="21"/>
        <v>18470</v>
      </c>
      <c r="AH38" s="312">
        <f t="shared" si="22"/>
        <v>1950</v>
      </c>
      <c r="AI38" s="312">
        <f t="shared" si="22"/>
        <v>1950</v>
      </c>
      <c r="AJ38" s="312">
        <f t="shared" si="22"/>
        <v>1950</v>
      </c>
      <c r="AK38" s="312">
        <f t="shared" si="22"/>
        <v>467</v>
      </c>
      <c r="AL38" s="312">
        <f t="shared" si="22"/>
        <v>841</v>
      </c>
      <c r="AM38" s="312">
        <f t="shared" si="22"/>
        <v>1777</v>
      </c>
      <c r="AN38" s="312">
        <f t="shared" si="22"/>
        <v>1950</v>
      </c>
      <c r="AO38" s="312">
        <f t="shared" si="22"/>
        <v>1777</v>
      </c>
      <c r="AP38" s="312">
        <f t="shared" si="22"/>
        <v>1950</v>
      </c>
      <c r="AQ38" s="312">
        <f t="shared" si="22"/>
        <v>1950</v>
      </c>
      <c r="AR38" s="312">
        <f t="shared" si="22"/>
        <v>1496</v>
      </c>
      <c r="AS38" s="312">
        <f t="shared" si="22"/>
        <v>1950</v>
      </c>
      <c r="AT38" s="305">
        <f t="shared" si="23"/>
        <v>20008</v>
      </c>
      <c r="AV38" s="312">
        <f t="shared" si="11"/>
        <v>129</v>
      </c>
      <c r="AW38" s="312">
        <f t="shared" si="11"/>
        <v>119</v>
      </c>
      <c r="AX38" s="312">
        <f t="shared" si="11"/>
        <v>129</v>
      </c>
      <c r="AY38" s="312">
        <f t="shared" si="11"/>
        <v>27</v>
      </c>
      <c r="AZ38" s="312">
        <f t="shared" si="11"/>
        <v>49</v>
      </c>
      <c r="BA38" s="312">
        <f t="shared" si="11"/>
        <v>102</v>
      </c>
      <c r="BB38" s="312">
        <f t="shared" si="11"/>
        <v>146</v>
      </c>
      <c r="BC38" s="312">
        <f t="shared" si="11"/>
        <v>102</v>
      </c>
      <c r="BD38" s="312">
        <f t="shared" si="11"/>
        <v>146</v>
      </c>
      <c r="BE38" s="312">
        <f t="shared" si="11"/>
        <v>124</v>
      </c>
      <c r="BF38" s="312">
        <f t="shared" si="11"/>
        <v>86</v>
      </c>
      <c r="BG38" s="312">
        <f t="shared" si="11"/>
        <v>135</v>
      </c>
      <c r="BH38" s="305">
        <f t="shared" si="24"/>
        <v>1294</v>
      </c>
      <c r="BJ38" s="312">
        <f t="shared" si="13"/>
        <v>561</v>
      </c>
      <c r="BK38" s="312">
        <f t="shared" si="13"/>
        <v>514</v>
      </c>
      <c r="BL38" s="312">
        <f t="shared" si="13"/>
        <v>561</v>
      </c>
      <c r="BM38" s="312">
        <f t="shared" si="13"/>
        <v>117</v>
      </c>
      <c r="BN38" s="312">
        <f t="shared" si="13"/>
        <v>210</v>
      </c>
      <c r="BO38" s="312">
        <f t="shared" si="13"/>
        <v>444</v>
      </c>
      <c r="BP38" s="312">
        <f t="shared" si="13"/>
        <v>631</v>
      </c>
      <c r="BQ38" s="312">
        <f t="shared" si="13"/>
        <v>444</v>
      </c>
      <c r="BR38" s="312">
        <f t="shared" si="13"/>
        <v>631</v>
      </c>
      <c r="BS38" s="312">
        <f t="shared" si="13"/>
        <v>538</v>
      </c>
      <c r="BT38" s="312">
        <f t="shared" si="13"/>
        <v>374</v>
      </c>
      <c r="BU38" s="312">
        <f t="shared" si="13"/>
        <v>584</v>
      </c>
      <c r="BV38" s="305">
        <f t="shared" si="25"/>
        <v>5609</v>
      </c>
      <c r="BX38" s="312">
        <f t="shared" si="26"/>
        <v>200</v>
      </c>
      <c r="BY38" s="312">
        <f t="shared" si="26"/>
        <v>200</v>
      </c>
      <c r="BZ38" s="312">
        <f t="shared" si="26"/>
        <v>200</v>
      </c>
      <c r="CA38" s="312">
        <f t="shared" si="26"/>
        <v>175</v>
      </c>
      <c r="CB38" s="312">
        <f t="shared" si="26"/>
        <v>175</v>
      </c>
      <c r="CC38" s="312">
        <f t="shared" si="26"/>
        <v>200</v>
      </c>
      <c r="CD38" s="312">
        <f t="shared" si="26"/>
        <v>200</v>
      </c>
      <c r="CE38" s="312">
        <f t="shared" si="26"/>
        <v>200</v>
      </c>
      <c r="CF38" s="312">
        <f t="shared" si="26"/>
        <v>200</v>
      </c>
      <c r="CG38" s="312">
        <f t="shared" si="26"/>
        <v>200</v>
      </c>
      <c r="CH38" s="312">
        <f t="shared" si="27"/>
        <v>300</v>
      </c>
      <c r="CI38" s="312">
        <f t="shared" si="28"/>
        <v>200</v>
      </c>
      <c r="CJ38" s="312">
        <f t="shared" si="29"/>
        <v>2450</v>
      </c>
      <c r="CK38" s="312"/>
    </row>
    <row r="39" spans="2:89" ht="20.100000000000001" customHeight="1">
      <c r="B39" s="314">
        <v>30</v>
      </c>
      <c r="C39" s="315" t="s">
        <v>1727</v>
      </c>
      <c r="D39" s="316" t="s">
        <v>1755</v>
      </c>
      <c r="E39" s="317">
        <v>14808</v>
      </c>
      <c r="F39" s="317">
        <v>15400</v>
      </c>
      <c r="G39" s="317">
        <v>10069</v>
      </c>
      <c r="H39" s="317">
        <v>15400</v>
      </c>
      <c r="I39" s="317">
        <v>13031</v>
      </c>
      <c r="J39" s="317">
        <v>12439</v>
      </c>
      <c r="K39" s="317">
        <v>15992</v>
      </c>
      <c r="L39" s="317">
        <v>13031</v>
      </c>
      <c r="M39" s="317">
        <v>0</v>
      </c>
      <c r="N39" s="317">
        <v>0</v>
      </c>
      <c r="O39" s="317">
        <v>0</v>
      </c>
      <c r="P39" s="317">
        <v>0</v>
      </c>
      <c r="Q39" s="318">
        <f t="shared" si="19"/>
        <v>110170</v>
      </c>
      <c r="R39" s="318">
        <f t="shared" si="20"/>
        <v>9177</v>
      </c>
      <c r="T39" s="312">
        <f t="shared" si="7"/>
        <v>1777</v>
      </c>
      <c r="U39" s="312">
        <f t="shared" si="7"/>
        <v>1800</v>
      </c>
      <c r="V39" s="312">
        <f t="shared" si="7"/>
        <v>1208</v>
      </c>
      <c r="W39" s="312">
        <f t="shared" si="7"/>
        <v>1800</v>
      </c>
      <c r="X39" s="312">
        <f t="shared" si="7"/>
        <v>1564</v>
      </c>
      <c r="Y39" s="312">
        <f t="shared" si="7"/>
        <v>1493</v>
      </c>
      <c r="Z39" s="312">
        <f t="shared" si="7"/>
        <v>1800</v>
      </c>
      <c r="AA39" s="312">
        <f t="shared" si="7"/>
        <v>1564</v>
      </c>
      <c r="AB39" s="312">
        <f t="shared" si="7"/>
        <v>0</v>
      </c>
      <c r="AC39" s="312">
        <f t="shared" si="7"/>
        <v>0</v>
      </c>
      <c r="AD39" s="312">
        <f t="shared" si="7"/>
        <v>0</v>
      </c>
      <c r="AE39" s="312">
        <f t="shared" si="7"/>
        <v>0</v>
      </c>
      <c r="AF39" s="305">
        <f t="shared" si="21"/>
        <v>13006</v>
      </c>
      <c r="AH39" s="312">
        <f t="shared" si="22"/>
        <v>1925</v>
      </c>
      <c r="AI39" s="312">
        <f t="shared" si="22"/>
        <v>1950</v>
      </c>
      <c r="AJ39" s="312">
        <f t="shared" si="22"/>
        <v>1309</v>
      </c>
      <c r="AK39" s="312">
        <f t="shared" si="22"/>
        <v>1950</v>
      </c>
      <c r="AL39" s="312">
        <f t="shared" si="22"/>
        <v>1694</v>
      </c>
      <c r="AM39" s="312">
        <f t="shared" si="22"/>
        <v>1617</v>
      </c>
      <c r="AN39" s="312">
        <f t="shared" si="22"/>
        <v>1950</v>
      </c>
      <c r="AO39" s="312">
        <f t="shared" si="22"/>
        <v>1694</v>
      </c>
      <c r="AP39" s="312">
        <f t="shared" si="22"/>
        <v>0</v>
      </c>
      <c r="AQ39" s="312">
        <f t="shared" si="22"/>
        <v>0</v>
      </c>
      <c r="AR39" s="312">
        <f t="shared" si="22"/>
        <v>0</v>
      </c>
      <c r="AS39" s="312">
        <f t="shared" si="22"/>
        <v>0</v>
      </c>
      <c r="AT39" s="305">
        <f t="shared" si="23"/>
        <v>14089</v>
      </c>
      <c r="AV39" s="312">
        <f t="shared" si="11"/>
        <v>111</v>
      </c>
      <c r="AW39" s="312">
        <f t="shared" si="11"/>
        <v>116</v>
      </c>
      <c r="AX39" s="312">
        <f t="shared" si="11"/>
        <v>76</v>
      </c>
      <c r="AY39" s="312">
        <f t="shared" si="11"/>
        <v>116</v>
      </c>
      <c r="AZ39" s="312">
        <f t="shared" si="11"/>
        <v>98</v>
      </c>
      <c r="BA39" s="312">
        <f t="shared" si="11"/>
        <v>93</v>
      </c>
      <c r="BB39" s="312">
        <f t="shared" si="11"/>
        <v>120</v>
      </c>
      <c r="BC39" s="312">
        <f t="shared" si="11"/>
        <v>98</v>
      </c>
      <c r="BD39" s="312">
        <f t="shared" si="11"/>
        <v>0</v>
      </c>
      <c r="BE39" s="312">
        <f t="shared" si="11"/>
        <v>0</v>
      </c>
      <c r="BF39" s="312">
        <f t="shared" si="11"/>
        <v>0</v>
      </c>
      <c r="BG39" s="312">
        <f t="shared" si="11"/>
        <v>0</v>
      </c>
      <c r="BH39" s="305">
        <f t="shared" si="24"/>
        <v>828</v>
      </c>
      <c r="BJ39" s="312">
        <f t="shared" si="13"/>
        <v>481</v>
      </c>
      <c r="BK39" s="312">
        <f t="shared" si="13"/>
        <v>501</v>
      </c>
      <c r="BL39" s="312">
        <f t="shared" si="13"/>
        <v>327</v>
      </c>
      <c r="BM39" s="312">
        <f t="shared" si="13"/>
        <v>501</v>
      </c>
      <c r="BN39" s="312">
        <f t="shared" si="13"/>
        <v>424</v>
      </c>
      <c r="BO39" s="312">
        <f t="shared" si="13"/>
        <v>404</v>
      </c>
      <c r="BP39" s="312">
        <f t="shared" si="13"/>
        <v>520</v>
      </c>
      <c r="BQ39" s="312">
        <f t="shared" si="13"/>
        <v>424</v>
      </c>
      <c r="BR39" s="312">
        <f t="shared" si="13"/>
        <v>0</v>
      </c>
      <c r="BS39" s="312">
        <f t="shared" si="13"/>
        <v>0</v>
      </c>
      <c r="BT39" s="312">
        <f t="shared" si="13"/>
        <v>0</v>
      </c>
      <c r="BU39" s="312">
        <f t="shared" si="13"/>
        <v>0</v>
      </c>
      <c r="BV39" s="305">
        <f t="shared" si="25"/>
        <v>3582</v>
      </c>
      <c r="BX39" s="312">
        <f t="shared" si="26"/>
        <v>200</v>
      </c>
      <c r="BY39" s="312">
        <f t="shared" si="26"/>
        <v>200</v>
      </c>
      <c r="BZ39" s="312">
        <f t="shared" si="26"/>
        <v>200</v>
      </c>
      <c r="CA39" s="312">
        <f t="shared" si="26"/>
        <v>200</v>
      </c>
      <c r="CB39" s="312">
        <f t="shared" si="26"/>
        <v>200</v>
      </c>
      <c r="CC39" s="312">
        <f t="shared" si="26"/>
        <v>200</v>
      </c>
      <c r="CD39" s="312">
        <f t="shared" si="26"/>
        <v>200</v>
      </c>
      <c r="CE39" s="312">
        <f t="shared" si="26"/>
        <v>200</v>
      </c>
      <c r="CF39" s="312">
        <f t="shared" si="26"/>
        <v>0</v>
      </c>
      <c r="CG39" s="312">
        <f t="shared" si="26"/>
        <v>0</v>
      </c>
      <c r="CH39" s="312">
        <f t="shared" si="27"/>
        <v>0</v>
      </c>
      <c r="CI39" s="312">
        <f t="shared" si="28"/>
        <v>0</v>
      </c>
      <c r="CJ39" s="312">
        <f t="shared" si="29"/>
        <v>1600</v>
      </c>
      <c r="CK39" s="312"/>
    </row>
    <row r="40" spans="2:89" ht="20.100000000000001" customHeight="1">
      <c r="B40" s="319">
        <v>31</v>
      </c>
      <c r="C40" s="315" t="s">
        <v>1727</v>
      </c>
      <c r="D40" s="316" t="s">
        <v>206</v>
      </c>
      <c r="E40" s="317">
        <v>15673</v>
      </c>
      <c r="F40" s="317">
        <v>16927</v>
      </c>
      <c r="G40" s="317">
        <v>16300</v>
      </c>
      <c r="H40" s="317">
        <v>15673</v>
      </c>
      <c r="I40" s="317">
        <v>14420</v>
      </c>
      <c r="J40" s="317">
        <v>16300</v>
      </c>
      <c r="K40" s="317">
        <v>15047</v>
      </c>
      <c r="L40" s="317">
        <v>13166</v>
      </c>
      <c r="M40" s="320">
        <v>16300</v>
      </c>
      <c r="N40" s="317">
        <v>16927</v>
      </c>
      <c r="O40" s="317">
        <v>16300</v>
      </c>
      <c r="P40" s="317">
        <v>16927</v>
      </c>
      <c r="Q40" s="318">
        <f t="shared" si="19"/>
        <v>189960</v>
      </c>
      <c r="R40" s="318">
        <f t="shared" si="20"/>
        <v>15824</v>
      </c>
      <c r="T40" s="312">
        <f t="shared" si="7"/>
        <v>1800</v>
      </c>
      <c r="U40" s="312">
        <f t="shared" si="7"/>
        <v>1800</v>
      </c>
      <c r="V40" s="312">
        <f t="shared" si="7"/>
        <v>1800</v>
      </c>
      <c r="W40" s="312">
        <f t="shared" si="7"/>
        <v>1800</v>
      </c>
      <c r="X40" s="312">
        <f t="shared" si="7"/>
        <v>1730</v>
      </c>
      <c r="Y40" s="312">
        <f t="shared" si="7"/>
        <v>1800</v>
      </c>
      <c r="Z40" s="312">
        <f t="shared" si="7"/>
        <v>1800</v>
      </c>
      <c r="AA40" s="312">
        <f t="shared" si="7"/>
        <v>1580</v>
      </c>
      <c r="AB40" s="312">
        <f t="shared" si="7"/>
        <v>1800</v>
      </c>
      <c r="AC40" s="312">
        <f t="shared" si="7"/>
        <v>1800</v>
      </c>
      <c r="AD40" s="312">
        <f t="shared" si="7"/>
        <v>1800</v>
      </c>
      <c r="AE40" s="312">
        <f t="shared" si="7"/>
        <v>1800</v>
      </c>
      <c r="AF40" s="305">
        <f t="shared" si="21"/>
        <v>21310</v>
      </c>
      <c r="AH40" s="312">
        <f t="shared" si="22"/>
        <v>1950</v>
      </c>
      <c r="AI40" s="312">
        <f t="shared" si="22"/>
        <v>1950</v>
      </c>
      <c r="AJ40" s="312">
        <f t="shared" si="22"/>
        <v>1950</v>
      </c>
      <c r="AK40" s="312">
        <f t="shared" si="22"/>
        <v>1950</v>
      </c>
      <c r="AL40" s="312">
        <f t="shared" si="22"/>
        <v>1875</v>
      </c>
      <c r="AM40" s="312">
        <f t="shared" si="22"/>
        <v>1950</v>
      </c>
      <c r="AN40" s="312">
        <f t="shared" si="22"/>
        <v>1950</v>
      </c>
      <c r="AO40" s="312">
        <f t="shared" si="22"/>
        <v>1712</v>
      </c>
      <c r="AP40" s="312">
        <f t="shared" si="22"/>
        <v>1950</v>
      </c>
      <c r="AQ40" s="312">
        <f t="shared" si="22"/>
        <v>1950</v>
      </c>
      <c r="AR40" s="312">
        <f t="shared" si="22"/>
        <v>1950</v>
      </c>
      <c r="AS40" s="312">
        <f t="shared" si="22"/>
        <v>1950</v>
      </c>
      <c r="AT40" s="305">
        <f t="shared" si="23"/>
        <v>23087</v>
      </c>
      <c r="AV40" s="312">
        <f t="shared" si="11"/>
        <v>118</v>
      </c>
      <c r="AW40" s="312">
        <f t="shared" si="11"/>
        <v>127</v>
      </c>
      <c r="AX40" s="312">
        <f t="shared" si="11"/>
        <v>122</v>
      </c>
      <c r="AY40" s="312">
        <f t="shared" si="11"/>
        <v>118</v>
      </c>
      <c r="AZ40" s="312">
        <f t="shared" si="11"/>
        <v>108</v>
      </c>
      <c r="BA40" s="312">
        <f t="shared" si="11"/>
        <v>122</v>
      </c>
      <c r="BB40" s="312">
        <f t="shared" si="11"/>
        <v>113</v>
      </c>
      <c r="BC40" s="312">
        <f t="shared" si="11"/>
        <v>99</v>
      </c>
      <c r="BD40" s="312">
        <f t="shared" si="11"/>
        <v>122</v>
      </c>
      <c r="BE40" s="312">
        <f t="shared" si="11"/>
        <v>127</v>
      </c>
      <c r="BF40" s="312">
        <f t="shared" si="11"/>
        <v>122</v>
      </c>
      <c r="BG40" s="312">
        <f t="shared" si="11"/>
        <v>127</v>
      </c>
      <c r="BH40" s="305">
        <f t="shared" si="24"/>
        <v>1425</v>
      </c>
      <c r="BJ40" s="312">
        <f t="shared" si="13"/>
        <v>509</v>
      </c>
      <c r="BK40" s="312">
        <f t="shared" si="13"/>
        <v>550</v>
      </c>
      <c r="BL40" s="312">
        <f t="shared" si="13"/>
        <v>530</v>
      </c>
      <c r="BM40" s="312">
        <f t="shared" si="13"/>
        <v>509</v>
      </c>
      <c r="BN40" s="312">
        <f t="shared" si="13"/>
        <v>469</v>
      </c>
      <c r="BO40" s="312">
        <f t="shared" si="13"/>
        <v>530</v>
      </c>
      <c r="BP40" s="312">
        <f t="shared" si="13"/>
        <v>489</v>
      </c>
      <c r="BQ40" s="312">
        <f t="shared" si="13"/>
        <v>428</v>
      </c>
      <c r="BR40" s="312">
        <f t="shared" si="13"/>
        <v>530</v>
      </c>
      <c r="BS40" s="312">
        <f t="shared" si="13"/>
        <v>550</v>
      </c>
      <c r="BT40" s="312">
        <f t="shared" si="13"/>
        <v>530</v>
      </c>
      <c r="BU40" s="312">
        <f t="shared" si="13"/>
        <v>550</v>
      </c>
      <c r="BV40" s="305">
        <f t="shared" si="25"/>
        <v>6174</v>
      </c>
      <c r="BX40" s="312">
        <f t="shared" si="26"/>
        <v>200</v>
      </c>
      <c r="BY40" s="312">
        <f t="shared" si="26"/>
        <v>200</v>
      </c>
      <c r="BZ40" s="312">
        <f t="shared" si="26"/>
        <v>200</v>
      </c>
      <c r="CA40" s="312">
        <f t="shared" si="26"/>
        <v>200</v>
      </c>
      <c r="CB40" s="312">
        <f t="shared" si="26"/>
        <v>200</v>
      </c>
      <c r="CC40" s="312">
        <f t="shared" si="26"/>
        <v>200</v>
      </c>
      <c r="CD40" s="312">
        <f t="shared" si="26"/>
        <v>200</v>
      </c>
      <c r="CE40" s="312">
        <f t="shared" si="26"/>
        <v>200</v>
      </c>
      <c r="CF40" s="312">
        <f t="shared" si="26"/>
        <v>200</v>
      </c>
      <c r="CG40" s="312">
        <f t="shared" si="26"/>
        <v>200</v>
      </c>
      <c r="CH40" s="312">
        <f t="shared" si="27"/>
        <v>300</v>
      </c>
      <c r="CI40" s="312">
        <f t="shared" si="28"/>
        <v>200</v>
      </c>
      <c r="CJ40" s="312">
        <f t="shared" si="29"/>
        <v>2500</v>
      </c>
      <c r="CK40" s="312"/>
    </row>
    <row r="41" spans="2:89" ht="20.100000000000001" customHeight="1">
      <c r="B41" s="314">
        <v>32</v>
      </c>
      <c r="C41" s="315" t="s">
        <v>1727</v>
      </c>
      <c r="D41" s="316" t="s">
        <v>1756</v>
      </c>
      <c r="E41" s="317">
        <v>7827</v>
      </c>
      <c r="F41" s="317">
        <v>0</v>
      </c>
      <c r="G41" s="317">
        <v>12808</v>
      </c>
      <c r="H41" s="317">
        <v>19212</v>
      </c>
      <c r="I41" s="317">
        <v>19212</v>
      </c>
      <c r="J41" s="317">
        <v>17788</v>
      </c>
      <c r="K41" s="317">
        <v>19212</v>
      </c>
      <c r="L41" s="317">
        <v>18500</v>
      </c>
      <c r="M41" s="317">
        <v>18500</v>
      </c>
      <c r="N41" s="317">
        <v>19212</v>
      </c>
      <c r="O41" s="317">
        <v>18500</v>
      </c>
      <c r="P41" s="317">
        <v>8539</v>
      </c>
      <c r="Q41" s="318">
        <f t="shared" si="19"/>
        <v>179310</v>
      </c>
      <c r="R41" s="318">
        <f t="shared" si="20"/>
        <v>14937</v>
      </c>
      <c r="T41" s="312">
        <f t="shared" si="7"/>
        <v>939</v>
      </c>
      <c r="U41" s="312">
        <f t="shared" si="7"/>
        <v>0</v>
      </c>
      <c r="V41" s="312">
        <f t="shared" si="7"/>
        <v>1537</v>
      </c>
      <c r="W41" s="312">
        <f t="shared" si="7"/>
        <v>1800</v>
      </c>
      <c r="X41" s="312">
        <f t="shared" si="7"/>
        <v>1800</v>
      </c>
      <c r="Y41" s="312">
        <f t="shared" si="7"/>
        <v>1800</v>
      </c>
      <c r="Z41" s="312">
        <f t="shared" si="7"/>
        <v>1800</v>
      </c>
      <c r="AA41" s="312">
        <f t="shared" si="7"/>
        <v>1800</v>
      </c>
      <c r="AB41" s="312">
        <f t="shared" si="7"/>
        <v>1800</v>
      </c>
      <c r="AC41" s="312">
        <f t="shared" si="7"/>
        <v>1800</v>
      </c>
      <c r="AD41" s="312">
        <f t="shared" si="7"/>
        <v>1800</v>
      </c>
      <c r="AE41" s="312">
        <f t="shared" si="7"/>
        <v>1025</v>
      </c>
      <c r="AF41" s="305">
        <f t="shared" si="21"/>
        <v>17901</v>
      </c>
      <c r="AH41" s="312">
        <f t="shared" si="22"/>
        <v>1018</v>
      </c>
      <c r="AI41" s="312">
        <f t="shared" si="22"/>
        <v>0</v>
      </c>
      <c r="AJ41" s="312">
        <f t="shared" si="22"/>
        <v>1665</v>
      </c>
      <c r="AK41" s="312">
        <f t="shared" si="22"/>
        <v>1950</v>
      </c>
      <c r="AL41" s="312">
        <f t="shared" si="22"/>
        <v>1950</v>
      </c>
      <c r="AM41" s="312">
        <f t="shared" si="22"/>
        <v>1950</v>
      </c>
      <c r="AN41" s="312">
        <f t="shared" si="22"/>
        <v>1950</v>
      </c>
      <c r="AO41" s="312">
        <f t="shared" si="22"/>
        <v>1950</v>
      </c>
      <c r="AP41" s="312">
        <f t="shared" si="22"/>
        <v>1950</v>
      </c>
      <c r="AQ41" s="312">
        <f t="shared" si="22"/>
        <v>1950</v>
      </c>
      <c r="AR41" s="312">
        <f t="shared" si="22"/>
        <v>1950</v>
      </c>
      <c r="AS41" s="312">
        <f t="shared" si="22"/>
        <v>1110</v>
      </c>
      <c r="AT41" s="305">
        <f t="shared" si="23"/>
        <v>19393</v>
      </c>
      <c r="AV41" s="312">
        <f t="shared" si="11"/>
        <v>59</v>
      </c>
      <c r="AW41" s="312">
        <f t="shared" si="11"/>
        <v>0</v>
      </c>
      <c r="AX41" s="312">
        <f t="shared" si="11"/>
        <v>96</v>
      </c>
      <c r="AY41" s="312">
        <f t="shared" si="11"/>
        <v>144</v>
      </c>
      <c r="AZ41" s="312">
        <f t="shared" si="11"/>
        <v>144</v>
      </c>
      <c r="BA41" s="312">
        <f t="shared" si="11"/>
        <v>133</v>
      </c>
      <c r="BB41" s="312">
        <f t="shared" si="11"/>
        <v>144</v>
      </c>
      <c r="BC41" s="312">
        <f t="shared" si="11"/>
        <v>139</v>
      </c>
      <c r="BD41" s="312">
        <f t="shared" si="11"/>
        <v>139</v>
      </c>
      <c r="BE41" s="312">
        <f t="shared" si="11"/>
        <v>144</v>
      </c>
      <c r="BF41" s="312">
        <f t="shared" si="11"/>
        <v>139</v>
      </c>
      <c r="BG41" s="312">
        <f t="shared" si="11"/>
        <v>64</v>
      </c>
      <c r="BH41" s="305">
        <f t="shared" si="24"/>
        <v>1345</v>
      </c>
      <c r="BJ41" s="312">
        <f t="shared" si="13"/>
        <v>254</v>
      </c>
      <c r="BK41" s="312">
        <f t="shared" si="13"/>
        <v>0</v>
      </c>
      <c r="BL41" s="312">
        <f t="shared" si="13"/>
        <v>416</v>
      </c>
      <c r="BM41" s="312">
        <f t="shared" si="13"/>
        <v>624</v>
      </c>
      <c r="BN41" s="312">
        <f t="shared" si="13"/>
        <v>624</v>
      </c>
      <c r="BO41" s="312">
        <f t="shared" si="13"/>
        <v>578</v>
      </c>
      <c r="BP41" s="312">
        <f t="shared" si="13"/>
        <v>624</v>
      </c>
      <c r="BQ41" s="312">
        <f t="shared" si="13"/>
        <v>601</v>
      </c>
      <c r="BR41" s="312">
        <f t="shared" si="13"/>
        <v>601</v>
      </c>
      <c r="BS41" s="312">
        <f t="shared" si="13"/>
        <v>624</v>
      </c>
      <c r="BT41" s="312">
        <f t="shared" si="13"/>
        <v>601</v>
      </c>
      <c r="BU41" s="312">
        <f t="shared" si="13"/>
        <v>278</v>
      </c>
      <c r="BV41" s="305">
        <f t="shared" si="25"/>
        <v>5825</v>
      </c>
      <c r="BX41" s="312">
        <f t="shared" si="26"/>
        <v>175</v>
      </c>
      <c r="BY41" s="312">
        <f t="shared" si="26"/>
        <v>0</v>
      </c>
      <c r="BZ41" s="312">
        <f t="shared" si="26"/>
        <v>200</v>
      </c>
      <c r="CA41" s="312">
        <f t="shared" si="26"/>
        <v>200</v>
      </c>
      <c r="CB41" s="312">
        <f t="shared" si="26"/>
        <v>200</v>
      </c>
      <c r="CC41" s="312">
        <f t="shared" si="26"/>
        <v>200</v>
      </c>
      <c r="CD41" s="312">
        <f t="shared" si="26"/>
        <v>200</v>
      </c>
      <c r="CE41" s="312">
        <f t="shared" si="26"/>
        <v>200</v>
      </c>
      <c r="CF41" s="312">
        <f t="shared" si="26"/>
        <v>200</v>
      </c>
      <c r="CG41" s="312">
        <f t="shared" si="26"/>
        <v>200</v>
      </c>
      <c r="CH41" s="312">
        <f t="shared" si="27"/>
        <v>300</v>
      </c>
      <c r="CI41" s="312">
        <f t="shared" si="28"/>
        <v>175</v>
      </c>
      <c r="CJ41" s="312">
        <f t="shared" si="29"/>
        <v>2250</v>
      </c>
      <c r="CK41" s="312"/>
    </row>
    <row r="42" spans="2:89" ht="20.100000000000001" customHeight="1">
      <c r="B42" s="319">
        <v>33</v>
      </c>
      <c r="C42" s="315" t="s">
        <v>1727</v>
      </c>
      <c r="D42" s="316" t="s">
        <v>1757</v>
      </c>
      <c r="E42" s="317">
        <v>14861</v>
      </c>
      <c r="F42" s="317">
        <v>16800</v>
      </c>
      <c r="G42" s="317">
        <v>12922</v>
      </c>
      <c r="H42" s="317">
        <v>17447</v>
      </c>
      <c r="I42" s="317">
        <v>16153</v>
      </c>
      <c r="J42" s="317">
        <v>12922</v>
      </c>
      <c r="K42" s="317">
        <v>16153</v>
      </c>
      <c r="L42" s="317">
        <v>14861</v>
      </c>
      <c r="M42" s="317">
        <v>17447</v>
      </c>
      <c r="N42" s="317">
        <v>14215</v>
      </c>
      <c r="O42" s="317">
        <v>16800</v>
      </c>
      <c r="P42" s="317">
        <v>14215</v>
      </c>
      <c r="Q42" s="318">
        <f t="shared" si="19"/>
        <v>184796</v>
      </c>
      <c r="R42" s="318">
        <f t="shared" si="20"/>
        <v>15394</v>
      </c>
      <c r="T42" s="312">
        <f t="shared" si="7"/>
        <v>1783</v>
      </c>
      <c r="U42" s="312">
        <f t="shared" si="7"/>
        <v>1800</v>
      </c>
      <c r="V42" s="312">
        <f t="shared" si="7"/>
        <v>1551</v>
      </c>
      <c r="W42" s="312">
        <f t="shared" si="7"/>
        <v>1800</v>
      </c>
      <c r="X42" s="312">
        <f t="shared" si="7"/>
        <v>1800</v>
      </c>
      <c r="Y42" s="312">
        <f t="shared" si="7"/>
        <v>1551</v>
      </c>
      <c r="Z42" s="312">
        <f t="shared" si="7"/>
        <v>1800</v>
      </c>
      <c r="AA42" s="312">
        <f t="shared" si="7"/>
        <v>1783</v>
      </c>
      <c r="AB42" s="312">
        <f t="shared" si="7"/>
        <v>1800</v>
      </c>
      <c r="AC42" s="312">
        <f t="shared" si="7"/>
        <v>1706</v>
      </c>
      <c r="AD42" s="312">
        <f t="shared" si="7"/>
        <v>1800</v>
      </c>
      <c r="AE42" s="312">
        <f t="shared" si="7"/>
        <v>1706</v>
      </c>
      <c r="AF42" s="305">
        <f t="shared" si="21"/>
        <v>20880</v>
      </c>
      <c r="AH42" s="312">
        <f t="shared" si="22"/>
        <v>1932</v>
      </c>
      <c r="AI42" s="312">
        <f t="shared" si="22"/>
        <v>1950</v>
      </c>
      <c r="AJ42" s="312">
        <f t="shared" si="22"/>
        <v>1680</v>
      </c>
      <c r="AK42" s="312">
        <f t="shared" si="22"/>
        <v>1950</v>
      </c>
      <c r="AL42" s="312">
        <f t="shared" si="22"/>
        <v>1950</v>
      </c>
      <c r="AM42" s="312">
        <f t="shared" si="22"/>
        <v>1680</v>
      </c>
      <c r="AN42" s="312">
        <f t="shared" si="22"/>
        <v>1950</v>
      </c>
      <c r="AO42" s="312">
        <f t="shared" si="22"/>
        <v>1932</v>
      </c>
      <c r="AP42" s="312">
        <f t="shared" si="22"/>
        <v>1950</v>
      </c>
      <c r="AQ42" s="312">
        <f t="shared" si="22"/>
        <v>1848</v>
      </c>
      <c r="AR42" s="312">
        <f t="shared" si="22"/>
        <v>1950</v>
      </c>
      <c r="AS42" s="312">
        <f t="shared" si="22"/>
        <v>1848</v>
      </c>
      <c r="AT42" s="305">
        <f t="shared" si="23"/>
        <v>22620</v>
      </c>
      <c r="AV42" s="312">
        <f t="shared" si="11"/>
        <v>111</v>
      </c>
      <c r="AW42" s="312">
        <f t="shared" si="11"/>
        <v>126</v>
      </c>
      <c r="AX42" s="312">
        <f t="shared" si="11"/>
        <v>97</v>
      </c>
      <c r="AY42" s="312">
        <f t="shared" si="11"/>
        <v>131</v>
      </c>
      <c r="AZ42" s="312">
        <f t="shared" si="11"/>
        <v>121</v>
      </c>
      <c r="BA42" s="312">
        <f t="shared" si="11"/>
        <v>97</v>
      </c>
      <c r="BB42" s="312">
        <f t="shared" si="11"/>
        <v>121</v>
      </c>
      <c r="BC42" s="312">
        <f t="shared" si="11"/>
        <v>111</v>
      </c>
      <c r="BD42" s="312">
        <f t="shared" si="11"/>
        <v>131</v>
      </c>
      <c r="BE42" s="312">
        <f t="shared" si="11"/>
        <v>107</v>
      </c>
      <c r="BF42" s="312">
        <f t="shared" si="11"/>
        <v>126</v>
      </c>
      <c r="BG42" s="312">
        <f t="shared" si="11"/>
        <v>107</v>
      </c>
      <c r="BH42" s="305">
        <f t="shared" si="24"/>
        <v>1386</v>
      </c>
      <c r="BJ42" s="312">
        <f t="shared" si="13"/>
        <v>483</v>
      </c>
      <c r="BK42" s="312">
        <f t="shared" si="13"/>
        <v>546</v>
      </c>
      <c r="BL42" s="312">
        <f t="shared" si="13"/>
        <v>420</v>
      </c>
      <c r="BM42" s="312">
        <f t="shared" si="13"/>
        <v>567</v>
      </c>
      <c r="BN42" s="312">
        <f t="shared" si="13"/>
        <v>525</v>
      </c>
      <c r="BO42" s="312">
        <f t="shared" si="13"/>
        <v>420</v>
      </c>
      <c r="BP42" s="312">
        <f t="shared" si="13"/>
        <v>525</v>
      </c>
      <c r="BQ42" s="312">
        <f t="shared" si="13"/>
        <v>483</v>
      </c>
      <c r="BR42" s="312">
        <f t="shared" si="13"/>
        <v>567</v>
      </c>
      <c r="BS42" s="312">
        <f t="shared" si="13"/>
        <v>462</v>
      </c>
      <c r="BT42" s="312">
        <f t="shared" si="13"/>
        <v>546</v>
      </c>
      <c r="BU42" s="312">
        <f t="shared" si="13"/>
        <v>462</v>
      </c>
      <c r="BV42" s="305">
        <f t="shared" si="25"/>
        <v>6006</v>
      </c>
      <c r="BX42" s="312">
        <f t="shared" si="26"/>
        <v>200</v>
      </c>
      <c r="BY42" s="312">
        <f t="shared" si="26"/>
        <v>200</v>
      </c>
      <c r="BZ42" s="312">
        <f t="shared" si="26"/>
        <v>200</v>
      </c>
      <c r="CA42" s="312">
        <f t="shared" si="26"/>
        <v>200</v>
      </c>
      <c r="CB42" s="312">
        <f t="shared" si="26"/>
        <v>200</v>
      </c>
      <c r="CC42" s="312">
        <f t="shared" si="26"/>
        <v>200</v>
      </c>
      <c r="CD42" s="312">
        <f t="shared" si="26"/>
        <v>200</v>
      </c>
      <c r="CE42" s="312">
        <f t="shared" si="26"/>
        <v>200</v>
      </c>
      <c r="CF42" s="312">
        <f t="shared" si="26"/>
        <v>200</v>
      </c>
      <c r="CG42" s="312">
        <f t="shared" si="26"/>
        <v>200</v>
      </c>
      <c r="CH42" s="312">
        <f t="shared" si="27"/>
        <v>300</v>
      </c>
      <c r="CI42" s="312">
        <f t="shared" si="28"/>
        <v>200</v>
      </c>
      <c r="CJ42" s="312">
        <f t="shared" si="29"/>
        <v>2500</v>
      </c>
      <c r="CK42" s="312"/>
    </row>
    <row r="43" spans="2:89" ht="20.100000000000001" customHeight="1">
      <c r="B43" s="314">
        <v>34</v>
      </c>
      <c r="C43" s="315" t="s">
        <v>1727</v>
      </c>
      <c r="D43" s="316" t="s">
        <v>1758</v>
      </c>
      <c r="E43" s="317">
        <v>16200</v>
      </c>
      <c r="F43" s="317">
        <v>14331</v>
      </c>
      <c r="G43" s="317">
        <v>16200</v>
      </c>
      <c r="H43" s="317">
        <v>16822</v>
      </c>
      <c r="I43" s="317">
        <v>16200</v>
      </c>
      <c r="J43" s="317">
        <v>13085</v>
      </c>
      <c r="K43" s="317">
        <v>16822</v>
      </c>
      <c r="L43" s="317">
        <v>13708</v>
      </c>
      <c r="M43" s="317">
        <v>16822</v>
      </c>
      <c r="N43" s="317">
        <v>13708</v>
      </c>
      <c r="O43" s="317">
        <v>16200</v>
      </c>
      <c r="P43" s="317">
        <v>14331</v>
      </c>
      <c r="Q43" s="318">
        <f t="shared" si="19"/>
        <v>184429</v>
      </c>
      <c r="R43" s="318">
        <f t="shared" si="20"/>
        <v>15363</v>
      </c>
      <c r="T43" s="312">
        <f t="shared" si="7"/>
        <v>1800</v>
      </c>
      <c r="U43" s="312">
        <f t="shared" si="7"/>
        <v>1720</v>
      </c>
      <c r="V43" s="312">
        <f t="shared" si="7"/>
        <v>1800</v>
      </c>
      <c r="W43" s="312">
        <f t="shared" si="7"/>
        <v>1800</v>
      </c>
      <c r="X43" s="312">
        <f t="shared" si="7"/>
        <v>1800</v>
      </c>
      <c r="Y43" s="312">
        <f t="shared" si="7"/>
        <v>1570</v>
      </c>
      <c r="Z43" s="312">
        <f t="shared" si="7"/>
        <v>1800</v>
      </c>
      <c r="AA43" s="312">
        <f t="shared" si="7"/>
        <v>1645</v>
      </c>
      <c r="AB43" s="312">
        <f t="shared" si="7"/>
        <v>1800</v>
      </c>
      <c r="AC43" s="312">
        <f t="shared" si="7"/>
        <v>1645</v>
      </c>
      <c r="AD43" s="312">
        <f t="shared" si="7"/>
        <v>1800</v>
      </c>
      <c r="AE43" s="312">
        <f t="shared" si="7"/>
        <v>1720</v>
      </c>
      <c r="AF43" s="305">
        <f t="shared" si="21"/>
        <v>20900</v>
      </c>
      <c r="AH43" s="312">
        <f t="shared" si="22"/>
        <v>1950</v>
      </c>
      <c r="AI43" s="312">
        <f t="shared" si="22"/>
        <v>1863</v>
      </c>
      <c r="AJ43" s="312">
        <f t="shared" si="22"/>
        <v>1950</v>
      </c>
      <c r="AK43" s="312">
        <f t="shared" si="22"/>
        <v>1950</v>
      </c>
      <c r="AL43" s="312">
        <f t="shared" si="22"/>
        <v>1950</v>
      </c>
      <c r="AM43" s="312">
        <f t="shared" si="22"/>
        <v>1701</v>
      </c>
      <c r="AN43" s="312">
        <f t="shared" si="22"/>
        <v>1950</v>
      </c>
      <c r="AO43" s="312">
        <f t="shared" si="22"/>
        <v>1782</v>
      </c>
      <c r="AP43" s="312">
        <f t="shared" si="22"/>
        <v>1950</v>
      </c>
      <c r="AQ43" s="312">
        <f t="shared" si="22"/>
        <v>1782</v>
      </c>
      <c r="AR43" s="312">
        <f t="shared" si="22"/>
        <v>1950</v>
      </c>
      <c r="AS43" s="312">
        <f t="shared" si="22"/>
        <v>1863</v>
      </c>
      <c r="AT43" s="305">
        <f t="shared" si="23"/>
        <v>22641</v>
      </c>
      <c r="AV43" s="312">
        <f t="shared" si="11"/>
        <v>122</v>
      </c>
      <c r="AW43" s="312">
        <f t="shared" si="11"/>
        <v>107</v>
      </c>
      <c r="AX43" s="312">
        <f t="shared" si="11"/>
        <v>122</v>
      </c>
      <c r="AY43" s="312">
        <f t="shared" si="11"/>
        <v>126</v>
      </c>
      <c r="AZ43" s="312">
        <f t="shared" si="11"/>
        <v>122</v>
      </c>
      <c r="BA43" s="312">
        <f t="shared" si="11"/>
        <v>98</v>
      </c>
      <c r="BB43" s="312">
        <f t="shared" si="11"/>
        <v>126</v>
      </c>
      <c r="BC43" s="312">
        <f t="shared" si="11"/>
        <v>103</v>
      </c>
      <c r="BD43" s="312">
        <f t="shared" si="11"/>
        <v>126</v>
      </c>
      <c r="BE43" s="312">
        <f t="shared" si="11"/>
        <v>103</v>
      </c>
      <c r="BF43" s="312">
        <f t="shared" si="11"/>
        <v>122</v>
      </c>
      <c r="BG43" s="312">
        <f t="shared" si="11"/>
        <v>107</v>
      </c>
      <c r="BH43" s="305">
        <f t="shared" si="24"/>
        <v>1384</v>
      </c>
      <c r="BJ43" s="312">
        <f t="shared" si="13"/>
        <v>527</v>
      </c>
      <c r="BK43" s="312">
        <f t="shared" si="13"/>
        <v>466</v>
      </c>
      <c r="BL43" s="312">
        <f t="shared" si="13"/>
        <v>527</v>
      </c>
      <c r="BM43" s="312">
        <f t="shared" si="13"/>
        <v>547</v>
      </c>
      <c r="BN43" s="312">
        <f t="shared" si="13"/>
        <v>527</v>
      </c>
      <c r="BO43" s="312">
        <f t="shared" si="13"/>
        <v>425</v>
      </c>
      <c r="BP43" s="312">
        <f t="shared" si="13"/>
        <v>547</v>
      </c>
      <c r="BQ43" s="312">
        <f t="shared" si="13"/>
        <v>446</v>
      </c>
      <c r="BR43" s="312">
        <f t="shared" si="13"/>
        <v>547</v>
      </c>
      <c r="BS43" s="312">
        <f t="shared" si="13"/>
        <v>446</v>
      </c>
      <c r="BT43" s="312">
        <f t="shared" si="13"/>
        <v>527</v>
      </c>
      <c r="BU43" s="312">
        <f t="shared" si="13"/>
        <v>466</v>
      </c>
      <c r="BV43" s="305">
        <f t="shared" si="25"/>
        <v>5998</v>
      </c>
      <c r="BX43" s="312">
        <f t="shared" si="26"/>
        <v>200</v>
      </c>
      <c r="BY43" s="312">
        <f t="shared" si="26"/>
        <v>200</v>
      </c>
      <c r="BZ43" s="312">
        <f t="shared" si="26"/>
        <v>200</v>
      </c>
      <c r="CA43" s="312">
        <f t="shared" si="26"/>
        <v>200</v>
      </c>
      <c r="CB43" s="312">
        <f t="shared" si="26"/>
        <v>200</v>
      </c>
      <c r="CC43" s="312">
        <f t="shared" si="26"/>
        <v>200</v>
      </c>
      <c r="CD43" s="312">
        <f t="shared" si="26"/>
        <v>200</v>
      </c>
      <c r="CE43" s="312">
        <f t="shared" si="26"/>
        <v>200</v>
      </c>
      <c r="CF43" s="312">
        <f t="shared" si="26"/>
        <v>200</v>
      </c>
      <c r="CG43" s="312">
        <f t="shared" si="26"/>
        <v>200</v>
      </c>
      <c r="CH43" s="312">
        <f t="shared" si="27"/>
        <v>300</v>
      </c>
      <c r="CI43" s="312">
        <f t="shared" si="28"/>
        <v>200</v>
      </c>
      <c r="CJ43" s="312">
        <f t="shared" si="29"/>
        <v>2500</v>
      </c>
      <c r="CK43" s="312"/>
    </row>
    <row r="44" spans="2:89" ht="20.100000000000001" customHeight="1">
      <c r="B44" s="319">
        <v>35</v>
      </c>
      <c r="C44" s="315" t="s">
        <v>1727</v>
      </c>
      <c r="D44" s="316" t="s">
        <v>1759</v>
      </c>
      <c r="E44" s="317">
        <v>5231</v>
      </c>
      <c r="F44" s="317">
        <v>14385</v>
      </c>
      <c r="G44" s="317">
        <v>15692</v>
      </c>
      <c r="H44" s="317">
        <v>17000</v>
      </c>
      <c r="I44" s="317">
        <v>17000</v>
      </c>
      <c r="J44" s="317">
        <v>16347</v>
      </c>
      <c r="K44" s="317">
        <v>17000</v>
      </c>
      <c r="L44" s="317">
        <v>7847</v>
      </c>
      <c r="M44" s="317">
        <v>17000</v>
      </c>
      <c r="N44" s="317">
        <v>15692</v>
      </c>
      <c r="O44" s="317">
        <v>14385</v>
      </c>
      <c r="P44" s="317">
        <v>17000</v>
      </c>
      <c r="Q44" s="318">
        <f t="shared" si="19"/>
        <v>174579</v>
      </c>
      <c r="R44" s="318">
        <f t="shared" si="20"/>
        <v>14542</v>
      </c>
      <c r="T44" s="312">
        <f t="shared" si="7"/>
        <v>628</v>
      </c>
      <c r="U44" s="312">
        <f t="shared" si="7"/>
        <v>1726</v>
      </c>
      <c r="V44" s="312">
        <f t="shared" si="7"/>
        <v>1800</v>
      </c>
      <c r="W44" s="312">
        <f t="shared" si="7"/>
        <v>1800</v>
      </c>
      <c r="X44" s="312">
        <f t="shared" si="7"/>
        <v>1800</v>
      </c>
      <c r="Y44" s="312">
        <f t="shared" si="7"/>
        <v>1800</v>
      </c>
      <c r="Z44" s="312">
        <f t="shared" si="7"/>
        <v>1800</v>
      </c>
      <c r="AA44" s="312">
        <f t="shared" si="7"/>
        <v>942</v>
      </c>
      <c r="AB44" s="312">
        <f t="shared" si="7"/>
        <v>1800</v>
      </c>
      <c r="AC44" s="312">
        <f t="shared" ref="AC44:AE54" si="30">+ROUND(IF(N44&gt;15000,(15000*0.12),(N44*0.12)),0)</f>
        <v>1800</v>
      </c>
      <c r="AD44" s="312">
        <f t="shared" si="30"/>
        <v>1726</v>
      </c>
      <c r="AE44" s="312">
        <f t="shared" si="30"/>
        <v>1800</v>
      </c>
      <c r="AF44" s="305">
        <f t="shared" si="21"/>
        <v>19422</v>
      </c>
      <c r="AH44" s="312">
        <f t="shared" si="22"/>
        <v>680</v>
      </c>
      <c r="AI44" s="312">
        <f t="shared" si="22"/>
        <v>1870</v>
      </c>
      <c r="AJ44" s="312">
        <f t="shared" si="22"/>
        <v>1950</v>
      </c>
      <c r="AK44" s="312">
        <f t="shared" si="22"/>
        <v>1950</v>
      </c>
      <c r="AL44" s="312">
        <f t="shared" si="22"/>
        <v>1950</v>
      </c>
      <c r="AM44" s="312">
        <f t="shared" si="22"/>
        <v>1950</v>
      </c>
      <c r="AN44" s="312">
        <f t="shared" si="22"/>
        <v>1950</v>
      </c>
      <c r="AO44" s="312">
        <f t="shared" si="22"/>
        <v>1020</v>
      </c>
      <c r="AP44" s="312">
        <f t="shared" si="22"/>
        <v>1950</v>
      </c>
      <c r="AQ44" s="312">
        <f t="shared" si="22"/>
        <v>1950</v>
      </c>
      <c r="AR44" s="312">
        <f t="shared" si="22"/>
        <v>1870</v>
      </c>
      <c r="AS44" s="312">
        <f t="shared" si="22"/>
        <v>1950</v>
      </c>
      <c r="AT44" s="305">
        <f t="shared" si="23"/>
        <v>21040</v>
      </c>
      <c r="AV44" s="312">
        <f t="shared" si="11"/>
        <v>39</v>
      </c>
      <c r="AW44" s="312">
        <f t="shared" si="11"/>
        <v>108</v>
      </c>
      <c r="AX44" s="312">
        <f t="shared" si="11"/>
        <v>118</v>
      </c>
      <c r="AY44" s="312">
        <f t="shared" si="11"/>
        <v>128</v>
      </c>
      <c r="AZ44" s="312">
        <f t="shared" si="11"/>
        <v>128</v>
      </c>
      <c r="BA44" s="312">
        <f t="shared" si="11"/>
        <v>123</v>
      </c>
      <c r="BB44" s="312">
        <f t="shared" si="11"/>
        <v>128</v>
      </c>
      <c r="BC44" s="312">
        <f t="shared" si="11"/>
        <v>59</v>
      </c>
      <c r="BD44" s="312">
        <f t="shared" si="11"/>
        <v>128</v>
      </c>
      <c r="BE44" s="312">
        <f t="shared" si="11"/>
        <v>118</v>
      </c>
      <c r="BF44" s="312">
        <f t="shared" si="11"/>
        <v>108</v>
      </c>
      <c r="BG44" s="312">
        <f t="shared" si="11"/>
        <v>128</v>
      </c>
      <c r="BH44" s="305">
        <f t="shared" si="24"/>
        <v>1313</v>
      </c>
      <c r="BJ44" s="312">
        <f t="shared" si="13"/>
        <v>170</v>
      </c>
      <c r="BK44" s="312">
        <f t="shared" si="13"/>
        <v>468</v>
      </c>
      <c r="BL44" s="312">
        <f t="shared" si="13"/>
        <v>510</v>
      </c>
      <c r="BM44" s="312">
        <f t="shared" si="13"/>
        <v>553</v>
      </c>
      <c r="BN44" s="312">
        <f t="shared" si="13"/>
        <v>553</v>
      </c>
      <c r="BO44" s="312">
        <f t="shared" si="13"/>
        <v>531</v>
      </c>
      <c r="BP44" s="312">
        <f t="shared" si="13"/>
        <v>553</v>
      </c>
      <c r="BQ44" s="312">
        <f t="shared" si="13"/>
        <v>255</v>
      </c>
      <c r="BR44" s="312">
        <f t="shared" si="13"/>
        <v>553</v>
      </c>
      <c r="BS44" s="312">
        <f t="shared" si="13"/>
        <v>510</v>
      </c>
      <c r="BT44" s="312">
        <f t="shared" si="13"/>
        <v>468</v>
      </c>
      <c r="BU44" s="312">
        <f t="shared" si="13"/>
        <v>553</v>
      </c>
      <c r="BV44" s="305">
        <f t="shared" si="25"/>
        <v>5677</v>
      </c>
      <c r="BX44" s="312">
        <f t="shared" si="26"/>
        <v>175</v>
      </c>
      <c r="BY44" s="312">
        <f t="shared" si="26"/>
        <v>200</v>
      </c>
      <c r="BZ44" s="312">
        <f t="shared" si="26"/>
        <v>200</v>
      </c>
      <c r="CA44" s="312">
        <f t="shared" si="26"/>
        <v>200</v>
      </c>
      <c r="CB44" s="312">
        <f t="shared" si="26"/>
        <v>200</v>
      </c>
      <c r="CC44" s="312">
        <f t="shared" si="26"/>
        <v>200</v>
      </c>
      <c r="CD44" s="312">
        <f t="shared" si="26"/>
        <v>200</v>
      </c>
      <c r="CE44" s="312">
        <f t="shared" si="26"/>
        <v>175</v>
      </c>
      <c r="CF44" s="312">
        <f t="shared" si="26"/>
        <v>200</v>
      </c>
      <c r="CG44" s="312">
        <f t="shared" si="26"/>
        <v>200</v>
      </c>
      <c r="CH44" s="312">
        <f t="shared" si="27"/>
        <v>300</v>
      </c>
      <c r="CI44" s="312">
        <f t="shared" si="28"/>
        <v>200</v>
      </c>
      <c r="CJ44" s="312">
        <f t="shared" si="29"/>
        <v>2450</v>
      </c>
      <c r="CK44" s="312"/>
    </row>
    <row r="45" spans="2:89" ht="20.100000000000001" customHeight="1">
      <c r="B45" s="319">
        <v>36</v>
      </c>
      <c r="C45" s="315" t="s">
        <v>1727</v>
      </c>
      <c r="D45" s="316" t="s">
        <v>1760</v>
      </c>
      <c r="E45" s="317">
        <v>13653</v>
      </c>
      <c r="F45" s="317">
        <v>14200</v>
      </c>
      <c r="G45" s="317">
        <v>12015</v>
      </c>
      <c r="H45" s="317">
        <v>13108</v>
      </c>
      <c r="I45" s="317">
        <v>13653</v>
      </c>
      <c r="J45" s="317">
        <v>10922</v>
      </c>
      <c r="K45" s="317">
        <v>12561</v>
      </c>
      <c r="L45" s="317">
        <v>12561</v>
      </c>
      <c r="M45" s="317">
        <v>13653</v>
      </c>
      <c r="N45" s="317">
        <v>14200</v>
      </c>
      <c r="O45" s="317">
        <v>12015</v>
      </c>
      <c r="P45" s="317">
        <v>12561</v>
      </c>
      <c r="Q45" s="318">
        <f t="shared" si="19"/>
        <v>155102</v>
      </c>
      <c r="R45" s="318">
        <f t="shared" si="20"/>
        <v>12920</v>
      </c>
      <c r="T45" s="312">
        <f t="shared" ref="T45:AB54" si="31">+ROUND(IF(E45&gt;15000,(15000*0.12),(E45*0.12)),0)</f>
        <v>1638</v>
      </c>
      <c r="U45" s="312">
        <f t="shared" si="31"/>
        <v>1704</v>
      </c>
      <c r="V45" s="312">
        <f t="shared" si="31"/>
        <v>1442</v>
      </c>
      <c r="W45" s="312">
        <f t="shared" si="31"/>
        <v>1573</v>
      </c>
      <c r="X45" s="312">
        <f t="shared" si="31"/>
        <v>1638</v>
      </c>
      <c r="Y45" s="312">
        <f t="shared" si="31"/>
        <v>1311</v>
      </c>
      <c r="Z45" s="312">
        <f t="shared" si="31"/>
        <v>1507</v>
      </c>
      <c r="AA45" s="312">
        <f t="shared" si="31"/>
        <v>1507</v>
      </c>
      <c r="AB45" s="312">
        <f t="shared" si="31"/>
        <v>1638</v>
      </c>
      <c r="AC45" s="312">
        <f t="shared" si="30"/>
        <v>1704</v>
      </c>
      <c r="AD45" s="312">
        <f t="shared" si="30"/>
        <v>1442</v>
      </c>
      <c r="AE45" s="312">
        <f t="shared" si="30"/>
        <v>1507</v>
      </c>
      <c r="AF45" s="305">
        <f t="shared" si="21"/>
        <v>18611</v>
      </c>
      <c r="AH45" s="312">
        <f t="shared" si="22"/>
        <v>1775</v>
      </c>
      <c r="AI45" s="312">
        <f t="shared" si="22"/>
        <v>1846</v>
      </c>
      <c r="AJ45" s="312">
        <f t="shared" si="22"/>
        <v>1562</v>
      </c>
      <c r="AK45" s="312">
        <f t="shared" si="22"/>
        <v>1704</v>
      </c>
      <c r="AL45" s="312">
        <f t="shared" si="22"/>
        <v>1775</v>
      </c>
      <c r="AM45" s="312">
        <f t="shared" si="22"/>
        <v>1420</v>
      </c>
      <c r="AN45" s="312">
        <f t="shared" si="22"/>
        <v>1633</v>
      </c>
      <c r="AO45" s="312">
        <f t="shared" si="22"/>
        <v>1633</v>
      </c>
      <c r="AP45" s="312">
        <f t="shared" si="22"/>
        <v>1775</v>
      </c>
      <c r="AQ45" s="312">
        <f t="shared" si="22"/>
        <v>1846</v>
      </c>
      <c r="AR45" s="312">
        <f t="shared" si="22"/>
        <v>1562</v>
      </c>
      <c r="AS45" s="312">
        <f t="shared" si="22"/>
        <v>1633</v>
      </c>
      <c r="AT45" s="305">
        <f t="shared" si="23"/>
        <v>20164</v>
      </c>
      <c r="AV45" s="312">
        <f t="shared" si="11"/>
        <v>102</v>
      </c>
      <c r="AW45" s="312">
        <f t="shared" si="11"/>
        <v>107</v>
      </c>
      <c r="AX45" s="312">
        <f t="shared" si="11"/>
        <v>90</v>
      </c>
      <c r="AY45" s="312">
        <f t="shared" si="11"/>
        <v>98</v>
      </c>
      <c r="AZ45" s="312">
        <f t="shared" si="11"/>
        <v>102</v>
      </c>
      <c r="BA45" s="312">
        <f t="shared" si="11"/>
        <v>82</v>
      </c>
      <c r="BB45" s="312">
        <f t="shared" si="11"/>
        <v>94</v>
      </c>
      <c r="BC45" s="312">
        <f t="shared" si="11"/>
        <v>94</v>
      </c>
      <c r="BD45" s="312">
        <f t="shared" si="11"/>
        <v>102</v>
      </c>
      <c r="BE45" s="312">
        <f t="shared" si="11"/>
        <v>107</v>
      </c>
      <c r="BF45" s="312">
        <f t="shared" si="11"/>
        <v>90</v>
      </c>
      <c r="BG45" s="312">
        <f t="shared" si="11"/>
        <v>94</v>
      </c>
      <c r="BH45" s="305">
        <f t="shared" si="24"/>
        <v>1162</v>
      </c>
      <c r="BJ45" s="312">
        <f t="shared" si="13"/>
        <v>444</v>
      </c>
      <c r="BK45" s="312">
        <f t="shared" si="13"/>
        <v>462</v>
      </c>
      <c r="BL45" s="312">
        <f t="shared" si="13"/>
        <v>390</v>
      </c>
      <c r="BM45" s="312">
        <f t="shared" si="13"/>
        <v>426</v>
      </c>
      <c r="BN45" s="312">
        <f t="shared" si="13"/>
        <v>444</v>
      </c>
      <c r="BO45" s="312">
        <f t="shared" si="13"/>
        <v>355</v>
      </c>
      <c r="BP45" s="312">
        <f t="shared" si="13"/>
        <v>408</v>
      </c>
      <c r="BQ45" s="312">
        <f t="shared" si="13"/>
        <v>408</v>
      </c>
      <c r="BR45" s="312">
        <f t="shared" si="13"/>
        <v>444</v>
      </c>
      <c r="BS45" s="312">
        <f t="shared" si="13"/>
        <v>462</v>
      </c>
      <c r="BT45" s="312">
        <f t="shared" si="13"/>
        <v>390</v>
      </c>
      <c r="BU45" s="312">
        <f t="shared" si="13"/>
        <v>408</v>
      </c>
      <c r="BV45" s="305">
        <f t="shared" si="25"/>
        <v>5041</v>
      </c>
      <c r="BX45" s="312">
        <f t="shared" si="26"/>
        <v>200</v>
      </c>
      <c r="BY45" s="312">
        <f t="shared" si="26"/>
        <v>200</v>
      </c>
      <c r="BZ45" s="312">
        <f t="shared" si="26"/>
        <v>200</v>
      </c>
      <c r="CA45" s="312">
        <f t="shared" si="26"/>
        <v>200</v>
      </c>
      <c r="CB45" s="312">
        <f t="shared" si="26"/>
        <v>200</v>
      </c>
      <c r="CC45" s="312">
        <f t="shared" si="26"/>
        <v>200</v>
      </c>
      <c r="CD45" s="312">
        <f t="shared" si="26"/>
        <v>200</v>
      </c>
      <c r="CE45" s="312">
        <f t="shared" si="26"/>
        <v>200</v>
      </c>
      <c r="CF45" s="312">
        <f t="shared" si="26"/>
        <v>200</v>
      </c>
      <c r="CG45" s="312">
        <f t="shared" si="26"/>
        <v>200</v>
      </c>
      <c r="CH45" s="312">
        <f t="shared" si="27"/>
        <v>300</v>
      </c>
      <c r="CI45" s="312">
        <f t="shared" si="28"/>
        <v>200</v>
      </c>
      <c r="CJ45" s="312">
        <f t="shared" si="29"/>
        <v>2500</v>
      </c>
      <c r="CK45" s="312"/>
    </row>
    <row r="46" spans="2:89" ht="20.100000000000001" customHeight="1">
      <c r="B46" s="319">
        <v>37</v>
      </c>
      <c r="C46" s="315" t="s">
        <v>1727</v>
      </c>
      <c r="D46" s="316" t="s">
        <v>1761</v>
      </c>
      <c r="E46" s="317">
        <v>12208</v>
      </c>
      <c r="F46" s="317">
        <v>13800</v>
      </c>
      <c r="G46" s="317">
        <v>11147</v>
      </c>
      <c r="H46" s="317">
        <v>13800</v>
      </c>
      <c r="I46" s="317">
        <v>13269</v>
      </c>
      <c r="J46" s="317">
        <v>11678</v>
      </c>
      <c r="K46" s="317">
        <v>13269</v>
      </c>
      <c r="L46" s="317">
        <v>11147</v>
      </c>
      <c r="M46" s="317">
        <v>13269</v>
      </c>
      <c r="N46" s="317">
        <v>13269</v>
      </c>
      <c r="O46" s="317">
        <v>11147</v>
      </c>
      <c r="P46" s="317">
        <v>12208</v>
      </c>
      <c r="Q46" s="318">
        <f t="shared" si="19"/>
        <v>150211</v>
      </c>
      <c r="R46" s="318">
        <f t="shared" si="20"/>
        <v>12513</v>
      </c>
      <c r="T46" s="312">
        <f t="shared" si="31"/>
        <v>1465</v>
      </c>
      <c r="U46" s="312">
        <f t="shared" si="31"/>
        <v>1656</v>
      </c>
      <c r="V46" s="312">
        <f t="shared" si="31"/>
        <v>1338</v>
      </c>
      <c r="W46" s="312">
        <f t="shared" si="31"/>
        <v>1656</v>
      </c>
      <c r="X46" s="312">
        <f t="shared" si="31"/>
        <v>1592</v>
      </c>
      <c r="Y46" s="312">
        <f t="shared" si="31"/>
        <v>1401</v>
      </c>
      <c r="Z46" s="312">
        <f t="shared" si="31"/>
        <v>1592</v>
      </c>
      <c r="AA46" s="312">
        <f t="shared" si="31"/>
        <v>1338</v>
      </c>
      <c r="AB46" s="312">
        <f t="shared" si="31"/>
        <v>1592</v>
      </c>
      <c r="AC46" s="312">
        <f t="shared" si="30"/>
        <v>1592</v>
      </c>
      <c r="AD46" s="312">
        <f t="shared" si="30"/>
        <v>1338</v>
      </c>
      <c r="AE46" s="312">
        <f t="shared" si="30"/>
        <v>1465</v>
      </c>
      <c r="AF46" s="305">
        <f t="shared" si="21"/>
        <v>18025</v>
      </c>
      <c r="AH46" s="312">
        <f t="shared" si="22"/>
        <v>1587</v>
      </c>
      <c r="AI46" s="312">
        <f t="shared" si="22"/>
        <v>1794</v>
      </c>
      <c r="AJ46" s="312">
        <f t="shared" si="22"/>
        <v>1449</v>
      </c>
      <c r="AK46" s="312">
        <f t="shared" si="22"/>
        <v>1794</v>
      </c>
      <c r="AL46" s="312">
        <f t="shared" si="22"/>
        <v>1725</v>
      </c>
      <c r="AM46" s="312">
        <f t="shared" si="22"/>
        <v>1518</v>
      </c>
      <c r="AN46" s="312">
        <f t="shared" si="22"/>
        <v>1725</v>
      </c>
      <c r="AO46" s="312">
        <f t="shared" si="22"/>
        <v>1449</v>
      </c>
      <c r="AP46" s="312">
        <f t="shared" si="22"/>
        <v>1725</v>
      </c>
      <c r="AQ46" s="312">
        <f t="shared" si="22"/>
        <v>1725</v>
      </c>
      <c r="AR46" s="312">
        <f t="shared" si="22"/>
        <v>1449</v>
      </c>
      <c r="AS46" s="312">
        <f t="shared" si="22"/>
        <v>1587</v>
      </c>
      <c r="AT46" s="305">
        <f t="shared" si="23"/>
        <v>19527</v>
      </c>
      <c r="AV46" s="312">
        <f t="shared" ref="AV46:BG54" si="32">+ROUND(IF(E46&lt;21001,(E46*0.75%),0),0)</f>
        <v>92</v>
      </c>
      <c r="AW46" s="312">
        <f t="shared" si="32"/>
        <v>104</v>
      </c>
      <c r="AX46" s="312">
        <f t="shared" si="32"/>
        <v>84</v>
      </c>
      <c r="AY46" s="312">
        <f t="shared" si="32"/>
        <v>104</v>
      </c>
      <c r="AZ46" s="312">
        <f t="shared" si="32"/>
        <v>100</v>
      </c>
      <c r="BA46" s="312">
        <f t="shared" si="32"/>
        <v>88</v>
      </c>
      <c r="BB46" s="312">
        <f t="shared" si="32"/>
        <v>100</v>
      </c>
      <c r="BC46" s="312">
        <f t="shared" si="32"/>
        <v>84</v>
      </c>
      <c r="BD46" s="312">
        <f t="shared" si="32"/>
        <v>100</v>
      </c>
      <c r="BE46" s="312">
        <f t="shared" si="32"/>
        <v>100</v>
      </c>
      <c r="BF46" s="312">
        <f t="shared" si="32"/>
        <v>84</v>
      </c>
      <c r="BG46" s="312">
        <f t="shared" si="32"/>
        <v>92</v>
      </c>
      <c r="BH46" s="305">
        <f t="shared" si="24"/>
        <v>1132</v>
      </c>
      <c r="BJ46" s="312">
        <f t="shared" ref="BJ46:BU54" si="33">+ROUND(IF(E46&lt;21001,(E46*3.25%),0),0)</f>
        <v>397</v>
      </c>
      <c r="BK46" s="312">
        <f t="shared" si="33"/>
        <v>449</v>
      </c>
      <c r="BL46" s="312">
        <f t="shared" si="33"/>
        <v>362</v>
      </c>
      <c r="BM46" s="312">
        <f t="shared" si="33"/>
        <v>449</v>
      </c>
      <c r="BN46" s="312">
        <f t="shared" si="33"/>
        <v>431</v>
      </c>
      <c r="BO46" s="312">
        <f t="shared" si="33"/>
        <v>380</v>
      </c>
      <c r="BP46" s="312">
        <f t="shared" si="33"/>
        <v>431</v>
      </c>
      <c r="BQ46" s="312">
        <f t="shared" si="33"/>
        <v>362</v>
      </c>
      <c r="BR46" s="312">
        <f t="shared" si="33"/>
        <v>431</v>
      </c>
      <c r="BS46" s="312">
        <f t="shared" si="33"/>
        <v>431</v>
      </c>
      <c r="BT46" s="312">
        <f t="shared" si="33"/>
        <v>362</v>
      </c>
      <c r="BU46" s="312">
        <f t="shared" si="33"/>
        <v>397</v>
      </c>
      <c r="BV46" s="305">
        <f t="shared" si="25"/>
        <v>4882</v>
      </c>
      <c r="BX46" s="312">
        <f t="shared" si="26"/>
        <v>200</v>
      </c>
      <c r="BY46" s="312">
        <f t="shared" si="26"/>
        <v>200</v>
      </c>
      <c r="BZ46" s="312">
        <f t="shared" si="26"/>
        <v>200</v>
      </c>
      <c r="CA46" s="312">
        <f t="shared" si="26"/>
        <v>200</v>
      </c>
      <c r="CB46" s="312">
        <f t="shared" si="26"/>
        <v>200</v>
      </c>
      <c r="CC46" s="312">
        <f t="shared" si="26"/>
        <v>200</v>
      </c>
      <c r="CD46" s="312">
        <f t="shared" si="26"/>
        <v>200</v>
      </c>
      <c r="CE46" s="312">
        <f t="shared" si="26"/>
        <v>200</v>
      </c>
      <c r="CF46" s="312">
        <f t="shared" si="26"/>
        <v>200</v>
      </c>
      <c r="CG46" s="312">
        <f t="shared" si="26"/>
        <v>200</v>
      </c>
      <c r="CH46" s="312">
        <f t="shared" si="27"/>
        <v>300</v>
      </c>
      <c r="CI46" s="312">
        <f t="shared" si="28"/>
        <v>200</v>
      </c>
      <c r="CJ46" s="312">
        <f t="shared" si="29"/>
        <v>2500</v>
      </c>
      <c r="CK46" s="312"/>
    </row>
    <row r="47" spans="2:89" ht="20.100000000000001" customHeight="1">
      <c r="B47" s="319">
        <v>38</v>
      </c>
      <c r="C47" s="315" t="s">
        <v>1727</v>
      </c>
      <c r="D47" s="316" t="s">
        <v>1762</v>
      </c>
      <c r="E47" s="317">
        <v>9127</v>
      </c>
      <c r="F47" s="317">
        <v>10866</v>
      </c>
      <c r="G47" s="317">
        <v>9561</v>
      </c>
      <c r="H47" s="317">
        <v>10866</v>
      </c>
      <c r="I47" s="317">
        <v>9127</v>
      </c>
      <c r="J47" s="317">
        <v>9996</v>
      </c>
      <c r="K47" s="317">
        <v>11300</v>
      </c>
      <c r="L47" s="317">
        <v>7822</v>
      </c>
      <c r="M47" s="317">
        <v>10866</v>
      </c>
      <c r="N47" s="317">
        <v>9561</v>
      </c>
      <c r="O47" s="317">
        <v>8692</v>
      </c>
      <c r="P47" s="317">
        <v>9996</v>
      </c>
      <c r="Q47" s="318">
        <f t="shared" si="19"/>
        <v>117780</v>
      </c>
      <c r="R47" s="318">
        <f t="shared" si="20"/>
        <v>9811</v>
      </c>
      <c r="T47" s="312">
        <f t="shared" si="31"/>
        <v>1095</v>
      </c>
      <c r="U47" s="312">
        <f t="shared" si="31"/>
        <v>1304</v>
      </c>
      <c r="V47" s="312">
        <f t="shared" si="31"/>
        <v>1147</v>
      </c>
      <c r="W47" s="312">
        <f t="shared" si="31"/>
        <v>1304</v>
      </c>
      <c r="X47" s="312">
        <f t="shared" si="31"/>
        <v>1095</v>
      </c>
      <c r="Y47" s="312">
        <f t="shared" si="31"/>
        <v>1200</v>
      </c>
      <c r="Z47" s="312">
        <f t="shared" si="31"/>
        <v>1356</v>
      </c>
      <c r="AA47" s="312">
        <f t="shared" si="31"/>
        <v>939</v>
      </c>
      <c r="AB47" s="312">
        <f t="shared" si="31"/>
        <v>1304</v>
      </c>
      <c r="AC47" s="312">
        <f t="shared" si="30"/>
        <v>1147</v>
      </c>
      <c r="AD47" s="312">
        <f t="shared" si="30"/>
        <v>1043</v>
      </c>
      <c r="AE47" s="312">
        <f t="shared" si="30"/>
        <v>1200</v>
      </c>
      <c r="AF47" s="305">
        <f t="shared" si="21"/>
        <v>14134</v>
      </c>
      <c r="AH47" s="312">
        <f t="shared" si="22"/>
        <v>1187</v>
      </c>
      <c r="AI47" s="312">
        <f t="shared" si="22"/>
        <v>1413</v>
      </c>
      <c r="AJ47" s="312">
        <f t="shared" si="22"/>
        <v>1243</v>
      </c>
      <c r="AK47" s="312">
        <f t="shared" si="22"/>
        <v>1413</v>
      </c>
      <c r="AL47" s="312">
        <f t="shared" si="22"/>
        <v>1187</v>
      </c>
      <c r="AM47" s="312">
        <f t="shared" si="22"/>
        <v>1299</v>
      </c>
      <c r="AN47" s="312">
        <f t="shared" si="22"/>
        <v>1469</v>
      </c>
      <c r="AO47" s="312">
        <f t="shared" si="22"/>
        <v>1017</v>
      </c>
      <c r="AP47" s="312">
        <f t="shared" si="22"/>
        <v>1413</v>
      </c>
      <c r="AQ47" s="312">
        <f t="shared" si="22"/>
        <v>1243</v>
      </c>
      <c r="AR47" s="312">
        <f t="shared" si="22"/>
        <v>1130</v>
      </c>
      <c r="AS47" s="312">
        <f t="shared" si="22"/>
        <v>1299</v>
      </c>
      <c r="AT47" s="305">
        <f t="shared" si="23"/>
        <v>15313</v>
      </c>
      <c r="AV47" s="312">
        <f t="shared" si="32"/>
        <v>68</v>
      </c>
      <c r="AW47" s="312">
        <f t="shared" si="32"/>
        <v>81</v>
      </c>
      <c r="AX47" s="312">
        <f t="shared" si="32"/>
        <v>72</v>
      </c>
      <c r="AY47" s="312">
        <f t="shared" si="32"/>
        <v>81</v>
      </c>
      <c r="AZ47" s="312">
        <f t="shared" si="32"/>
        <v>68</v>
      </c>
      <c r="BA47" s="312">
        <f t="shared" si="32"/>
        <v>75</v>
      </c>
      <c r="BB47" s="312">
        <f t="shared" si="32"/>
        <v>85</v>
      </c>
      <c r="BC47" s="312">
        <f t="shared" si="32"/>
        <v>59</v>
      </c>
      <c r="BD47" s="312">
        <f t="shared" si="32"/>
        <v>81</v>
      </c>
      <c r="BE47" s="312">
        <f t="shared" si="32"/>
        <v>72</v>
      </c>
      <c r="BF47" s="312">
        <f t="shared" si="32"/>
        <v>65</v>
      </c>
      <c r="BG47" s="312">
        <f t="shared" si="32"/>
        <v>75</v>
      </c>
      <c r="BH47" s="305">
        <f t="shared" si="24"/>
        <v>882</v>
      </c>
      <c r="BJ47" s="312">
        <f t="shared" si="33"/>
        <v>297</v>
      </c>
      <c r="BK47" s="312">
        <f t="shared" si="33"/>
        <v>353</v>
      </c>
      <c r="BL47" s="312">
        <f t="shared" si="33"/>
        <v>311</v>
      </c>
      <c r="BM47" s="312">
        <f t="shared" si="33"/>
        <v>353</v>
      </c>
      <c r="BN47" s="312">
        <f t="shared" si="33"/>
        <v>297</v>
      </c>
      <c r="BO47" s="312">
        <f t="shared" si="33"/>
        <v>325</v>
      </c>
      <c r="BP47" s="312">
        <f t="shared" si="33"/>
        <v>367</v>
      </c>
      <c r="BQ47" s="312">
        <f t="shared" si="33"/>
        <v>254</v>
      </c>
      <c r="BR47" s="312">
        <f t="shared" si="33"/>
        <v>353</v>
      </c>
      <c r="BS47" s="312">
        <f t="shared" si="33"/>
        <v>311</v>
      </c>
      <c r="BT47" s="312">
        <f t="shared" si="33"/>
        <v>282</v>
      </c>
      <c r="BU47" s="312">
        <f t="shared" si="33"/>
        <v>325</v>
      </c>
      <c r="BV47" s="305">
        <f t="shared" si="25"/>
        <v>3828</v>
      </c>
      <c r="BX47" s="312">
        <f t="shared" si="26"/>
        <v>175</v>
      </c>
      <c r="BY47" s="312">
        <f t="shared" si="26"/>
        <v>200</v>
      </c>
      <c r="BZ47" s="312">
        <f t="shared" si="26"/>
        <v>175</v>
      </c>
      <c r="CA47" s="312">
        <f t="shared" si="26"/>
        <v>200</v>
      </c>
      <c r="CB47" s="312">
        <f t="shared" si="26"/>
        <v>175</v>
      </c>
      <c r="CC47" s="312">
        <f t="shared" si="26"/>
        <v>175</v>
      </c>
      <c r="CD47" s="312">
        <f t="shared" si="26"/>
        <v>200</v>
      </c>
      <c r="CE47" s="312">
        <f t="shared" si="26"/>
        <v>175</v>
      </c>
      <c r="CF47" s="312">
        <f t="shared" si="26"/>
        <v>200</v>
      </c>
      <c r="CG47" s="312">
        <f t="shared" si="26"/>
        <v>175</v>
      </c>
      <c r="CH47" s="312">
        <f t="shared" si="27"/>
        <v>175</v>
      </c>
      <c r="CI47" s="312">
        <f t="shared" si="28"/>
        <v>175</v>
      </c>
      <c r="CJ47" s="312">
        <f t="shared" si="29"/>
        <v>2200</v>
      </c>
      <c r="CK47" s="312"/>
    </row>
    <row r="48" spans="2:89" ht="20.100000000000001" customHeight="1">
      <c r="B48" s="319">
        <v>39</v>
      </c>
      <c r="C48" s="315" t="s">
        <v>1727</v>
      </c>
      <c r="D48" s="316" t="s">
        <v>1763</v>
      </c>
      <c r="E48" s="317">
        <v>17788</v>
      </c>
      <c r="F48" s="317">
        <v>19212</v>
      </c>
      <c r="G48" s="317">
        <v>16366</v>
      </c>
      <c r="H48" s="317">
        <v>19212</v>
      </c>
      <c r="I48" s="317">
        <v>18500</v>
      </c>
      <c r="J48" s="317">
        <v>17788</v>
      </c>
      <c r="K48" s="317">
        <v>18500</v>
      </c>
      <c r="L48" s="317">
        <v>17078</v>
      </c>
      <c r="M48" s="317">
        <v>17788</v>
      </c>
      <c r="N48" s="317">
        <v>18500</v>
      </c>
      <c r="O48" s="317">
        <v>18500</v>
      </c>
      <c r="P48" s="317">
        <v>17078</v>
      </c>
      <c r="Q48" s="318">
        <f>SUM(E48:P48)</f>
        <v>216310</v>
      </c>
      <c r="R48" s="318">
        <f t="shared" si="20"/>
        <v>18019</v>
      </c>
      <c r="T48" s="312">
        <f t="shared" si="31"/>
        <v>1800</v>
      </c>
      <c r="U48" s="312">
        <f t="shared" si="31"/>
        <v>1800</v>
      </c>
      <c r="V48" s="312">
        <f t="shared" si="31"/>
        <v>1800</v>
      </c>
      <c r="W48" s="312">
        <f t="shared" si="31"/>
        <v>1800</v>
      </c>
      <c r="X48" s="312">
        <f t="shared" si="31"/>
        <v>1800</v>
      </c>
      <c r="Y48" s="312">
        <f t="shared" si="31"/>
        <v>1800</v>
      </c>
      <c r="Z48" s="312">
        <f t="shared" si="31"/>
        <v>1800</v>
      </c>
      <c r="AA48" s="312">
        <f t="shared" si="31"/>
        <v>1800</v>
      </c>
      <c r="AB48" s="312">
        <f t="shared" si="31"/>
        <v>1800</v>
      </c>
      <c r="AC48" s="312">
        <f t="shared" si="30"/>
        <v>1800</v>
      </c>
      <c r="AD48" s="312">
        <f t="shared" si="30"/>
        <v>1800</v>
      </c>
      <c r="AE48" s="312">
        <f t="shared" si="30"/>
        <v>1800</v>
      </c>
      <c r="AF48" s="305">
        <f t="shared" si="21"/>
        <v>21600</v>
      </c>
      <c r="AH48" s="312">
        <f t="shared" si="22"/>
        <v>1950</v>
      </c>
      <c r="AI48" s="312">
        <f t="shared" si="22"/>
        <v>1950</v>
      </c>
      <c r="AJ48" s="312">
        <f t="shared" si="22"/>
        <v>1950</v>
      </c>
      <c r="AK48" s="312">
        <f t="shared" si="22"/>
        <v>1950</v>
      </c>
      <c r="AL48" s="312">
        <f t="shared" si="22"/>
        <v>1950</v>
      </c>
      <c r="AM48" s="312">
        <f t="shared" si="22"/>
        <v>1950</v>
      </c>
      <c r="AN48" s="312">
        <f t="shared" si="22"/>
        <v>1950</v>
      </c>
      <c r="AO48" s="312">
        <f t="shared" si="22"/>
        <v>1950</v>
      </c>
      <c r="AP48" s="312">
        <f t="shared" si="22"/>
        <v>1950</v>
      </c>
      <c r="AQ48" s="312">
        <f t="shared" si="22"/>
        <v>1950</v>
      </c>
      <c r="AR48" s="312">
        <f t="shared" si="22"/>
        <v>1950</v>
      </c>
      <c r="AS48" s="312">
        <f t="shared" si="22"/>
        <v>1950</v>
      </c>
      <c r="AT48" s="305">
        <f t="shared" si="23"/>
        <v>23400</v>
      </c>
      <c r="AV48" s="312">
        <f t="shared" si="32"/>
        <v>133</v>
      </c>
      <c r="AW48" s="312">
        <f t="shared" si="32"/>
        <v>144</v>
      </c>
      <c r="AX48" s="312">
        <f t="shared" si="32"/>
        <v>123</v>
      </c>
      <c r="AY48" s="312">
        <f t="shared" si="32"/>
        <v>144</v>
      </c>
      <c r="AZ48" s="312">
        <f t="shared" si="32"/>
        <v>139</v>
      </c>
      <c r="BA48" s="312">
        <f t="shared" si="32"/>
        <v>133</v>
      </c>
      <c r="BB48" s="312">
        <f t="shared" si="32"/>
        <v>139</v>
      </c>
      <c r="BC48" s="312">
        <f t="shared" si="32"/>
        <v>128</v>
      </c>
      <c r="BD48" s="312">
        <f t="shared" si="32"/>
        <v>133</v>
      </c>
      <c r="BE48" s="312">
        <f t="shared" si="32"/>
        <v>139</v>
      </c>
      <c r="BF48" s="312">
        <f t="shared" si="32"/>
        <v>139</v>
      </c>
      <c r="BG48" s="312">
        <f t="shared" si="32"/>
        <v>128</v>
      </c>
      <c r="BH48" s="305">
        <f t="shared" si="24"/>
        <v>1622</v>
      </c>
      <c r="BJ48" s="312">
        <f t="shared" si="33"/>
        <v>578</v>
      </c>
      <c r="BK48" s="312">
        <f t="shared" si="33"/>
        <v>624</v>
      </c>
      <c r="BL48" s="312">
        <f t="shared" si="33"/>
        <v>532</v>
      </c>
      <c r="BM48" s="312">
        <f t="shared" si="33"/>
        <v>624</v>
      </c>
      <c r="BN48" s="312">
        <f t="shared" si="33"/>
        <v>601</v>
      </c>
      <c r="BO48" s="312">
        <f t="shared" si="33"/>
        <v>578</v>
      </c>
      <c r="BP48" s="312">
        <f t="shared" si="33"/>
        <v>601</v>
      </c>
      <c r="BQ48" s="312">
        <f t="shared" si="33"/>
        <v>555</v>
      </c>
      <c r="BR48" s="312">
        <f t="shared" si="33"/>
        <v>578</v>
      </c>
      <c r="BS48" s="312">
        <f t="shared" si="33"/>
        <v>601</v>
      </c>
      <c r="BT48" s="312">
        <f t="shared" si="33"/>
        <v>601</v>
      </c>
      <c r="BU48" s="312">
        <f t="shared" si="33"/>
        <v>555</v>
      </c>
      <c r="BV48" s="305">
        <f t="shared" si="25"/>
        <v>7028</v>
      </c>
      <c r="BX48" s="312">
        <f t="shared" si="26"/>
        <v>200</v>
      </c>
      <c r="BY48" s="312">
        <f t="shared" si="26"/>
        <v>200</v>
      </c>
      <c r="BZ48" s="312">
        <f t="shared" si="26"/>
        <v>200</v>
      </c>
      <c r="CA48" s="312">
        <f t="shared" si="26"/>
        <v>200</v>
      </c>
      <c r="CB48" s="312">
        <f t="shared" si="26"/>
        <v>200</v>
      </c>
      <c r="CC48" s="312">
        <f t="shared" si="26"/>
        <v>200</v>
      </c>
      <c r="CD48" s="312">
        <f t="shared" si="26"/>
        <v>200</v>
      </c>
      <c r="CE48" s="312">
        <f t="shared" si="26"/>
        <v>200</v>
      </c>
      <c r="CF48" s="312">
        <f t="shared" si="26"/>
        <v>200</v>
      </c>
      <c r="CG48" s="312">
        <f t="shared" si="26"/>
        <v>200</v>
      </c>
      <c r="CH48" s="312">
        <f t="shared" si="27"/>
        <v>300</v>
      </c>
      <c r="CI48" s="312">
        <f t="shared" si="28"/>
        <v>200</v>
      </c>
      <c r="CJ48" s="312">
        <f t="shared" si="29"/>
        <v>2500</v>
      </c>
      <c r="CK48" s="312"/>
    </row>
    <row r="49" spans="2:89" ht="20.100000000000001" customHeight="1">
      <c r="B49" s="319">
        <v>40</v>
      </c>
      <c r="C49" s="315" t="s">
        <v>1727</v>
      </c>
      <c r="D49" s="316" t="s">
        <v>1764</v>
      </c>
      <c r="E49" s="317">
        <v>14231</v>
      </c>
      <c r="F49" s="317">
        <v>15369</v>
      </c>
      <c r="G49" s="317">
        <v>3985</v>
      </c>
      <c r="H49" s="317">
        <v>13661</v>
      </c>
      <c r="I49" s="317">
        <v>10815</v>
      </c>
      <c r="J49" s="317">
        <v>13661</v>
      </c>
      <c r="K49" s="317">
        <v>14800</v>
      </c>
      <c r="L49" s="317">
        <v>7969</v>
      </c>
      <c r="M49" s="317">
        <v>14800</v>
      </c>
      <c r="N49" s="317">
        <v>15369</v>
      </c>
      <c r="O49" s="317">
        <v>14800</v>
      </c>
      <c r="P49" s="317">
        <v>7969</v>
      </c>
      <c r="Q49" s="318">
        <f t="shared" si="19"/>
        <v>147429</v>
      </c>
      <c r="R49" s="318">
        <f t="shared" si="20"/>
        <v>12281</v>
      </c>
      <c r="T49" s="312">
        <f t="shared" si="31"/>
        <v>1708</v>
      </c>
      <c r="U49" s="312">
        <f t="shared" si="31"/>
        <v>1800</v>
      </c>
      <c r="V49" s="312">
        <f t="shared" si="31"/>
        <v>478</v>
      </c>
      <c r="W49" s="312">
        <f t="shared" si="31"/>
        <v>1639</v>
      </c>
      <c r="X49" s="312">
        <f t="shared" si="31"/>
        <v>1298</v>
      </c>
      <c r="Y49" s="312">
        <f t="shared" si="31"/>
        <v>1639</v>
      </c>
      <c r="Z49" s="312">
        <f t="shared" si="31"/>
        <v>1776</v>
      </c>
      <c r="AA49" s="312">
        <f t="shared" si="31"/>
        <v>956</v>
      </c>
      <c r="AB49" s="312">
        <f t="shared" si="31"/>
        <v>1776</v>
      </c>
      <c r="AC49" s="312">
        <f t="shared" si="30"/>
        <v>1800</v>
      </c>
      <c r="AD49" s="312">
        <f t="shared" si="30"/>
        <v>1776</v>
      </c>
      <c r="AE49" s="312">
        <f t="shared" si="30"/>
        <v>956</v>
      </c>
      <c r="AF49" s="305">
        <f t="shared" si="21"/>
        <v>17602</v>
      </c>
      <c r="AH49" s="312">
        <f t="shared" si="22"/>
        <v>1850</v>
      </c>
      <c r="AI49" s="312">
        <f t="shared" si="22"/>
        <v>1950</v>
      </c>
      <c r="AJ49" s="312">
        <f t="shared" si="22"/>
        <v>518</v>
      </c>
      <c r="AK49" s="312">
        <f t="shared" si="22"/>
        <v>1776</v>
      </c>
      <c r="AL49" s="312">
        <f t="shared" si="22"/>
        <v>1406</v>
      </c>
      <c r="AM49" s="312">
        <f t="shared" si="22"/>
        <v>1776</v>
      </c>
      <c r="AN49" s="312">
        <f t="shared" si="22"/>
        <v>1924</v>
      </c>
      <c r="AO49" s="312">
        <f t="shared" si="22"/>
        <v>1036</v>
      </c>
      <c r="AP49" s="312">
        <f t="shared" si="22"/>
        <v>1924</v>
      </c>
      <c r="AQ49" s="312">
        <f t="shared" si="22"/>
        <v>1950</v>
      </c>
      <c r="AR49" s="312">
        <f t="shared" si="22"/>
        <v>1924</v>
      </c>
      <c r="AS49" s="312">
        <f t="shared" si="22"/>
        <v>1036</v>
      </c>
      <c r="AT49" s="305">
        <f t="shared" si="23"/>
        <v>19070</v>
      </c>
      <c r="AV49" s="312">
        <f t="shared" si="32"/>
        <v>107</v>
      </c>
      <c r="AW49" s="312">
        <f t="shared" si="32"/>
        <v>115</v>
      </c>
      <c r="AX49" s="312">
        <f t="shared" si="32"/>
        <v>30</v>
      </c>
      <c r="AY49" s="312">
        <f t="shared" si="32"/>
        <v>102</v>
      </c>
      <c r="AZ49" s="312">
        <f t="shared" si="32"/>
        <v>81</v>
      </c>
      <c r="BA49" s="312">
        <f t="shared" si="32"/>
        <v>102</v>
      </c>
      <c r="BB49" s="312">
        <f t="shared" si="32"/>
        <v>111</v>
      </c>
      <c r="BC49" s="312">
        <f t="shared" si="32"/>
        <v>60</v>
      </c>
      <c r="BD49" s="312">
        <f t="shared" si="32"/>
        <v>111</v>
      </c>
      <c r="BE49" s="312">
        <f t="shared" si="32"/>
        <v>115</v>
      </c>
      <c r="BF49" s="312">
        <f t="shared" si="32"/>
        <v>111</v>
      </c>
      <c r="BG49" s="312">
        <f t="shared" si="32"/>
        <v>60</v>
      </c>
      <c r="BH49" s="305">
        <f t="shared" si="24"/>
        <v>1105</v>
      </c>
      <c r="BJ49" s="312">
        <f t="shared" si="33"/>
        <v>463</v>
      </c>
      <c r="BK49" s="312">
        <f t="shared" si="33"/>
        <v>499</v>
      </c>
      <c r="BL49" s="312">
        <f t="shared" si="33"/>
        <v>130</v>
      </c>
      <c r="BM49" s="312">
        <f t="shared" si="33"/>
        <v>444</v>
      </c>
      <c r="BN49" s="312">
        <f t="shared" si="33"/>
        <v>351</v>
      </c>
      <c r="BO49" s="312">
        <f t="shared" si="33"/>
        <v>444</v>
      </c>
      <c r="BP49" s="312">
        <f t="shared" si="33"/>
        <v>481</v>
      </c>
      <c r="BQ49" s="312">
        <f t="shared" si="33"/>
        <v>259</v>
      </c>
      <c r="BR49" s="312">
        <f t="shared" si="33"/>
        <v>481</v>
      </c>
      <c r="BS49" s="312">
        <f t="shared" si="33"/>
        <v>499</v>
      </c>
      <c r="BT49" s="312">
        <f t="shared" si="33"/>
        <v>481</v>
      </c>
      <c r="BU49" s="312">
        <f t="shared" si="33"/>
        <v>259</v>
      </c>
      <c r="BV49" s="305">
        <f t="shared" si="25"/>
        <v>4791</v>
      </c>
      <c r="BX49" s="312">
        <f t="shared" si="26"/>
        <v>200</v>
      </c>
      <c r="BY49" s="312">
        <f t="shared" si="26"/>
        <v>200</v>
      </c>
      <c r="BZ49" s="312">
        <f t="shared" si="26"/>
        <v>175</v>
      </c>
      <c r="CA49" s="312">
        <f t="shared" si="26"/>
        <v>200</v>
      </c>
      <c r="CB49" s="312">
        <f t="shared" si="26"/>
        <v>200</v>
      </c>
      <c r="CC49" s="312">
        <f t="shared" si="26"/>
        <v>200</v>
      </c>
      <c r="CD49" s="312">
        <f t="shared" si="26"/>
        <v>200</v>
      </c>
      <c r="CE49" s="312">
        <f t="shared" si="26"/>
        <v>175</v>
      </c>
      <c r="CF49" s="312">
        <f t="shared" si="26"/>
        <v>200</v>
      </c>
      <c r="CG49" s="312">
        <f t="shared" si="26"/>
        <v>200</v>
      </c>
      <c r="CH49" s="312">
        <f t="shared" si="27"/>
        <v>300</v>
      </c>
      <c r="CI49" s="312">
        <f t="shared" si="28"/>
        <v>175</v>
      </c>
      <c r="CJ49" s="312">
        <f t="shared" si="29"/>
        <v>2425</v>
      </c>
      <c r="CK49" s="312"/>
    </row>
    <row r="50" spans="2:89" ht="20.100000000000001" customHeight="1">
      <c r="B50" s="319">
        <v>41</v>
      </c>
      <c r="C50" s="315" t="s">
        <v>1727</v>
      </c>
      <c r="D50" s="316" t="s">
        <v>1765</v>
      </c>
      <c r="E50" s="317">
        <v>11147</v>
      </c>
      <c r="F50" s="317">
        <v>14331</v>
      </c>
      <c r="G50" s="317">
        <v>11147</v>
      </c>
      <c r="H50" s="317">
        <v>10615</v>
      </c>
      <c r="I50" s="317">
        <v>10615</v>
      </c>
      <c r="J50" s="317">
        <v>6900</v>
      </c>
      <c r="K50" s="317">
        <v>10615</v>
      </c>
      <c r="L50" s="317">
        <v>9022</v>
      </c>
      <c r="M50" s="317">
        <v>11147</v>
      </c>
      <c r="N50" s="317">
        <v>9553</v>
      </c>
      <c r="O50" s="317">
        <v>8492</v>
      </c>
      <c r="P50" s="317">
        <v>11678</v>
      </c>
      <c r="Q50" s="318">
        <f t="shared" si="19"/>
        <v>125262</v>
      </c>
      <c r="R50" s="318">
        <f t="shared" si="20"/>
        <v>10434</v>
      </c>
      <c r="T50" s="312">
        <f t="shared" si="31"/>
        <v>1338</v>
      </c>
      <c r="U50" s="312">
        <f t="shared" si="31"/>
        <v>1720</v>
      </c>
      <c r="V50" s="312">
        <f t="shared" si="31"/>
        <v>1338</v>
      </c>
      <c r="W50" s="312">
        <f t="shared" si="31"/>
        <v>1274</v>
      </c>
      <c r="X50" s="312">
        <f t="shared" si="31"/>
        <v>1274</v>
      </c>
      <c r="Y50" s="312">
        <f t="shared" si="31"/>
        <v>828</v>
      </c>
      <c r="Z50" s="312">
        <f t="shared" si="31"/>
        <v>1274</v>
      </c>
      <c r="AA50" s="312">
        <f t="shared" si="31"/>
        <v>1083</v>
      </c>
      <c r="AB50" s="312">
        <f t="shared" si="31"/>
        <v>1338</v>
      </c>
      <c r="AC50" s="312">
        <f t="shared" si="30"/>
        <v>1146</v>
      </c>
      <c r="AD50" s="312">
        <f t="shared" si="30"/>
        <v>1019</v>
      </c>
      <c r="AE50" s="312">
        <f t="shared" si="30"/>
        <v>1401</v>
      </c>
      <c r="AF50" s="305">
        <f t="shared" si="21"/>
        <v>15033</v>
      </c>
      <c r="AH50" s="312">
        <f t="shared" si="22"/>
        <v>1449</v>
      </c>
      <c r="AI50" s="312">
        <f t="shared" si="22"/>
        <v>1863</v>
      </c>
      <c r="AJ50" s="312">
        <f t="shared" si="22"/>
        <v>1449</v>
      </c>
      <c r="AK50" s="312">
        <f t="shared" si="22"/>
        <v>1380</v>
      </c>
      <c r="AL50" s="312">
        <f t="shared" si="22"/>
        <v>1380</v>
      </c>
      <c r="AM50" s="312">
        <f t="shared" si="22"/>
        <v>897</v>
      </c>
      <c r="AN50" s="312">
        <f t="shared" si="22"/>
        <v>1380</v>
      </c>
      <c r="AO50" s="312">
        <f t="shared" si="22"/>
        <v>1173</v>
      </c>
      <c r="AP50" s="312">
        <f t="shared" si="22"/>
        <v>1449</v>
      </c>
      <c r="AQ50" s="312">
        <f t="shared" si="22"/>
        <v>1242</v>
      </c>
      <c r="AR50" s="312">
        <f t="shared" si="22"/>
        <v>1104</v>
      </c>
      <c r="AS50" s="312">
        <f t="shared" si="22"/>
        <v>1518</v>
      </c>
      <c r="AT50" s="305">
        <f t="shared" si="23"/>
        <v>16284</v>
      </c>
      <c r="AV50" s="312">
        <f t="shared" si="32"/>
        <v>84</v>
      </c>
      <c r="AW50" s="312">
        <f t="shared" si="32"/>
        <v>107</v>
      </c>
      <c r="AX50" s="312">
        <f t="shared" si="32"/>
        <v>84</v>
      </c>
      <c r="AY50" s="312">
        <f t="shared" si="32"/>
        <v>80</v>
      </c>
      <c r="AZ50" s="312">
        <f t="shared" si="32"/>
        <v>80</v>
      </c>
      <c r="BA50" s="312">
        <f t="shared" si="32"/>
        <v>52</v>
      </c>
      <c r="BB50" s="312">
        <f t="shared" si="32"/>
        <v>80</v>
      </c>
      <c r="BC50" s="312">
        <f t="shared" si="32"/>
        <v>68</v>
      </c>
      <c r="BD50" s="312">
        <f t="shared" si="32"/>
        <v>84</v>
      </c>
      <c r="BE50" s="312">
        <f t="shared" si="32"/>
        <v>72</v>
      </c>
      <c r="BF50" s="312">
        <f t="shared" si="32"/>
        <v>64</v>
      </c>
      <c r="BG50" s="312">
        <f t="shared" si="32"/>
        <v>88</v>
      </c>
      <c r="BH50" s="305">
        <f t="shared" si="24"/>
        <v>943</v>
      </c>
      <c r="BJ50" s="312">
        <f t="shared" si="33"/>
        <v>362</v>
      </c>
      <c r="BK50" s="312">
        <f t="shared" si="33"/>
        <v>466</v>
      </c>
      <c r="BL50" s="312">
        <f t="shared" si="33"/>
        <v>362</v>
      </c>
      <c r="BM50" s="312">
        <f t="shared" si="33"/>
        <v>345</v>
      </c>
      <c r="BN50" s="312">
        <f t="shared" si="33"/>
        <v>345</v>
      </c>
      <c r="BO50" s="312">
        <f t="shared" si="33"/>
        <v>224</v>
      </c>
      <c r="BP50" s="312">
        <f t="shared" si="33"/>
        <v>345</v>
      </c>
      <c r="BQ50" s="312">
        <f t="shared" si="33"/>
        <v>293</v>
      </c>
      <c r="BR50" s="312">
        <f t="shared" si="33"/>
        <v>362</v>
      </c>
      <c r="BS50" s="312">
        <f t="shared" si="33"/>
        <v>310</v>
      </c>
      <c r="BT50" s="312">
        <f t="shared" si="33"/>
        <v>276</v>
      </c>
      <c r="BU50" s="312">
        <f t="shared" si="33"/>
        <v>380</v>
      </c>
      <c r="BV50" s="305">
        <f t="shared" si="25"/>
        <v>4070</v>
      </c>
      <c r="BX50" s="312">
        <f t="shared" si="26"/>
        <v>200</v>
      </c>
      <c r="BY50" s="312">
        <f t="shared" si="26"/>
        <v>200</v>
      </c>
      <c r="BZ50" s="312">
        <f t="shared" si="26"/>
        <v>200</v>
      </c>
      <c r="CA50" s="312">
        <f t="shared" si="26"/>
        <v>200</v>
      </c>
      <c r="CB50" s="312">
        <f t="shared" si="26"/>
        <v>200</v>
      </c>
      <c r="CC50" s="312">
        <f t="shared" si="26"/>
        <v>175</v>
      </c>
      <c r="CD50" s="312">
        <f t="shared" si="26"/>
        <v>200</v>
      </c>
      <c r="CE50" s="312">
        <f t="shared" si="26"/>
        <v>175</v>
      </c>
      <c r="CF50" s="312">
        <f t="shared" si="26"/>
        <v>200</v>
      </c>
      <c r="CG50" s="312">
        <f t="shared" si="26"/>
        <v>175</v>
      </c>
      <c r="CH50" s="312">
        <f t="shared" si="27"/>
        <v>175</v>
      </c>
      <c r="CI50" s="312">
        <f t="shared" si="28"/>
        <v>200</v>
      </c>
      <c r="CJ50" s="312">
        <f t="shared" si="29"/>
        <v>2300</v>
      </c>
      <c r="CK50" s="312"/>
    </row>
    <row r="51" spans="2:89" ht="20.100000000000001" customHeight="1">
      <c r="B51" s="319">
        <v>42</v>
      </c>
      <c r="C51" s="315" t="s">
        <v>1727</v>
      </c>
      <c r="D51" s="316" t="s">
        <v>1766</v>
      </c>
      <c r="E51" s="317">
        <v>10378</v>
      </c>
      <c r="F51" s="317">
        <v>14747</v>
      </c>
      <c r="G51" s="317">
        <v>14200</v>
      </c>
      <c r="H51" s="317">
        <v>13653</v>
      </c>
      <c r="I51" s="317">
        <v>8192</v>
      </c>
      <c r="J51" s="317">
        <v>13108</v>
      </c>
      <c r="K51" s="317">
        <v>12561</v>
      </c>
      <c r="L51" s="317">
        <v>11469</v>
      </c>
      <c r="M51" s="317">
        <v>13653</v>
      </c>
      <c r="N51" s="317">
        <v>14200</v>
      </c>
      <c r="O51" s="317">
        <v>14200</v>
      </c>
      <c r="P51" s="317">
        <v>12561</v>
      </c>
      <c r="Q51" s="318">
        <f t="shared" si="19"/>
        <v>152922</v>
      </c>
      <c r="R51" s="318">
        <f t="shared" si="20"/>
        <v>12738</v>
      </c>
      <c r="T51" s="312">
        <f t="shared" si="31"/>
        <v>1245</v>
      </c>
      <c r="U51" s="312">
        <f t="shared" si="31"/>
        <v>1770</v>
      </c>
      <c r="V51" s="312">
        <f t="shared" si="31"/>
        <v>1704</v>
      </c>
      <c r="W51" s="312">
        <f t="shared" si="31"/>
        <v>1638</v>
      </c>
      <c r="X51" s="312">
        <f t="shared" si="31"/>
        <v>983</v>
      </c>
      <c r="Y51" s="312">
        <f t="shared" si="31"/>
        <v>1573</v>
      </c>
      <c r="Z51" s="312">
        <f t="shared" si="31"/>
        <v>1507</v>
      </c>
      <c r="AA51" s="312">
        <f t="shared" si="31"/>
        <v>1376</v>
      </c>
      <c r="AB51" s="312">
        <f t="shared" si="31"/>
        <v>1638</v>
      </c>
      <c r="AC51" s="312">
        <f t="shared" si="30"/>
        <v>1704</v>
      </c>
      <c r="AD51" s="312">
        <f t="shared" si="30"/>
        <v>1704</v>
      </c>
      <c r="AE51" s="312">
        <f t="shared" si="30"/>
        <v>1507</v>
      </c>
      <c r="AF51" s="300">
        <f t="shared" si="21"/>
        <v>18349</v>
      </c>
      <c r="AH51" s="312">
        <f t="shared" si="22"/>
        <v>1349</v>
      </c>
      <c r="AI51" s="312">
        <f t="shared" si="22"/>
        <v>1917</v>
      </c>
      <c r="AJ51" s="312">
        <f t="shared" si="22"/>
        <v>1846</v>
      </c>
      <c r="AK51" s="312">
        <f t="shared" si="22"/>
        <v>1775</v>
      </c>
      <c r="AL51" s="312">
        <f t="shared" si="22"/>
        <v>1065</v>
      </c>
      <c r="AM51" s="312">
        <f t="shared" si="22"/>
        <v>1704</v>
      </c>
      <c r="AN51" s="312">
        <f t="shared" si="22"/>
        <v>1633</v>
      </c>
      <c r="AO51" s="312">
        <f t="shared" si="22"/>
        <v>1491</v>
      </c>
      <c r="AP51" s="312">
        <f t="shared" si="22"/>
        <v>1775</v>
      </c>
      <c r="AQ51" s="312">
        <f t="shared" si="22"/>
        <v>1846</v>
      </c>
      <c r="AR51" s="312">
        <f t="shared" si="22"/>
        <v>1846</v>
      </c>
      <c r="AS51" s="312">
        <f t="shared" si="22"/>
        <v>1633</v>
      </c>
      <c r="AT51" s="305">
        <f t="shared" si="23"/>
        <v>19880</v>
      </c>
      <c r="AV51" s="312">
        <f t="shared" si="32"/>
        <v>78</v>
      </c>
      <c r="AW51" s="312">
        <f t="shared" si="32"/>
        <v>111</v>
      </c>
      <c r="AX51" s="312">
        <f t="shared" si="32"/>
        <v>107</v>
      </c>
      <c r="AY51" s="312">
        <f t="shared" si="32"/>
        <v>102</v>
      </c>
      <c r="AZ51" s="312">
        <f t="shared" si="32"/>
        <v>61</v>
      </c>
      <c r="BA51" s="312">
        <f t="shared" si="32"/>
        <v>98</v>
      </c>
      <c r="BB51" s="312">
        <f t="shared" si="32"/>
        <v>94</v>
      </c>
      <c r="BC51" s="312">
        <f t="shared" si="32"/>
        <v>86</v>
      </c>
      <c r="BD51" s="312">
        <f t="shared" si="32"/>
        <v>102</v>
      </c>
      <c r="BE51" s="312">
        <f t="shared" si="32"/>
        <v>107</v>
      </c>
      <c r="BF51" s="312">
        <f t="shared" si="32"/>
        <v>107</v>
      </c>
      <c r="BG51" s="312">
        <f t="shared" si="32"/>
        <v>94</v>
      </c>
      <c r="BH51" s="305">
        <f t="shared" si="24"/>
        <v>1147</v>
      </c>
      <c r="BJ51" s="312">
        <f t="shared" si="33"/>
        <v>337</v>
      </c>
      <c r="BK51" s="312">
        <f t="shared" si="33"/>
        <v>479</v>
      </c>
      <c r="BL51" s="312">
        <f t="shared" si="33"/>
        <v>462</v>
      </c>
      <c r="BM51" s="312">
        <f t="shared" si="33"/>
        <v>444</v>
      </c>
      <c r="BN51" s="312">
        <f t="shared" si="33"/>
        <v>266</v>
      </c>
      <c r="BO51" s="312">
        <f t="shared" si="33"/>
        <v>426</v>
      </c>
      <c r="BP51" s="312">
        <f t="shared" si="33"/>
        <v>408</v>
      </c>
      <c r="BQ51" s="312">
        <f t="shared" si="33"/>
        <v>373</v>
      </c>
      <c r="BR51" s="312">
        <f t="shared" si="33"/>
        <v>444</v>
      </c>
      <c r="BS51" s="312">
        <f t="shared" si="33"/>
        <v>462</v>
      </c>
      <c r="BT51" s="312">
        <f t="shared" si="33"/>
        <v>462</v>
      </c>
      <c r="BU51" s="312">
        <f t="shared" si="33"/>
        <v>408</v>
      </c>
      <c r="BV51" s="305">
        <f t="shared" si="25"/>
        <v>4971</v>
      </c>
      <c r="BX51" s="312">
        <f t="shared" si="26"/>
        <v>200</v>
      </c>
      <c r="BY51" s="312">
        <f t="shared" si="26"/>
        <v>200</v>
      </c>
      <c r="BZ51" s="312">
        <f t="shared" si="26"/>
        <v>200</v>
      </c>
      <c r="CA51" s="312">
        <f t="shared" si="26"/>
        <v>200</v>
      </c>
      <c r="CB51" s="312">
        <f t="shared" si="26"/>
        <v>175</v>
      </c>
      <c r="CC51" s="312">
        <f t="shared" si="26"/>
        <v>200</v>
      </c>
      <c r="CD51" s="312">
        <f t="shared" si="26"/>
        <v>200</v>
      </c>
      <c r="CE51" s="312">
        <f t="shared" si="26"/>
        <v>200</v>
      </c>
      <c r="CF51" s="312">
        <f t="shared" si="26"/>
        <v>200</v>
      </c>
      <c r="CG51" s="312">
        <f t="shared" si="26"/>
        <v>200</v>
      </c>
      <c r="CH51" s="312">
        <f t="shared" si="27"/>
        <v>300</v>
      </c>
      <c r="CI51" s="312">
        <f t="shared" si="28"/>
        <v>200</v>
      </c>
      <c r="CJ51" s="312">
        <f t="shared" si="29"/>
        <v>2475</v>
      </c>
      <c r="CK51" s="312"/>
    </row>
    <row r="52" spans="2:89" ht="20.100000000000001" customHeight="1">
      <c r="B52" s="319">
        <v>43</v>
      </c>
      <c r="C52" s="315" t="s">
        <v>1727</v>
      </c>
      <c r="D52" s="316" t="s">
        <v>1767</v>
      </c>
      <c r="E52" s="317">
        <v>9615</v>
      </c>
      <c r="F52" s="317">
        <v>10000</v>
      </c>
      <c r="G52" s="317">
        <v>8078</v>
      </c>
      <c r="H52" s="317">
        <v>8078</v>
      </c>
      <c r="I52" s="317">
        <v>8461</v>
      </c>
      <c r="J52" s="317">
        <v>7692</v>
      </c>
      <c r="K52" s="317">
        <v>6153</v>
      </c>
      <c r="L52" s="317">
        <v>7692</v>
      </c>
      <c r="M52" s="317">
        <v>6153</v>
      </c>
      <c r="N52" s="317">
        <v>6539</v>
      </c>
      <c r="O52" s="317">
        <v>7308</v>
      </c>
      <c r="P52" s="317">
        <v>6539</v>
      </c>
      <c r="Q52" s="318">
        <f t="shared" si="19"/>
        <v>92308</v>
      </c>
      <c r="R52" s="318">
        <f t="shared" si="20"/>
        <v>7689</v>
      </c>
      <c r="T52" s="312">
        <f t="shared" si="31"/>
        <v>1154</v>
      </c>
      <c r="U52" s="312">
        <f t="shared" si="31"/>
        <v>1200</v>
      </c>
      <c r="V52" s="312">
        <f t="shared" si="31"/>
        <v>969</v>
      </c>
      <c r="W52" s="312">
        <f t="shared" si="31"/>
        <v>969</v>
      </c>
      <c r="X52" s="312">
        <f t="shared" si="31"/>
        <v>1015</v>
      </c>
      <c r="Y52" s="312">
        <f t="shared" si="31"/>
        <v>923</v>
      </c>
      <c r="Z52" s="312">
        <f t="shared" si="31"/>
        <v>738</v>
      </c>
      <c r="AA52" s="312">
        <f t="shared" si="31"/>
        <v>923</v>
      </c>
      <c r="AB52" s="312">
        <f t="shared" si="31"/>
        <v>738</v>
      </c>
      <c r="AC52" s="312">
        <f t="shared" si="30"/>
        <v>785</v>
      </c>
      <c r="AD52" s="312">
        <f t="shared" si="30"/>
        <v>877</v>
      </c>
      <c r="AE52" s="312">
        <f t="shared" si="30"/>
        <v>785</v>
      </c>
      <c r="AF52" s="300">
        <f>+SUM(T52:AE52)</f>
        <v>11076</v>
      </c>
      <c r="AH52" s="312">
        <f t="shared" si="22"/>
        <v>1250</v>
      </c>
      <c r="AI52" s="312">
        <f t="shared" si="22"/>
        <v>1300</v>
      </c>
      <c r="AJ52" s="312">
        <f t="shared" si="22"/>
        <v>1050</v>
      </c>
      <c r="AK52" s="312">
        <f t="shared" si="22"/>
        <v>1050</v>
      </c>
      <c r="AL52" s="312">
        <f t="shared" si="22"/>
        <v>1100</v>
      </c>
      <c r="AM52" s="312">
        <f t="shared" si="22"/>
        <v>1000</v>
      </c>
      <c r="AN52" s="312">
        <f t="shared" si="22"/>
        <v>800</v>
      </c>
      <c r="AO52" s="312">
        <f t="shared" si="22"/>
        <v>1000</v>
      </c>
      <c r="AP52" s="312">
        <f t="shared" si="22"/>
        <v>800</v>
      </c>
      <c r="AQ52" s="312">
        <f t="shared" si="22"/>
        <v>850</v>
      </c>
      <c r="AR52" s="312">
        <f t="shared" si="22"/>
        <v>950</v>
      </c>
      <c r="AS52" s="312">
        <f t="shared" si="22"/>
        <v>850</v>
      </c>
      <c r="AT52" s="305">
        <f t="shared" si="23"/>
        <v>12000</v>
      </c>
      <c r="AV52" s="312">
        <f t="shared" si="32"/>
        <v>72</v>
      </c>
      <c r="AW52" s="312">
        <f t="shared" si="32"/>
        <v>75</v>
      </c>
      <c r="AX52" s="312">
        <f t="shared" si="32"/>
        <v>61</v>
      </c>
      <c r="AY52" s="312">
        <f t="shared" si="32"/>
        <v>61</v>
      </c>
      <c r="AZ52" s="312">
        <f t="shared" si="32"/>
        <v>63</v>
      </c>
      <c r="BA52" s="312">
        <f t="shared" si="32"/>
        <v>58</v>
      </c>
      <c r="BB52" s="312">
        <f t="shared" si="32"/>
        <v>46</v>
      </c>
      <c r="BC52" s="312">
        <f t="shared" si="32"/>
        <v>58</v>
      </c>
      <c r="BD52" s="312">
        <f t="shared" si="32"/>
        <v>46</v>
      </c>
      <c r="BE52" s="312">
        <f t="shared" si="32"/>
        <v>49</v>
      </c>
      <c r="BF52" s="312">
        <f t="shared" si="32"/>
        <v>55</v>
      </c>
      <c r="BG52" s="312">
        <f t="shared" si="32"/>
        <v>49</v>
      </c>
      <c r="BH52" s="305">
        <f t="shared" si="24"/>
        <v>693</v>
      </c>
      <c r="BJ52" s="312">
        <f t="shared" si="33"/>
        <v>312</v>
      </c>
      <c r="BK52" s="312">
        <f t="shared" si="33"/>
        <v>325</v>
      </c>
      <c r="BL52" s="312">
        <f t="shared" si="33"/>
        <v>263</v>
      </c>
      <c r="BM52" s="312">
        <f t="shared" si="33"/>
        <v>263</v>
      </c>
      <c r="BN52" s="312">
        <f t="shared" si="33"/>
        <v>275</v>
      </c>
      <c r="BO52" s="312">
        <f t="shared" si="33"/>
        <v>250</v>
      </c>
      <c r="BP52" s="312">
        <f t="shared" si="33"/>
        <v>200</v>
      </c>
      <c r="BQ52" s="312">
        <f t="shared" si="33"/>
        <v>250</v>
      </c>
      <c r="BR52" s="312">
        <f t="shared" si="33"/>
        <v>200</v>
      </c>
      <c r="BS52" s="312">
        <f t="shared" si="33"/>
        <v>213</v>
      </c>
      <c r="BT52" s="312">
        <f t="shared" si="33"/>
        <v>238</v>
      </c>
      <c r="BU52" s="312">
        <f t="shared" si="33"/>
        <v>213</v>
      </c>
      <c r="BV52" s="305">
        <f t="shared" si="25"/>
        <v>3002</v>
      </c>
      <c r="BX52" s="312">
        <f t="shared" si="26"/>
        <v>175</v>
      </c>
      <c r="BY52" s="312">
        <f t="shared" si="26"/>
        <v>175</v>
      </c>
      <c r="BZ52" s="312">
        <f t="shared" si="26"/>
        <v>175</v>
      </c>
      <c r="CA52" s="312">
        <f t="shared" si="26"/>
        <v>175</v>
      </c>
      <c r="CB52" s="312">
        <f t="shared" si="26"/>
        <v>175</v>
      </c>
      <c r="CC52" s="312">
        <f t="shared" si="26"/>
        <v>175</v>
      </c>
      <c r="CD52" s="312">
        <f t="shared" si="26"/>
        <v>175</v>
      </c>
      <c r="CE52" s="312">
        <f t="shared" si="26"/>
        <v>175</v>
      </c>
      <c r="CF52" s="312">
        <f t="shared" si="26"/>
        <v>175</v>
      </c>
      <c r="CG52" s="312">
        <f t="shared" si="26"/>
        <v>175</v>
      </c>
      <c r="CH52" s="312">
        <f t="shared" si="27"/>
        <v>175</v>
      </c>
      <c r="CI52" s="312">
        <f t="shared" si="28"/>
        <v>175</v>
      </c>
      <c r="CJ52" s="312">
        <f t="shared" si="29"/>
        <v>2100</v>
      </c>
      <c r="CK52" s="312"/>
    </row>
    <row r="53" spans="2:89" ht="20.100000000000001" customHeight="1">
      <c r="B53" s="319">
        <v>44</v>
      </c>
      <c r="C53" s="315" t="s">
        <v>1727</v>
      </c>
      <c r="D53" s="316" t="s">
        <v>1768</v>
      </c>
      <c r="E53" s="317">
        <v>11078</v>
      </c>
      <c r="F53" s="317">
        <v>11078</v>
      </c>
      <c r="G53" s="317">
        <v>12000</v>
      </c>
      <c r="H53" s="317">
        <v>11539</v>
      </c>
      <c r="I53" s="317">
        <v>11539</v>
      </c>
      <c r="J53" s="317">
        <v>10615</v>
      </c>
      <c r="K53" s="317">
        <v>9231</v>
      </c>
      <c r="L53" s="317">
        <v>2769</v>
      </c>
      <c r="M53" s="317">
        <v>0</v>
      </c>
      <c r="N53" s="317">
        <v>0</v>
      </c>
      <c r="O53" s="317">
        <v>0</v>
      </c>
      <c r="P53" s="317">
        <v>0</v>
      </c>
      <c r="Q53" s="318">
        <f t="shared" si="19"/>
        <v>79849</v>
      </c>
      <c r="R53" s="318">
        <f t="shared" si="20"/>
        <v>6651</v>
      </c>
      <c r="T53" s="312">
        <f t="shared" si="31"/>
        <v>1329</v>
      </c>
      <c r="U53" s="312">
        <f t="shared" si="31"/>
        <v>1329</v>
      </c>
      <c r="V53" s="312">
        <f t="shared" si="31"/>
        <v>1440</v>
      </c>
      <c r="W53" s="312">
        <f t="shared" si="31"/>
        <v>1385</v>
      </c>
      <c r="X53" s="312">
        <f t="shared" si="31"/>
        <v>1385</v>
      </c>
      <c r="Y53" s="312">
        <f t="shared" si="31"/>
        <v>1274</v>
      </c>
      <c r="Z53" s="312">
        <f t="shared" si="31"/>
        <v>1108</v>
      </c>
      <c r="AA53" s="312">
        <f t="shared" si="31"/>
        <v>332</v>
      </c>
      <c r="AB53" s="312">
        <f t="shared" si="31"/>
        <v>0</v>
      </c>
      <c r="AC53" s="312">
        <f t="shared" si="30"/>
        <v>0</v>
      </c>
      <c r="AD53" s="312">
        <f t="shared" si="30"/>
        <v>0</v>
      </c>
      <c r="AE53" s="312">
        <f t="shared" si="30"/>
        <v>0</v>
      </c>
      <c r="AF53" s="300">
        <f>+SUM(T53:AE53)</f>
        <v>9582</v>
      </c>
      <c r="AH53" s="312">
        <f t="shared" si="22"/>
        <v>1440</v>
      </c>
      <c r="AI53" s="312">
        <f t="shared" si="22"/>
        <v>1440</v>
      </c>
      <c r="AJ53" s="312">
        <f t="shared" si="22"/>
        <v>1560</v>
      </c>
      <c r="AK53" s="312">
        <f t="shared" si="22"/>
        <v>1500</v>
      </c>
      <c r="AL53" s="312">
        <f t="shared" si="22"/>
        <v>1500</v>
      </c>
      <c r="AM53" s="312">
        <f t="shared" si="22"/>
        <v>1380</v>
      </c>
      <c r="AN53" s="312">
        <f t="shared" si="22"/>
        <v>1200</v>
      </c>
      <c r="AO53" s="312">
        <f t="shared" si="22"/>
        <v>360</v>
      </c>
      <c r="AP53" s="312">
        <f t="shared" si="22"/>
        <v>0</v>
      </c>
      <c r="AQ53" s="312">
        <f t="shared" si="22"/>
        <v>0</v>
      </c>
      <c r="AR53" s="312">
        <f t="shared" si="22"/>
        <v>0</v>
      </c>
      <c r="AS53" s="312">
        <f t="shared" si="22"/>
        <v>0</v>
      </c>
      <c r="AT53" s="305">
        <f t="shared" si="23"/>
        <v>10380</v>
      </c>
      <c r="AV53" s="312">
        <f t="shared" si="32"/>
        <v>83</v>
      </c>
      <c r="AW53" s="312">
        <f t="shared" si="32"/>
        <v>83</v>
      </c>
      <c r="AX53" s="312">
        <f t="shared" si="32"/>
        <v>90</v>
      </c>
      <c r="AY53" s="312">
        <f t="shared" si="32"/>
        <v>87</v>
      </c>
      <c r="AZ53" s="312">
        <f t="shared" si="32"/>
        <v>87</v>
      </c>
      <c r="BA53" s="312">
        <f t="shared" si="32"/>
        <v>80</v>
      </c>
      <c r="BB53" s="312">
        <f t="shared" si="32"/>
        <v>69</v>
      </c>
      <c r="BC53" s="312">
        <f t="shared" si="32"/>
        <v>21</v>
      </c>
      <c r="BD53" s="312">
        <f t="shared" si="32"/>
        <v>0</v>
      </c>
      <c r="BE53" s="312">
        <f t="shared" si="32"/>
        <v>0</v>
      </c>
      <c r="BF53" s="312">
        <f t="shared" si="32"/>
        <v>0</v>
      </c>
      <c r="BG53" s="312">
        <f t="shared" si="32"/>
        <v>0</v>
      </c>
      <c r="BH53" s="305">
        <f t="shared" si="24"/>
        <v>600</v>
      </c>
      <c r="BJ53" s="312">
        <f t="shared" si="33"/>
        <v>360</v>
      </c>
      <c r="BK53" s="312">
        <f t="shared" si="33"/>
        <v>360</v>
      </c>
      <c r="BL53" s="312">
        <f t="shared" si="33"/>
        <v>390</v>
      </c>
      <c r="BM53" s="312">
        <f t="shared" si="33"/>
        <v>375</v>
      </c>
      <c r="BN53" s="312">
        <f t="shared" si="33"/>
        <v>375</v>
      </c>
      <c r="BO53" s="312">
        <f t="shared" si="33"/>
        <v>345</v>
      </c>
      <c r="BP53" s="312">
        <f t="shared" si="33"/>
        <v>300</v>
      </c>
      <c r="BQ53" s="312">
        <f t="shared" si="33"/>
        <v>90</v>
      </c>
      <c r="BR53" s="312">
        <f t="shared" si="33"/>
        <v>0</v>
      </c>
      <c r="BS53" s="312">
        <f t="shared" si="33"/>
        <v>0</v>
      </c>
      <c r="BT53" s="312">
        <f t="shared" si="33"/>
        <v>0</v>
      </c>
      <c r="BU53" s="312">
        <f t="shared" si="33"/>
        <v>0</v>
      </c>
      <c r="BV53" s="305">
        <f t="shared" si="25"/>
        <v>2595</v>
      </c>
      <c r="BX53" s="312">
        <f t="shared" si="26"/>
        <v>200</v>
      </c>
      <c r="BY53" s="312">
        <f t="shared" si="26"/>
        <v>200</v>
      </c>
      <c r="BZ53" s="312">
        <f t="shared" si="26"/>
        <v>200</v>
      </c>
      <c r="CA53" s="312">
        <f t="shared" si="26"/>
        <v>200</v>
      </c>
      <c r="CB53" s="312">
        <f t="shared" si="26"/>
        <v>200</v>
      </c>
      <c r="CC53" s="312">
        <f t="shared" si="26"/>
        <v>200</v>
      </c>
      <c r="CD53" s="312">
        <f t="shared" si="26"/>
        <v>175</v>
      </c>
      <c r="CE53" s="312">
        <f t="shared" si="26"/>
        <v>175</v>
      </c>
      <c r="CF53" s="312">
        <f t="shared" si="26"/>
        <v>0</v>
      </c>
      <c r="CG53" s="312">
        <f t="shared" si="26"/>
        <v>0</v>
      </c>
      <c r="CH53" s="312">
        <f t="shared" si="27"/>
        <v>0</v>
      </c>
      <c r="CI53" s="312">
        <f t="shared" si="28"/>
        <v>0</v>
      </c>
      <c r="CJ53" s="312">
        <f t="shared" si="29"/>
        <v>1550</v>
      </c>
      <c r="CK53" s="312"/>
    </row>
    <row r="54" spans="2:89" ht="20.100000000000001" customHeight="1">
      <c r="B54" s="319">
        <v>45</v>
      </c>
      <c r="C54" s="315" t="s">
        <v>1727</v>
      </c>
      <c r="D54" s="316" t="s">
        <v>1769</v>
      </c>
      <c r="E54" s="317">
        <v>0</v>
      </c>
      <c r="F54" s="317">
        <v>0</v>
      </c>
      <c r="G54" s="317">
        <v>0</v>
      </c>
      <c r="H54" s="317">
        <v>0</v>
      </c>
      <c r="I54" s="317">
        <v>9808</v>
      </c>
      <c r="J54" s="317">
        <v>10961</v>
      </c>
      <c r="K54" s="317">
        <v>13847</v>
      </c>
      <c r="L54" s="317">
        <v>3461</v>
      </c>
      <c r="M54" s="317">
        <v>0</v>
      </c>
      <c r="N54" s="317">
        <v>0</v>
      </c>
      <c r="O54" s="317">
        <v>0</v>
      </c>
      <c r="P54" s="317">
        <v>0</v>
      </c>
      <c r="Q54" s="318">
        <f>SUM(E54:P54)</f>
        <v>38077</v>
      </c>
      <c r="R54" s="318">
        <f t="shared" si="20"/>
        <v>3172</v>
      </c>
      <c r="T54" s="312">
        <f t="shared" si="31"/>
        <v>0</v>
      </c>
      <c r="U54" s="312">
        <f t="shared" si="31"/>
        <v>0</v>
      </c>
      <c r="V54" s="312">
        <f t="shared" si="31"/>
        <v>0</v>
      </c>
      <c r="W54" s="312">
        <f t="shared" si="31"/>
        <v>0</v>
      </c>
      <c r="X54" s="312">
        <f t="shared" si="31"/>
        <v>1177</v>
      </c>
      <c r="Y54" s="312">
        <f t="shared" si="31"/>
        <v>1315</v>
      </c>
      <c r="Z54" s="312">
        <f t="shared" si="31"/>
        <v>1662</v>
      </c>
      <c r="AA54" s="312">
        <f t="shared" si="31"/>
        <v>415</v>
      </c>
      <c r="AB54" s="312">
        <f t="shared" si="31"/>
        <v>0</v>
      </c>
      <c r="AC54" s="312">
        <f t="shared" si="30"/>
        <v>0</v>
      </c>
      <c r="AD54" s="312">
        <f t="shared" si="30"/>
        <v>0</v>
      </c>
      <c r="AE54" s="312">
        <f t="shared" si="30"/>
        <v>0</v>
      </c>
      <c r="AF54" s="300">
        <f>+SUM(T54:AE54)</f>
        <v>4569</v>
      </c>
      <c r="AH54" s="312">
        <f t="shared" si="22"/>
        <v>0</v>
      </c>
      <c r="AI54" s="312">
        <f t="shared" si="22"/>
        <v>0</v>
      </c>
      <c r="AJ54" s="312">
        <f t="shared" si="22"/>
        <v>0</v>
      </c>
      <c r="AK54" s="312">
        <f t="shared" si="22"/>
        <v>0</v>
      </c>
      <c r="AL54" s="312">
        <f t="shared" si="22"/>
        <v>1275</v>
      </c>
      <c r="AM54" s="312">
        <f t="shared" si="22"/>
        <v>1425</v>
      </c>
      <c r="AN54" s="312">
        <f t="shared" si="22"/>
        <v>1800</v>
      </c>
      <c r="AO54" s="312">
        <f t="shared" si="22"/>
        <v>450</v>
      </c>
      <c r="AP54" s="312">
        <f t="shared" si="22"/>
        <v>0</v>
      </c>
      <c r="AQ54" s="312">
        <f t="shared" si="22"/>
        <v>0</v>
      </c>
      <c r="AR54" s="312">
        <f t="shared" si="22"/>
        <v>0</v>
      </c>
      <c r="AS54" s="312">
        <f t="shared" si="22"/>
        <v>0</v>
      </c>
      <c r="AT54" s="305">
        <f t="shared" si="23"/>
        <v>4950</v>
      </c>
      <c r="AV54" s="312">
        <f t="shared" si="32"/>
        <v>0</v>
      </c>
      <c r="AW54" s="312">
        <f t="shared" si="32"/>
        <v>0</v>
      </c>
      <c r="AX54" s="312">
        <f t="shared" si="32"/>
        <v>0</v>
      </c>
      <c r="AY54" s="312">
        <f t="shared" si="32"/>
        <v>0</v>
      </c>
      <c r="AZ54" s="312">
        <f t="shared" si="32"/>
        <v>74</v>
      </c>
      <c r="BA54" s="312">
        <f t="shared" si="32"/>
        <v>82</v>
      </c>
      <c r="BB54" s="312">
        <f t="shared" si="32"/>
        <v>104</v>
      </c>
      <c r="BC54" s="312">
        <f t="shared" si="32"/>
        <v>26</v>
      </c>
      <c r="BD54" s="312">
        <f t="shared" si="32"/>
        <v>0</v>
      </c>
      <c r="BE54" s="312">
        <f t="shared" si="32"/>
        <v>0</v>
      </c>
      <c r="BF54" s="312">
        <f t="shared" si="32"/>
        <v>0</v>
      </c>
      <c r="BG54" s="312">
        <f t="shared" si="32"/>
        <v>0</v>
      </c>
      <c r="BH54" s="305">
        <f t="shared" si="24"/>
        <v>286</v>
      </c>
      <c r="BJ54" s="312">
        <f t="shared" si="33"/>
        <v>0</v>
      </c>
      <c r="BK54" s="312">
        <f t="shared" si="33"/>
        <v>0</v>
      </c>
      <c r="BL54" s="312">
        <f t="shared" si="33"/>
        <v>0</v>
      </c>
      <c r="BM54" s="312">
        <f t="shared" si="33"/>
        <v>0</v>
      </c>
      <c r="BN54" s="312">
        <f t="shared" si="33"/>
        <v>319</v>
      </c>
      <c r="BO54" s="312">
        <f t="shared" si="33"/>
        <v>356</v>
      </c>
      <c r="BP54" s="312">
        <f t="shared" si="33"/>
        <v>450</v>
      </c>
      <c r="BQ54" s="312">
        <f t="shared" si="33"/>
        <v>112</v>
      </c>
      <c r="BR54" s="312">
        <f t="shared" si="33"/>
        <v>0</v>
      </c>
      <c r="BS54" s="312">
        <f t="shared" si="33"/>
        <v>0</v>
      </c>
      <c r="BT54" s="312">
        <f t="shared" si="33"/>
        <v>0</v>
      </c>
      <c r="BU54" s="312">
        <f t="shared" si="33"/>
        <v>0</v>
      </c>
      <c r="BV54" s="305">
        <f t="shared" si="25"/>
        <v>1237</v>
      </c>
      <c r="BX54" s="312">
        <f t="shared" si="26"/>
        <v>0</v>
      </c>
      <c r="BY54" s="312">
        <f t="shared" si="26"/>
        <v>0</v>
      </c>
      <c r="BZ54" s="312">
        <f t="shared" si="26"/>
        <v>0</v>
      </c>
      <c r="CA54" s="312">
        <f t="shared" si="26"/>
        <v>0</v>
      </c>
      <c r="CB54" s="312">
        <f t="shared" si="26"/>
        <v>175</v>
      </c>
      <c r="CC54" s="312">
        <f t="shared" si="26"/>
        <v>200</v>
      </c>
      <c r="CD54" s="312">
        <f t="shared" si="26"/>
        <v>200</v>
      </c>
      <c r="CE54" s="312">
        <f t="shared" si="26"/>
        <v>175</v>
      </c>
      <c r="CF54" s="312">
        <f t="shared" si="26"/>
        <v>0</v>
      </c>
      <c r="CG54" s="312">
        <f t="shared" si="26"/>
        <v>0</v>
      </c>
      <c r="CH54" s="312">
        <f t="shared" si="27"/>
        <v>0</v>
      </c>
      <c r="CI54" s="312">
        <f t="shared" si="28"/>
        <v>0</v>
      </c>
      <c r="CJ54" s="312">
        <f t="shared" si="29"/>
        <v>750</v>
      </c>
      <c r="CK54" s="312"/>
    </row>
    <row r="55" spans="2:89" ht="18" customHeight="1">
      <c r="B55" s="314" t="s">
        <v>1126</v>
      </c>
      <c r="C55" s="315" t="s">
        <v>1126</v>
      </c>
      <c r="D55" s="316" t="s">
        <v>1126</v>
      </c>
      <c r="E55" s="327">
        <f t="shared" ref="E55:R55" si="34">SUM(E7:E54)</f>
        <v>625696</v>
      </c>
      <c r="F55" s="327">
        <f t="shared" si="34"/>
        <v>657623</v>
      </c>
      <c r="G55" s="327">
        <f t="shared" si="34"/>
        <v>621198</v>
      </c>
      <c r="H55" s="327">
        <f t="shared" si="34"/>
        <v>650410</v>
      </c>
      <c r="I55" s="327">
        <f t="shared" si="34"/>
        <v>620755</v>
      </c>
      <c r="J55" s="327">
        <f t="shared" si="34"/>
        <v>605813</v>
      </c>
      <c r="K55" s="327">
        <f t="shared" si="34"/>
        <v>674018</v>
      </c>
      <c r="L55" s="327">
        <f t="shared" si="34"/>
        <v>545898</v>
      </c>
      <c r="M55" s="327">
        <f t="shared" si="34"/>
        <v>612716</v>
      </c>
      <c r="N55" s="327">
        <f t="shared" si="34"/>
        <v>605121</v>
      </c>
      <c r="O55" s="327">
        <f t="shared" si="34"/>
        <v>582924</v>
      </c>
      <c r="P55" s="327">
        <f t="shared" si="34"/>
        <v>574124</v>
      </c>
      <c r="Q55" s="327">
        <f t="shared" si="34"/>
        <v>7376296</v>
      </c>
      <c r="R55" s="327">
        <f t="shared" si="34"/>
        <v>614445</v>
      </c>
      <c r="T55" s="327">
        <f>SUM(T7:T54)</f>
        <v>64369</v>
      </c>
      <c r="U55" s="327">
        <f t="shared" ref="U55:CF55" si="35">SUM(U7:U54)</f>
        <v>66328</v>
      </c>
      <c r="V55" s="327">
        <f t="shared" si="35"/>
        <v>64915</v>
      </c>
      <c r="W55" s="327">
        <f t="shared" si="35"/>
        <v>64248</v>
      </c>
      <c r="X55" s="327">
        <f t="shared" si="35"/>
        <v>62475</v>
      </c>
      <c r="Y55" s="327">
        <f t="shared" si="35"/>
        <v>62405</v>
      </c>
      <c r="Z55" s="327">
        <f t="shared" si="35"/>
        <v>67048</v>
      </c>
      <c r="AA55" s="327">
        <f t="shared" si="35"/>
        <v>57222</v>
      </c>
      <c r="AB55" s="327">
        <f t="shared" si="35"/>
        <v>61525</v>
      </c>
      <c r="AC55" s="327">
        <f t="shared" si="35"/>
        <v>60908</v>
      </c>
      <c r="AD55" s="327">
        <f t="shared" si="35"/>
        <v>60051</v>
      </c>
      <c r="AE55" s="327">
        <f t="shared" si="35"/>
        <v>59680</v>
      </c>
      <c r="AF55" s="327">
        <f>SUM(AF7:AF54)</f>
        <v>751174</v>
      </c>
      <c r="AG55" s="327">
        <f t="shared" si="35"/>
        <v>0</v>
      </c>
      <c r="AH55" s="327">
        <f t="shared" si="35"/>
        <v>69737</v>
      </c>
      <c r="AI55" s="327">
        <f t="shared" si="35"/>
        <v>71855</v>
      </c>
      <c r="AJ55" s="327">
        <f t="shared" si="35"/>
        <v>70323</v>
      </c>
      <c r="AK55" s="327">
        <f t="shared" si="35"/>
        <v>69602</v>
      </c>
      <c r="AL55" s="327">
        <f t="shared" si="35"/>
        <v>67684</v>
      </c>
      <c r="AM55" s="327">
        <f t="shared" si="35"/>
        <v>67605</v>
      </c>
      <c r="AN55" s="327">
        <f t="shared" si="35"/>
        <v>72636</v>
      </c>
      <c r="AO55" s="327">
        <f t="shared" si="35"/>
        <v>61994</v>
      </c>
      <c r="AP55" s="327">
        <f t="shared" si="35"/>
        <v>66652</v>
      </c>
      <c r="AQ55" s="327">
        <f t="shared" si="35"/>
        <v>65983</v>
      </c>
      <c r="AR55" s="327">
        <f t="shared" si="35"/>
        <v>65056</v>
      </c>
      <c r="AS55" s="327">
        <f t="shared" si="35"/>
        <v>64653</v>
      </c>
      <c r="AT55" s="327">
        <f t="shared" si="35"/>
        <v>813780</v>
      </c>
      <c r="AU55" s="327">
        <f t="shared" si="35"/>
        <v>0</v>
      </c>
      <c r="AV55" s="327">
        <f t="shared" si="35"/>
        <v>3756</v>
      </c>
      <c r="AW55" s="327">
        <f t="shared" si="35"/>
        <v>3741</v>
      </c>
      <c r="AX55" s="327">
        <f t="shared" si="35"/>
        <v>3725</v>
      </c>
      <c r="AY55" s="327">
        <f t="shared" si="35"/>
        <v>3492</v>
      </c>
      <c r="AZ55" s="327">
        <f t="shared" si="35"/>
        <v>3488</v>
      </c>
      <c r="BA55" s="327">
        <f t="shared" si="35"/>
        <v>3458</v>
      </c>
      <c r="BB55" s="327">
        <f t="shared" si="35"/>
        <v>3864</v>
      </c>
      <c r="BC55" s="327">
        <f t="shared" si="35"/>
        <v>3249</v>
      </c>
      <c r="BD55" s="327">
        <f t="shared" si="35"/>
        <v>3665</v>
      </c>
      <c r="BE55" s="327">
        <f t="shared" si="35"/>
        <v>3413</v>
      </c>
      <c r="BF55" s="327">
        <f t="shared" si="35"/>
        <v>3490</v>
      </c>
      <c r="BG55" s="327">
        <f t="shared" si="35"/>
        <v>3423</v>
      </c>
      <c r="BH55" s="327">
        <f t="shared" si="35"/>
        <v>42764</v>
      </c>
      <c r="BI55" s="327">
        <f t="shared" si="35"/>
        <v>0</v>
      </c>
      <c r="BJ55" s="327">
        <f t="shared" si="35"/>
        <v>16261</v>
      </c>
      <c r="BK55" s="327">
        <f t="shared" si="35"/>
        <v>16205</v>
      </c>
      <c r="BL55" s="327">
        <f t="shared" si="35"/>
        <v>16129</v>
      </c>
      <c r="BM55" s="327">
        <f t="shared" si="35"/>
        <v>15127</v>
      </c>
      <c r="BN55" s="327">
        <f t="shared" si="35"/>
        <v>15106</v>
      </c>
      <c r="BO55" s="327">
        <f t="shared" si="35"/>
        <v>14985</v>
      </c>
      <c r="BP55" s="327">
        <f t="shared" si="35"/>
        <v>16731</v>
      </c>
      <c r="BQ55" s="327">
        <f t="shared" si="35"/>
        <v>14064</v>
      </c>
      <c r="BR55" s="327">
        <f t="shared" si="35"/>
        <v>15877</v>
      </c>
      <c r="BS55" s="327">
        <f t="shared" si="35"/>
        <v>14774</v>
      </c>
      <c r="BT55" s="327">
        <f t="shared" si="35"/>
        <v>15110</v>
      </c>
      <c r="BU55" s="327">
        <f t="shared" si="35"/>
        <v>14828</v>
      </c>
      <c r="BV55" s="327">
        <f t="shared" si="35"/>
        <v>185197</v>
      </c>
      <c r="BW55" s="327">
        <f t="shared" si="35"/>
        <v>0</v>
      </c>
      <c r="BX55" s="327">
        <f t="shared" si="35"/>
        <v>8600</v>
      </c>
      <c r="BY55" s="327">
        <f t="shared" si="35"/>
        <v>8450</v>
      </c>
      <c r="BZ55" s="327">
        <f t="shared" si="35"/>
        <v>8600</v>
      </c>
      <c r="CA55" s="327">
        <f t="shared" si="35"/>
        <v>8425</v>
      </c>
      <c r="CB55" s="327">
        <f t="shared" si="35"/>
        <v>8400</v>
      </c>
      <c r="CC55" s="327">
        <f t="shared" si="35"/>
        <v>8250</v>
      </c>
      <c r="CD55" s="327">
        <f t="shared" si="35"/>
        <v>8300</v>
      </c>
      <c r="CE55" s="327">
        <f t="shared" si="35"/>
        <v>8200</v>
      </c>
      <c r="CF55" s="327">
        <f t="shared" si="35"/>
        <v>7725</v>
      </c>
      <c r="CG55" s="327">
        <f>SUM(CG7:CG54)</f>
        <v>7625</v>
      </c>
      <c r="CH55" s="327">
        <f>SUM(CH7:CH54)</f>
        <v>11075</v>
      </c>
      <c r="CI55" s="327">
        <f>SUM(CI7:CI54)</f>
        <v>7650</v>
      </c>
      <c r="CJ55" s="327">
        <f>SUM(CJ7:CJ54)</f>
        <v>101300</v>
      </c>
      <c r="CK55" s="327">
        <f>SUM(CK7:CK53)</f>
        <v>0</v>
      </c>
    </row>
    <row r="56" spans="2:89">
      <c r="BX56" s="312"/>
      <c r="BY56" s="312"/>
      <c r="BZ56" s="312"/>
      <c r="CA56" s="312"/>
      <c r="CB56" s="312"/>
      <c r="CC56" s="312"/>
      <c r="CD56" s="312"/>
      <c r="CE56" s="312"/>
      <c r="CF56" s="312"/>
      <c r="CG56" s="312"/>
      <c r="CH56" s="312"/>
      <c r="CI56" s="312"/>
      <c r="CJ56" s="312"/>
      <c r="CK56" s="312"/>
    </row>
    <row r="57" spans="2:89" ht="20.100000000000001" customHeight="1">
      <c r="C57" s="2391" t="s">
        <v>1770</v>
      </c>
      <c r="D57" s="2391"/>
    </row>
    <row r="58" spans="2:89">
      <c r="B58" s="300" t="s">
        <v>1710</v>
      </c>
      <c r="C58" s="301"/>
      <c r="D58" s="302" t="s">
        <v>1711</v>
      </c>
      <c r="E58" s="303" t="s">
        <v>1712</v>
      </c>
      <c r="F58" s="304" t="s">
        <v>1713</v>
      </c>
      <c r="G58" s="304" t="s">
        <v>1714</v>
      </c>
      <c r="H58" s="304" t="s">
        <v>1715</v>
      </c>
      <c r="I58" s="304" t="s">
        <v>1716</v>
      </c>
      <c r="J58" s="304" t="s">
        <v>1717</v>
      </c>
      <c r="K58" s="304" t="s">
        <v>1718</v>
      </c>
      <c r="L58" s="304" t="s">
        <v>1719</v>
      </c>
      <c r="M58" s="304" t="s">
        <v>1720</v>
      </c>
      <c r="N58" s="304" t="s">
        <v>1721</v>
      </c>
      <c r="O58" s="304" t="s">
        <v>1722</v>
      </c>
      <c r="P58" s="304" t="s">
        <v>1723</v>
      </c>
      <c r="Q58" s="304" t="s">
        <v>1724</v>
      </c>
      <c r="R58" s="304" t="s">
        <v>1725</v>
      </c>
      <c r="T58" s="303" t="s">
        <v>1712</v>
      </c>
      <c r="U58" s="304" t="s">
        <v>1713</v>
      </c>
      <c r="V58" s="304" t="s">
        <v>1714</v>
      </c>
      <c r="W58" s="304" t="s">
        <v>1715</v>
      </c>
      <c r="X58" s="304" t="s">
        <v>1716</v>
      </c>
      <c r="Y58" s="304" t="s">
        <v>1717</v>
      </c>
      <c r="Z58" s="304" t="s">
        <v>1718</v>
      </c>
      <c r="AA58" s="304" t="s">
        <v>1719</v>
      </c>
      <c r="AB58" s="304" t="s">
        <v>1720</v>
      </c>
      <c r="AC58" s="304" t="s">
        <v>1721</v>
      </c>
      <c r="AD58" s="304" t="s">
        <v>1722</v>
      </c>
      <c r="AE58" s="304" t="s">
        <v>1723</v>
      </c>
      <c r="AF58" s="304" t="s">
        <v>1724</v>
      </c>
      <c r="AH58" s="303" t="s">
        <v>1712</v>
      </c>
      <c r="AI58" s="304" t="s">
        <v>1713</v>
      </c>
      <c r="AJ58" s="304" t="s">
        <v>1714</v>
      </c>
      <c r="AK58" s="304" t="s">
        <v>1715</v>
      </c>
      <c r="AL58" s="304" t="s">
        <v>1716</v>
      </c>
      <c r="AM58" s="304" t="s">
        <v>1717</v>
      </c>
      <c r="AN58" s="304" t="s">
        <v>1718</v>
      </c>
      <c r="AO58" s="304" t="s">
        <v>1719</v>
      </c>
      <c r="AP58" s="304" t="s">
        <v>1720</v>
      </c>
      <c r="AQ58" s="304" t="s">
        <v>1721</v>
      </c>
      <c r="AR58" s="304" t="s">
        <v>1722</v>
      </c>
      <c r="AS58" s="304" t="s">
        <v>1723</v>
      </c>
      <c r="AT58" s="304" t="s">
        <v>1724</v>
      </c>
      <c r="AV58" s="303" t="s">
        <v>1712</v>
      </c>
      <c r="AW58" s="304" t="s">
        <v>1713</v>
      </c>
      <c r="AX58" s="304" t="s">
        <v>1714</v>
      </c>
      <c r="AY58" s="304" t="s">
        <v>1715</v>
      </c>
      <c r="AZ58" s="304" t="s">
        <v>1716</v>
      </c>
      <c r="BA58" s="304" t="s">
        <v>1717</v>
      </c>
      <c r="BB58" s="304" t="s">
        <v>1718</v>
      </c>
      <c r="BC58" s="304" t="s">
        <v>1719</v>
      </c>
      <c r="BD58" s="304" t="s">
        <v>1720</v>
      </c>
      <c r="BE58" s="304" t="s">
        <v>1721</v>
      </c>
      <c r="BF58" s="304" t="s">
        <v>1722</v>
      </c>
      <c r="BG58" s="304" t="s">
        <v>1723</v>
      </c>
      <c r="BH58" s="304" t="s">
        <v>1724</v>
      </c>
      <c r="BJ58" s="303" t="s">
        <v>1712</v>
      </c>
      <c r="BK58" s="304" t="s">
        <v>1713</v>
      </c>
      <c r="BL58" s="304" t="s">
        <v>1714</v>
      </c>
      <c r="BM58" s="304" t="s">
        <v>1715</v>
      </c>
      <c r="BN58" s="304" t="s">
        <v>1716</v>
      </c>
      <c r="BO58" s="304" t="s">
        <v>1717</v>
      </c>
      <c r="BP58" s="304" t="s">
        <v>1718</v>
      </c>
      <c r="BQ58" s="304" t="s">
        <v>1719</v>
      </c>
      <c r="BR58" s="304" t="s">
        <v>1720</v>
      </c>
      <c r="BS58" s="304" t="s">
        <v>1721</v>
      </c>
      <c r="BT58" s="304" t="s">
        <v>1722</v>
      </c>
      <c r="BU58" s="304" t="s">
        <v>1723</v>
      </c>
      <c r="BV58" s="304" t="s">
        <v>1724</v>
      </c>
    </row>
    <row r="59" spans="2:89" ht="13.5" thickBot="1">
      <c r="B59" s="306"/>
      <c r="C59" s="307"/>
      <c r="D59" s="308"/>
      <c r="E59" s="309"/>
      <c r="F59" s="310"/>
      <c r="G59" s="310"/>
      <c r="H59" s="310"/>
      <c r="I59" s="310"/>
      <c r="J59" s="310"/>
      <c r="K59" s="310"/>
      <c r="L59" s="310"/>
      <c r="M59" s="310"/>
      <c r="N59" s="310"/>
      <c r="O59" s="310"/>
      <c r="P59" s="310"/>
      <c r="Q59" s="310"/>
      <c r="R59" s="311" t="s">
        <v>1726</v>
      </c>
      <c r="T59" s="309"/>
      <c r="U59" s="310"/>
      <c r="V59" s="310"/>
      <c r="W59" s="310"/>
      <c r="X59" s="310"/>
      <c r="Y59" s="310"/>
      <c r="Z59" s="310"/>
      <c r="AA59" s="310"/>
      <c r="AB59" s="310"/>
      <c r="AC59" s="310"/>
      <c r="AD59" s="310"/>
      <c r="AE59" s="310"/>
      <c r="AF59" s="310"/>
      <c r="AH59" s="309"/>
      <c r="AI59" s="310"/>
      <c r="AJ59" s="310"/>
      <c r="AK59" s="310"/>
      <c r="AL59" s="310"/>
      <c r="AM59" s="310"/>
      <c r="AN59" s="310"/>
      <c r="AO59" s="310"/>
      <c r="AP59" s="310"/>
      <c r="AQ59" s="310"/>
      <c r="AR59" s="310"/>
      <c r="AS59" s="310"/>
      <c r="AT59" s="310"/>
      <c r="AV59" s="309"/>
      <c r="AW59" s="310"/>
      <c r="AX59" s="310"/>
      <c r="AY59" s="310"/>
      <c r="AZ59" s="310"/>
      <c r="BA59" s="310"/>
      <c r="BB59" s="310"/>
      <c r="BC59" s="310"/>
      <c r="BD59" s="310"/>
      <c r="BE59" s="310"/>
      <c r="BF59" s="310"/>
      <c r="BG59" s="310"/>
      <c r="BH59" s="310"/>
      <c r="BJ59" s="309"/>
      <c r="BK59" s="310"/>
      <c r="BL59" s="310"/>
      <c r="BM59" s="310"/>
      <c r="BN59" s="310"/>
      <c r="BO59" s="310"/>
      <c r="BP59" s="310"/>
      <c r="BQ59" s="310"/>
      <c r="BR59" s="310"/>
      <c r="BS59" s="310"/>
      <c r="BT59" s="310"/>
      <c r="BU59" s="310"/>
      <c r="BV59" s="310"/>
    </row>
    <row r="60" spans="2:89" ht="20.100000000000001" customHeight="1" thickTop="1">
      <c r="B60" s="328">
        <v>1</v>
      </c>
      <c r="C60" s="315" t="s">
        <v>1727</v>
      </c>
      <c r="D60" s="316" t="s">
        <v>1771</v>
      </c>
      <c r="E60" s="329">
        <v>65000</v>
      </c>
      <c r="F60" s="329">
        <v>65000</v>
      </c>
      <c r="G60" s="329">
        <v>65000</v>
      </c>
      <c r="H60" s="329">
        <v>65000</v>
      </c>
      <c r="I60" s="329">
        <v>65000</v>
      </c>
      <c r="J60" s="329">
        <v>65000</v>
      </c>
      <c r="K60" s="329">
        <v>65000</v>
      </c>
      <c r="L60" s="329">
        <v>65000</v>
      </c>
      <c r="M60" s="329">
        <v>65000</v>
      </c>
      <c r="N60" s="329">
        <v>65000</v>
      </c>
      <c r="O60" s="329">
        <v>65000</v>
      </c>
      <c r="P60" s="329">
        <v>65000</v>
      </c>
      <c r="Q60" s="329">
        <f>SUM(E60:P60)</f>
        <v>780000</v>
      </c>
      <c r="R60" s="329">
        <f t="shared" ref="R60:R67" si="36">ROUND(Q60*8.33%,0)</f>
        <v>64974</v>
      </c>
      <c r="T60" s="312">
        <f t="shared" ref="T60:AE67" si="37">+ROUND(IF(E60&gt;15000,(15000*0.12),(E60*0.12)),0)</f>
        <v>1800</v>
      </c>
      <c r="U60" s="312">
        <f t="shared" si="37"/>
        <v>1800</v>
      </c>
      <c r="V60" s="312">
        <f t="shared" si="37"/>
        <v>1800</v>
      </c>
      <c r="W60" s="312">
        <f t="shared" si="37"/>
        <v>1800</v>
      </c>
      <c r="X60" s="312">
        <f t="shared" si="37"/>
        <v>1800</v>
      </c>
      <c r="Y60" s="312">
        <f t="shared" si="37"/>
        <v>1800</v>
      </c>
      <c r="Z60" s="312">
        <f t="shared" si="37"/>
        <v>1800</v>
      </c>
      <c r="AA60" s="312">
        <f t="shared" si="37"/>
        <v>1800</v>
      </c>
      <c r="AB60" s="312">
        <f t="shared" si="37"/>
        <v>1800</v>
      </c>
      <c r="AC60" s="312">
        <f t="shared" si="37"/>
        <v>1800</v>
      </c>
      <c r="AD60" s="312">
        <f t="shared" si="37"/>
        <v>1800</v>
      </c>
      <c r="AE60" s="312">
        <f t="shared" si="37"/>
        <v>1800</v>
      </c>
      <c r="AF60" s="305">
        <f>+SUM(T60:AE60)</f>
        <v>21600</v>
      </c>
      <c r="AH60" s="312">
        <f t="shared" ref="AH60:AS67" si="38">+ROUND(IF(E60&gt;15000,(15000*13%),(E60*13%)),0)</f>
        <v>1950</v>
      </c>
      <c r="AI60" s="312">
        <f t="shared" si="38"/>
        <v>1950</v>
      </c>
      <c r="AJ60" s="312">
        <f t="shared" si="38"/>
        <v>1950</v>
      </c>
      <c r="AK60" s="312">
        <f t="shared" si="38"/>
        <v>1950</v>
      </c>
      <c r="AL60" s="312">
        <f t="shared" si="38"/>
        <v>1950</v>
      </c>
      <c r="AM60" s="312">
        <f t="shared" si="38"/>
        <v>1950</v>
      </c>
      <c r="AN60" s="312">
        <f t="shared" si="38"/>
        <v>1950</v>
      </c>
      <c r="AO60" s="312">
        <f t="shared" si="38"/>
        <v>1950</v>
      </c>
      <c r="AP60" s="312">
        <f t="shared" si="38"/>
        <v>1950</v>
      </c>
      <c r="AQ60" s="312">
        <f t="shared" si="38"/>
        <v>1950</v>
      </c>
      <c r="AR60" s="312">
        <f t="shared" si="38"/>
        <v>1950</v>
      </c>
      <c r="AS60" s="312">
        <f t="shared" si="38"/>
        <v>1950</v>
      </c>
      <c r="AT60" s="305">
        <f t="shared" ref="AT60:AT67" si="39">+SUM(AH60:AS60)</f>
        <v>23400</v>
      </c>
      <c r="AV60" s="312">
        <f t="shared" ref="AV60:BG67" si="40">+ROUND(IF(E60&lt;21001,(E60*0.75%),0),0)</f>
        <v>0</v>
      </c>
      <c r="AW60" s="312">
        <f t="shared" si="40"/>
        <v>0</v>
      </c>
      <c r="AX60" s="312">
        <f t="shared" si="40"/>
        <v>0</v>
      </c>
      <c r="AY60" s="312">
        <f t="shared" si="40"/>
        <v>0</v>
      </c>
      <c r="AZ60" s="312">
        <f t="shared" si="40"/>
        <v>0</v>
      </c>
      <c r="BA60" s="312">
        <f t="shared" si="40"/>
        <v>0</v>
      </c>
      <c r="BB60" s="312">
        <f t="shared" si="40"/>
        <v>0</v>
      </c>
      <c r="BC60" s="312">
        <f t="shared" si="40"/>
        <v>0</v>
      </c>
      <c r="BD60" s="312">
        <f t="shared" si="40"/>
        <v>0</v>
      </c>
      <c r="BE60" s="312">
        <f t="shared" si="40"/>
        <v>0</v>
      </c>
      <c r="BF60" s="312">
        <f t="shared" si="40"/>
        <v>0</v>
      </c>
      <c r="BG60" s="312">
        <f t="shared" si="40"/>
        <v>0</v>
      </c>
      <c r="BH60" s="305">
        <f t="shared" ref="BH60:BH67" si="41">+SUM(AV60:BG60)</f>
        <v>0</v>
      </c>
      <c r="BJ60" s="312">
        <f t="shared" ref="BJ60:BU67" si="42">+ROUND(IF(E60&lt;21001,(E60*3.25%),0),0)</f>
        <v>0</v>
      </c>
      <c r="BK60" s="312">
        <f t="shared" si="42"/>
        <v>0</v>
      </c>
      <c r="BL60" s="312">
        <f t="shared" si="42"/>
        <v>0</v>
      </c>
      <c r="BM60" s="312">
        <f t="shared" si="42"/>
        <v>0</v>
      </c>
      <c r="BN60" s="312">
        <f t="shared" si="42"/>
        <v>0</v>
      </c>
      <c r="BO60" s="312">
        <f t="shared" si="42"/>
        <v>0</v>
      </c>
      <c r="BP60" s="312">
        <f t="shared" si="42"/>
        <v>0</v>
      </c>
      <c r="BQ60" s="312">
        <f t="shared" si="42"/>
        <v>0</v>
      </c>
      <c r="BR60" s="312">
        <f t="shared" si="42"/>
        <v>0</v>
      </c>
      <c r="BS60" s="312">
        <f t="shared" si="42"/>
        <v>0</v>
      </c>
      <c r="BT60" s="312">
        <f t="shared" si="42"/>
        <v>0</v>
      </c>
      <c r="BU60" s="312">
        <f t="shared" si="42"/>
        <v>0</v>
      </c>
      <c r="BV60" s="300">
        <f>+SUM(BJ60:BU60)</f>
        <v>0</v>
      </c>
      <c r="BX60" s="312">
        <f t="shared" ref="BX60:CG67" si="43">+IF(E60&lt;=0,0,IF(E60&gt;10000,200,175))</f>
        <v>200</v>
      </c>
      <c r="BY60" s="312">
        <f t="shared" si="43"/>
        <v>200</v>
      </c>
      <c r="BZ60" s="312">
        <f t="shared" si="43"/>
        <v>200</v>
      </c>
      <c r="CA60" s="312">
        <f t="shared" si="43"/>
        <v>200</v>
      </c>
      <c r="CB60" s="312">
        <f t="shared" si="43"/>
        <v>200</v>
      </c>
      <c r="CC60" s="312">
        <f t="shared" si="43"/>
        <v>200</v>
      </c>
      <c r="CD60" s="312">
        <f t="shared" si="43"/>
        <v>200</v>
      </c>
      <c r="CE60" s="312">
        <f t="shared" si="43"/>
        <v>200</v>
      </c>
      <c r="CF60" s="312">
        <f t="shared" si="43"/>
        <v>200</v>
      </c>
      <c r="CG60" s="312">
        <f t="shared" si="43"/>
        <v>200</v>
      </c>
      <c r="CH60" s="312">
        <f t="shared" ref="CH60:CH67" si="44">+IF(O60&lt;=0,0,IF(O60&gt;10000,300,175))</f>
        <v>300</v>
      </c>
      <c r="CI60" s="312">
        <f t="shared" ref="CI60:CI67" si="45">+IF(P60&lt;=0,0,IF(P60&gt;10000,200,175))</f>
        <v>200</v>
      </c>
      <c r="CJ60" s="312">
        <f t="shared" ref="CJ60:CJ67" si="46">SUM(BX60:CI60)</f>
        <v>2500</v>
      </c>
    </row>
    <row r="61" spans="2:89" ht="20.100000000000001" customHeight="1">
      <c r="B61" s="319">
        <v>2</v>
      </c>
      <c r="C61" s="325" t="s">
        <v>1727</v>
      </c>
      <c r="D61" s="316" t="s">
        <v>1772</v>
      </c>
      <c r="E61" s="318">
        <v>64000</v>
      </c>
      <c r="F61" s="318">
        <v>64000</v>
      </c>
      <c r="G61" s="318">
        <v>64000</v>
      </c>
      <c r="H61" s="318">
        <v>64000</v>
      </c>
      <c r="I61" s="318">
        <v>64000</v>
      </c>
      <c r="J61" s="318">
        <v>64000</v>
      </c>
      <c r="K61" s="318">
        <v>64000</v>
      </c>
      <c r="L61" s="318">
        <v>64000</v>
      </c>
      <c r="M61" s="318">
        <v>64000</v>
      </c>
      <c r="N61" s="318">
        <v>64000</v>
      </c>
      <c r="O61" s="318">
        <v>64000</v>
      </c>
      <c r="P61" s="318">
        <v>64000</v>
      </c>
      <c r="Q61" s="318">
        <f>SUM(E61:P61)</f>
        <v>768000</v>
      </c>
      <c r="R61" s="318">
        <f>ROUND(Q61*8.33%,0)</f>
        <v>63974</v>
      </c>
      <c r="T61" s="312">
        <f t="shared" si="37"/>
        <v>1800</v>
      </c>
      <c r="U61" s="312">
        <f t="shared" si="37"/>
        <v>1800</v>
      </c>
      <c r="V61" s="312">
        <f t="shared" si="37"/>
        <v>1800</v>
      </c>
      <c r="W61" s="312">
        <f t="shared" si="37"/>
        <v>1800</v>
      </c>
      <c r="X61" s="312">
        <f t="shared" si="37"/>
        <v>1800</v>
      </c>
      <c r="Y61" s="312">
        <f t="shared" si="37"/>
        <v>1800</v>
      </c>
      <c r="Z61" s="312">
        <f t="shared" si="37"/>
        <v>1800</v>
      </c>
      <c r="AA61" s="312">
        <f t="shared" si="37"/>
        <v>1800</v>
      </c>
      <c r="AB61" s="312">
        <f t="shared" si="37"/>
        <v>1800</v>
      </c>
      <c r="AC61" s="312">
        <f t="shared" si="37"/>
        <v>1800</v>
      </c>
      <c r="AD61" s="312">
        <f t="shared" si="37"/>
        <v>1800</v>
      </c>
      <c r="AE61" s="312">
        <f t="shared" si="37"/>
        <v>1800</v>
      </c>
      <c r="AF61" s="305">
        <f>+SUM(T61:AE61)</f>
        <v>21600</v>
      </c>
      <c r="AH61" s="312">
        <f t="shared" si="38"/>
        <v>1950</v>
      </c>
      <c r="AI61" s="312">
        <f t="shared" si="38"/>
        <v>1950</v>
      </c>
      <c r="AJ61" s="312">
        <f t="shared" si="38"/>
        <v>1950</v>
      </c>
      <c r="AK61" s="312">
        <f t="shared" si="38"/>
        <v>1950</v>
      </c>
      <c r="AL61" s="312">
        <f t="shared" si="38"/>
        <v>1950</v>
      </c>
      <c r="AM61" s="312">
        <f t="shared" si="38"/>
        <v>1950</v>
      </c>
      <c r="AN61" s="312">
        <f t="shared" si="38"/>
        <v>1950</v>
      </c>
      <c r="AO61" s="312">
        <f t="shared" si="38"/>
        <v>1950</v>
      </c>
      <c r="AP61" s="312">
        <f t="shared" si="38"/>
        <v>1950</v>
      </c>
      <c r="AQ61" s="312">
        <f t="shared" si="38"/>
        <v>1950</v>
      </c>
      <c r="AR61" s="312">
        <f t="shared" si="38"/>
        <v>1950</v>
      </c>
      <c r="AS61" s="312">
        <f t="shared" si="38"/>
        <v>1950</v>
      </c>
      <c r="AT61" s="305">
        <f t="shared" si="39"/>
        <v>23400</v>
      </c>
      <c r="AV61" s="312">
        <f t="shared" si="40"/>
        <v>0</v>
      </c>
      <c r="AW61" s="312">
        <f t="shared" si="40"/>
        <v>0</v>
      </c>
      <c r="AX61" s="312">
        <f t="shared" si="40"/>
        <v>0</v>
      </c>
      <c r="AY61" s="312">
        <f t="shared" si="40"/>
        <v>0</v>
      </c>
      <c r="AZ61" s="312">
        <f t="shared" si="40"/>
        <v>0</v>
      </c>
      <c r="BA61" s="312">
        <f t="shared" si="40"/>
        <v>0</v>
      </c>
      <c r="BB61" s="312">
        <f t="shared" si="40"/>
        <v>0</v>
      </c>
      <c r="BC61" s="312">
        <f t="shared" si="40"/>
        <v>0</v>
      </c>
      <c r="BD61" s="312">
        <f t="shared" si="40"/>
        <v>0</v>
      </c>
      <c r="BE61" s="312">
        <f t="shared" si="40"/>
        <v>0</v>
      </c>
      <c r="BF61" s="312">
        <f t="shared" si="40"/>
        <v>0</v>
      </c>
      <c r="BG61" s="312">
        <f t="shared" si="40"/>
        <v>0</v>
      </c>
      <c r="BH61" s="305">
        <f t="shared" si="41"/>
        <v>0</v>
      </c>
      <c r="BJ61" s="312">
        <f t="shared" si="42"/>
        <v>0</v>
      </c>
      <c r="BK61" s="312">
        <f t="shared" si="42"/>
        <v>0</v>
      </c>
      <c r="BL61" s="312">
        <f t="shared" si="42"/>
        <v>0</v>
      </c>
      <c r="BM61" s="312">
        <f t="shared" si="42"/>
        <v>0</v>
      </c>
      <c r="BN61" s="312">
        <f t="shared" si="42"/>
        <v>0</v>
      </c>
      <c r="BO61" s="312">
        <f t="shared" si="42"/>
        <v>0</v>
      </c>
      <c r="BP61" s="312">
        <f t="shared" si="42"/>
        <v>0</v>
      </c>
      <c r="BQ61" s="312">
        <f t="shared" si="42"/>
        <v>0</v>
      </c>
      <c r="BR61" s="312">
        <f t="shared" si="42"/>
        <v>0</v>
      </c>
      <c r="BS61" s="312">
        <f t="shared" si="42"/>
        <v>0</v>
      </c>
      <c r="BT61" s="312">
        <f t="shared" si="42"/>
        <v>0</v>
      </c>
      <c r="BU61" s="312">
        <f t="shared" si="42"/>
        <v>0</v>
      </c>
      <c r="BV61" s="300">
        <f t="shared" ref="BV61:BV67" si="47">+SUM(BJ61:BU61)</f>
        <v>0</v>
      </c>
      <c r="BX61" s="312">
        <f t="shared" si="43"/>
        <v>200</v>
      </c>
      <c r="BY61" s="312">
        <f t="shared" si="43"/>
        <v>200</v>
      </c>
      <c r="BZ61" s="312">
        <f t="shared" si="43"/>
        <v>200</v>
      </c>
      <c r="CA61" s="312">
        <f t="shared" si="43"/>
        <v>200</v>
      </c>
      <c r="CB61" s="312">
        <f t="shared" si="43"/>
        <v>200</v>
      </c>
      <c r="CC61" s="312">
        <f t="shared" si="43"/>
        <v>200</v>
      </c>
      <c r="CD61" s="312">
        <f t="shared" si="43"/>
        <v>200</v>
      </c>
      <c r="CE61" s="312">
        <f t="shared" si="43"/>
        <v>200</v>
      </c>
      <c r="CF61" s="312">
        <f t="shared" si="43"/>
        <v>200</v>
      </c>
      <c r="CG61" s="312">
        <f t="shared" si="43"/>
        <v>200</v>
      </c>
      <c r="CH61" s="312">
        <f t="shared" si="44"/>
        <v>300</v>
      </c>
      <c r="CI61" s="312">
        <f t="shared" si="45"/>
        <v>200</v>
      </c>
      <c r="CJ61" s="312">
        <f t="shared" si="46"/>
        <v>2500</v>
      </c>
    </row>
    <row r="62" spans="2:89" ht="20.100000000000001" customHeight="1">
      <c r="B62" s="314">
        <v>3</v>
      </c>
      <c r="C62" s="315" t="s">
        <v>1727</v>
      </c>
      <c r="D62" s="316" t="s">
        <v>1773</v>
      </c>
      <c r="E62" s="317">
        <v>23500</v>
      </c>
      <c r="F62" s="317">
        <v>23500</v>
      </c>
      <c r="G62" s="317">
        <v>23500</v>
      </c>
      <c r="H62" s="317">
        <v>23500</v>
      </c>
      <c r="I62" s="317">
        <v>23500</v>
      </c>
      <c r="J62" s="317">
        <v>23500</v>
      </c>
      <c r="K62" s="317">
        <v>23500</v>
      </c>
      <c r="L62" s="317">
        <v>23500</v>
      </c>
      <c r="M62" s="317">
        <v>23500</v>
      </c>
      <c r="N62" s="317">
        <v>23500</v>
      </c>
      <c r="O62" s="317">
        <v>23500</v>
      </c>
      <c r="P62" s="317">
        <v>23500</v>
      </c>
      <c r="Q62" s="318">
        <f t="shared" ref="Q62:Q67" si="48">SUM(E62:P62)</f>
        <v>282000</v>
      </c>
      <c r="R62" s="318">
        <f t="shared" si="36"/>
        <v>23491</v>
      </c>
      <c r="T62" s="312">
        <f t="shared" si="37"/>
        <v>1800</v>
      </c>
      <c r="U62" s="312">
        <f t="shared" si="37"/>
        <v>1800</v>
      </c>
      <c r="V62" s="312">
        <f t="shared" si="37"/>
        <v>1800</v>
      </c>
      <c r="W62" s="312">
        <f t="shared" si="37"/>
        <v>1800</v>
      </c>
      <c r="X62" s="312">
        <f t="shared" si="37"/>
        <v>1800</v>
      </c>
      <c r="Y62" s="312">
        <f t="shared" si="37"/>
        <v>1800</v>
      </c>
      <c r="Z62" s="312">
        <f t="shared" si="37"/>
        <v>1800</v>
      </c>
      <c r="AA62" s="312">
        <f t="shared" si="37"/>
        <v>1800</v>
      </c>
      <c r="AB62" s="312">
        <f t="shared" si="37"/>
        <v>1800</v>
      </c>
      <c r="AC62" s="312">
        <f t="shared" si="37"/>
        <v>1800</v>
      </c>
      <c r="AD62" s="312">
        <f t="shared" si="37"/>
        <v>1800</v>
      </c>
      <c r="AE62" s="312">
        <f t="shared" si="37"/>
        <v>1800</v>
      </c>
      <c r="AF62" s="305">
        <f t="shared" ref="AF62:AF67" si="49">+SUM(T62:AE62)</f>
        <v>21600</v>
      </c>
      <c r="AH62" s="312">
        <f t="shared" si="38"/>
        <v>1950</v>
      </c>
      <c r="AI62" s="312">
        <f t="shared" si="38"/>
        <v>1950</v>
      </c>
      <c r="AJ62" s="312">
        <f t="shared" si="38"/>
        <v>1950</v>
      </c>
      <c r="AK62" s="312">
        <f t="shared" si="38"/>
        <v>1950</v>
      </c>
      <c r="AL62" s="312">
        <f t="shared" si="38"/>
        <v>1950</v>
      </c>
      <c r="AM62" s="312">
        <f t="shared" si="38"/>
        <v>1950</v>
      </c>
      <c r="AN62" s="312">
        <f t="shared" si="38"/>
        <v>1950</v>
      </c>
      <c r="AO62" s="312">
        <f t="shared" si="38"/>
        <v>1950</v>
      </c>
      <c r="AP62" s="312">
        <f t="shared" si="38"/>
        <v>1950</v>
      </c>
      <c r="AQ62" s="312">
        <f t="shared" si="38"/>
        <v>1950</v>
      </c>
      <c r="AR62" s="312">
        <f t="shared" si="38"/>
        <v>1950</v>
      </c>
      <c r="AS62" s="312">
        <f t="shared" si="38"/>
        <v>1950</v>
      </c>
      <c r="AT62" s="305">
        <f t="shared" si="39"/>
        <v>23400</v>
      </c>
      <c r="AV62" s="312">
        <f t="shared" si="40"/>
        <v>0</v>
      </c>
      <c r="AW62" s="312">
        <f t="shared" si="40"/>
        <v>0</v>
      </c>
      <c r="AX62" s="312">
        <f t="shared" si="40"/>
        <v>0</v>
      </c>
      <c r="AY62" s="312">
        <f t="shared" si="40"/>
        <v>0</v>
      </c>
      <c r="AZ62" s="312">
        <f t="shared" si="40"/>
        <v>0</v>
      </c>
      <c r="BA62" s="312">
        <f t="shared" si="40"/>
        <v>0</v>
      </c>
      <c r="BB62" s="312">
        <f t="shared" si="40"/>
        <v>0</v>
      </c>
      <c r="BC62" s="312">
        <f t="shared" si="40"/>
        <v>0</v>
      </c>
      <c r="BD62" s="312">
        <f t="shared" si="40"/>
        <v>0</v>
      </c>
      <c r="BE62" s="312">
        <f t="shared" si="40"/>
        <v>0</v>
      </c>
      <c r="BF62" s="312">
        <f t="shared" si="40"/>
        <v>0</v>
      </c>
      <c r="BG62" s="312">
        <f t="shared" si="40"/>
        <v>0</v>
      </c>
      <c r="BH62" s="305">
        <f t="shared" si="41"/>
        <v>0</v>
      </c>
      <c r="BJ62" s="312">
        <f t="shared" si="42"/>
        <v>0</v>
      </c>
      <c r="BK62" s="312">
        <f t="shared" si="42"/>
        <v>0</v>
      </c>
      <c r="BL62" s="312">
        <f t="shared" si="42"/>
        <v>0</v>
      </c>
      <c r="BM62" s="312">
        <f t="shared" si="42"/>
        <v>0</v>
      </c>
      <c r="BN62" s="312">
        <f t="shared" si="42"/>
        <v>0</v>
      </c>
      <c r="BO62" s="312">
        <f t="shared" si="42"/>
        <v>0</v>
      </c>
      <c r="BP62" s="312">
        <f t="shared" si="42"/>
        <v>0</v>
      </c>
      <c r="BQ62" s="312">
        <f t="shared" si="42"/>
        <v>0</v>
      </c>
      <c r="BR62" s="312">
        <f t="shared" si="42"/>
        <v>0</v>
      </c>
      <c r="BS62" s="312">
        <f t="shared" si="42"/>
        <v>0</v>
      </c>
      <c r="BT62" s="312">
        <f t="shared" si="42"/>
        <v>0</v>
      </c>
      <c r="BU62" s="312">
        <f t="shared" si="42"/>
        <v>0</v>
      </c>
      <c r="BV62" s="300">
        <f t="shared" si="47"/>
        <v>0</v>
      </c>
      <c r="BX62" s="312">
        <f t="shared" si="43"/>
        <v>200</v>
      </c>
      <c r="BY62" s="312">
        <f t="shared" si="43"/>
        <v>200</v>
      </c>
      <c r="BZ62" s="312">
        <f t="shared" si="43"/>
        <v>200</v>
      </c>
      <c r="CA62" s="312">
        <f t="shared" si="43"/>
        <v>200</v>
      </c>
      <c r="CB62" s="312">
        <f t="shared" si="43"/>
        <v>200</v>
      </c>
      <c r="CC62" s="312">
        <f t="shared" si="43"/>
        <v>200</v>
      </c>
      <c r="CD62" s="312">
        <f t="shared" si="43"/>
        <v>200</v>
      </c>
      <c r="CE62" s="312">
        <f t="shared" si="43"/>
        <v>200</v>
      </c>
      <c r="CF62" s="312">
        <f t="shared" si="43"/>
        <v>200</v>
      </c>
      <c r="CG62" s="312">
        <f t="shared" si="43"/>
        <v>200</v>
      </c>
      <c r="CH62" s="312">
        <f t="shared" si="44"/>
        <v>300</v>
      </c>
      <c r="CI62" s="312">
        <f t="shared" si="45"/>
        <v>200</v>
      </c>
      <c r="CJ62" s="312">
        <f t="shared" si="46"/>
        <v>2500</v>
      </c>
    </row>
    <row r="63" spans="2:89" ht="20.100000000000001" customHeight="1">
      <c r="B63" s="314">
        <v>4</v>
      </c>
      <c r="C63" s="315" t="s">
        <v>1727</v>
      </c>
      <c r="D63" s="316" t="s">
        <v>1774</v>
      </c>
      <c r="E63" s="317">
        <v>28500</v>
      </c>
      <c r="F63" s="317">
        <v>28500</v>
      </c>
      <c r="G63" s="317">
        <v>28500</v>
      </c>
      <c r="H63" s="317">
        <v>28500</v>
      </c>
      <c r="I63" s="317">
        <v>28500</v>
      </c>
      <c r="J63" s="317">
        <v>28500</v>
      </c>
      <c r="K63" s="317">
        <v>28500</v>
      </c>
      <c r="L63" s="317">
        <v>28500</v>
      </c>
      <c r="M63" s="317">
        <v>28500</v>
      </c>
      <c r="N63" s="317">
        <v>28500</v>
      </c>
      <c r="O63" s="317">
        <v>28500</v>
      </c>
      <c r="P63" s="317">
        <v>28500</v>
      </c>
      <c r="Q63" s="318">
        <f t="shared" si="48"/>
        <v>342000</v>
      </c>
      <c r="R63" s="318">
        <f t="shared" si="36"/>
        <v>28489</v>
      </c>
      <c r="T63" s="312">
        <f t="shared" si="37"/>
        <v>1800</v>
      </c>
      <c r="U63" s="312">
        <f t="shared" si="37"/>
        <v>1800</v>
      </c>
      <c r="V63" s="312">
        <f t="shared" si="37"/>
        <v>1800</v>
      </c>
      <c r="W63" s="312">
        <f t="shared" si="37"/>
        <v>1800</v>
      </c>
      <c r="X63" s="312">
        <f t="shared" si="37"/>
        <v>1800</v>
      </c>
      <c r="Y63" s="312">
        <f t="shared" si="37"/>
        <v>1800</v>
      </c>
      <c r="Z63" s="312">
        <f t="shared" si="37"/>
        <v>1800</v>
      </c>
      <c r="AA63" s="312">
        <f t="shared" si="37"/>
        <v>1800</v>
      </c>
      <c r="AB63" s="312">
        <f t="shared" si="37"/>
        <v>1800</v>
      </c>
      <c r="AC63" s="312">
        <f t="shared" si="37"/>
        <v>1800</v>
      </c>
      <c r="AD63" s="312">
        <f t="shared" si="37"/>
        <v>1800</v>
      </c>
      <c r="AE63" s="312">
        <f t="shared" si="37"/>
        <v>1800</v>
      </c>
      <c r="AF63" s="305">
        <f t="shared" si="49"/>
        <v>21600</v>
      </c>
      <c r="AH63" s="312">
        <f t="shared" si="38"/>
        <v>1950</v>
      </c>
      <c r="AI63" s="312">
        <f t="shared" si="38"/>
        <v>1950</v>
      </c>
      <c r="AJ63" s="312">
        <f t="shared" si="38"/>
        <v>1950</v>
      </c>
      <c r="AK63" s="312">
        <f t="shared" si="38"/>
        <v>1950</v>
      </c>
      <c r="AL63" s="312">
        <f t="shared" si="38"/>
        <v>1950</v>
      </c>
      <c r="AM63" s="312">
        <f t="shared" si="38"/>
        <v>1950</v>
      </c>
      <c r="AN63" s="312">
        <f t="shared" si="38"/>
        <v>1950</v>
      </c>
      <c r="AO63" s="312">
        <f t="shared" si="38"/>
        <v>1950</v>
      </c>
      <c r="AP63" s="312">
        <f t="shared" si="38"/>
        <v>1950</v>
      </c>
      <c r="AQ63" s="312">
        <f t="shared" si="38"/>
        <v>1950</v>
      </c>
      <c r="AR63" s="312">
        <f t="shared" si="38"/>
        <v>1950</v>
      </c>
      <c r="AS63" s="312">
        <f t="shared" si="38"/>
        <v>1950</v>
      </c>
      <c r="AT63" s="305">
        <f t="shared" si="39"/>
        <v>23400</v>
      </c>
      <c r="AV63" s="312">
        <f t="shared" si="40"/>
        <v>0</v>
      </c>
      <c r="AW63" s="312">
        <f t="shared" si="40"/>
        <v>0</v>
      </c>
      <c r="AX63" s="312">
        <f t="shared" si="40"/>
        <v>0</v>
      </c>
      <c r="AY63" s="312">
        <f t="shared" si="40"/>
        <v>0</v>
      </c>
      <c r="AZ63" s="312">
        <f t="shared" si="40"/>
        <v>0</v>
      </c>
      <c r="BA63" s="312">
        <f t="shared" si="40"/>
        <v>0</v>
      </c>
      <c r="BB63" s="312">
        <f t="shared" si="40"/>
        <v>0</v>
      </c>
      <c r="BC63" s="312">
        <f t="shared" si="40"/>
        <v>0</v>
      </c>
      <c r="BD63" s="312">
        <f t="shared" si="40"/>
        <v>0</v>
      </c>
      <c r="BE63" s="312">
        <f t="shared" si="40"/>
        <v>0</v>
      </c>
      <c r="BF63" s="312">
        <f t="shared" si="40"/>
        <v>0</v>
      </c>
      <c r="BG63" s="312">
        <f t="shared" si="40"/>
        <v>0</v>
      </c>
      <c r="BH63" s="305">
        <f t="shared" si="41"/>
        <v>0</v>
      </c>
      <c r="BJ63" s="312">
        <f t="shared" si="42"/>
        <v>0</v>
      </c>
      <c r="BK63" s="312">
        <f t="shared" si="42"/>
        <v>0</v>
      </c>
      <c r="BL63" s="312">
        <f t="shared" si="42"/>
        <v>0</v>
      </c>
      <c r="BM63" s="312">
        <f t="shared" si="42"/>
        <v>0</v>
      </c>
      <c r="BN63" s="312">
        <f t="shared" si="42"/>
        <v>0</v>
      </c>
      <c r="BO63" s="312">
        <f t="shared" si="42"/>
        <v>0</v>
      </c>
      <c r="BP63" s="312">
        <f t="shared" si="42"/>
        <v>0</v>
      </c>
      <c r="BQ63" s="312">
        <f t="shared" si="42"/>
        <v>0</v>
      </c>
      <c r="BR63" s="312">
        <f t="shared" si="42"/>
        <v>0</v>
      </c>
      <c r="BS63" s="312">
        <f t="shared" si="42"/>
        <v>0</v>
      </c>
      <c r="BT63" s="312">
        <f t="shared" si="42"/>
        <v>0</v>
      </c>
      <c r="BU63" s="312">
        <f t="shared" si="42"/>
        <v>0</v>
      </c>
      <c r="BV63" s="300">
        <f t="shared" si="47"/>
        <v>0</v>
      </c>
      <c r="BX63" s="312">
        <f t="shared" si="43"/>
        <v>200</v>
      </c>
      <c r="BY63" s="312">
        <f t="shared" si="43"/>
        <v>200</v>
      </c>
      <c r="BZ63" s="312">
        <f t="shared" si="43"/>
        <v>200</v>
      </c>
      <c r="CA63" s="312">
        <f t="shared" si="43"/>
        <v>200</v>
      </c>
      <c r="CB63" s="312">
        <f t="shared" si="43"/>
        <v>200</v>
      </c>
      <c r="CC63" s="312">
        <f t="shared" si="43"/>
        <v>200</v>
      </c>
      <c r="CD63" s="312">
        <f t="shared" si="43"/>
        <v>200</v>
      </c>
      <c r="CE63" s="312">
        <f t="shared" si="43"/>
        <v>200</v>
      </c>
      <c r="CF63" s="312">
        <f t="shared" si="43"/>
        <v>200</v>
      </c>
      <c r="CG63" s="312">
        <f t="shared" si="43"/>
        <v>200</v>
      </c>
      <c r="CH63" s="312">
        <f t="shared" si="44"/>
        <v>300</v>
      </c>
      <c r="CI63" s="312">
        <f t="shared" si="45"/>
        <v>200</v>
      </c>
      <c r="CJ63" s="312">
        <f t="shared" si="46"/>
        <v>2500</v>
      </c>
    </row>
    <row r="64" spans="2:89" ht="20.100000000000001" customHeight="1">
      <c r="B64" s="319">
        <v>5</v>
      </c>
      <c r="C64" s="315" t="s">
        <v>1727</v>
      </c>
      <c r="D64" s="316" t="s">
        <v>1775</v>
      </c>
      <c r="E64" s="317">
        <v>15100</v>
      </c>
      <c r="F64" s="317">
        <v>15100</v>
      </c>
      <c r="G64" s="317">
        <v>15100</v>
      </c>
      <c r="H64" s="317">
        <v>15100</v>
      </c>
      <c r="I64" s="317">
        <v>15100</v>
      </c>
      <c r="J64" s="317">
        <v>15100</v>
      </c>
      <c r="K64" s="317">
        <v>15100</v>
      </c>
      <c r="L64" s="317">
        <v>15100</v>
      </c>
      <c r="M64" s="317">
        <v>15100</v>
      </c>
      <c r="N64" s="317">
        <v>15100</v>
      </c>
      <c r="O64" s="317">
        <v>15100</v>
      </c>
      <c r="P64" s="317">
        <v>15100</v>
      </c>
      <c r="Q64" s="318">
        <f t="shared" si="48"/>
        <v>181200</v>
      </c>
      <c r="R64" s="318">
        <f t="shared" si="36"/>
        <v>15094</v>
      </c>
      <c r="T64" s="312">
        <f t="shared" si="37"/>
        <v>1800</v>
      </c>
      <c r="U64" s="312">
        <f t="shared" si="37"/>
        <v>1800</v>
      </c>
      <c r="V64" s="312">
        <f t="shared" si="37"/>
        <v>1800</v>
      </c>
      <c r="W64" s="312">
        <f t="shared" si="37"/>
        <v>1800</v>
      </c>
      <c r="X64" s="312">
        <f t="shared" si="37"/>
        <v>1800</v>
      </c>
      <c r="Y64" s="312">
        <f t="shared" si="37"/>
        <v>1800</v>
      </c>
      <c r="Z64" s="312">
        <f t="shared" si="37"/>
        <v>1800</v>
      </c>
      <c r="AA64" s="312">
        <f t="shared" si="37"/>
        <v>1800</v>
      </c>
      <c r="AB64" s="312">
        <f t="shared" si="37"/>
        <v>1800</v>
      </c>
      <c r="AC64" s="312">
        <f t="shared" si="37"/>
        <v>1800</v>
      </c>
      <c r="AD64" s="312">
        <f t="shared" si="37"/>
        <v>1800</v>
      </c>
      <c r="AE64" s="312">
        <f t="shared" si="37"/>
        <v>1800</v>
      </c>
      <c r="AF64" s="305">
        <f t="shared" si="49"/>
        <v>21600</v>
      </c>
      <c r="AH64" s="312">
        <f t="shared" si="38"/>
        <v>1950</v>
      </c>
      <c r="AI64" s="312">
        <f t="shared" si="38"/>
        <v>1950</v>
      </c>
      <c r="AJ64" s="312">
        <f t="shared" si="38"/>
        <v>1950</v>
      </c>
      <c r="AK64" s="312">
        <f t="shared" si="38"/>
        <v>1950</v>
      </c>
      <c r="AL64" s="312">
        <f t="shared" si="38"/>
        <v>1950</v>
      </c>
      <c r="AM64" s="312">
        <f t="shared" si="38"/>
        <v>1950</v>
      </c>
      <c r="AN64" s="312">
        <f t="shared" si="38"/>
        <v>1950</v>
      </c>
      <c r="AO64" s="312">
        <f t="shared" si="38"/>
        <v>1950</v>
      </c>
      <c r="AP64" s="312">
        <f t="shared" si="38"/>
        <v>1950</v>
      </c>
      <c r="AQ64" s="312">
        <f t="shared" si="38"/>
        <v>1950</v>
      </c>
      <c r="AR64" s="312">
        <f t="shared" si="38"/>
        <v>1950</v>
      </c>
      <c r="AS64" s="312">
        <f t="shared" si="38"/>
        <v>1950</v>
      </c>
      <c r="AT64" s="305">
        <f t="shared" si="39"/>
        <v>23400</v>
      </c>
      <c r="AV64" s="312">
        <f t="shared" si="40"/>
        <v>113</v>
      </c>
      <c r="AW64" s="312">
        <f t="shared" si="40"/>
        <v>113</v>
      </c>
      <c r="AX64" s="312">
        <f t="shared" si="40"/>
        <v>113</v>
      </c>
      <c r="AY64" s="312">
        <f t="shared" si="40"/>
        <v>113</v>
      </c>
      <c r="AZ64" s="312">
        <f t="shared" si="40"/>
        <v>113</v>
      </c>
      <c r="BA64" s="312">
        <f t="shared" si="40"/>
        <v>113</v>
      </c>
      <c r="BB64" s="312">
        <f t="shared" si="40"/>
        <v>113</v>
      </c>
      <c r="BC64" s="312">
        <f t="shared" si="40"/>
        <v>113</v>
      </c>
      <c r="BD64" s="312">
        <f t="shared" si="40"/>
        <v>113</v>
      </c>
      <c r="BE64" s="312">
        <f t="shared" si="40"/>
        <v>113</v>
      </c>
      <c r="BF64" s="312">
        <f t="shared" si="40"/>
        <v>113</v>
      </c>
      <c r="BG64" s="312">
        <f t="shared" si="40"/>
        <v>113</v>
      </c>
      <c r="BH64" s="305">
        <f t="shared" si="41"/>
        <v>1356</v>
      </c>
      <c r="BJ64" s="312">
        <f t="shared" si="42"/>
        <v>491</v>
      </c>
      <c r="BK64" s="312">
        <f t="shared" si="42"/>
        <v>491</v>
      </c>
      <c r="BL64" s="312">
        <f t="shared" si="42"/>
        <v>491</v>
      </c>
      <c r="BM64" s="312">
        <f t="shared" si="42"/>
        <v>491</v>
      </c>
      <c r="BN64" s="312">
        <f t="shared" si="42"/>
        <v>491</v>
      </c>
      <c r="BO64" s="312">
        <f t="shared" si="42"/>
        <v>491</v>
      </c>
      <c r="BP64" s="312">
        <f t="shared" si="42"/>
        <v>491</v>
      </c>
      <c r="BQ64" s="312">
        <f t="shared" si="42"/>
        <v>491</v>
      </c>
      <c r="BR64" s="312">
        <f t="shared" si="42"/>
        <v>491</v>
      </c>
      <c r="BS64" s="312">
        <f t="shared" si="42"/>
        <v>491</v>
      </c>
      <c r="BT64" s="312">
        <f t="shared" si="42"/>
        <v>491</v>
      </c>
      <c r="BU64" s="312">
        <f t="shared" si="42"/>
        <v>491</v>
      </c>
      <c r="BV64" s="300">
        <f t="shared" si="47"/>
        <v>5892</v>
      </c>
      <c r="BX64" s="312">
        <f t="shared" si="43"/>
        <v>200</v>
      </c>
      <c r="BY64" s="312">
        <f t="shared" si="43"/>
        <v>200</v>
      </c>
      <c r="BZ64" s="312">
        <f t="shared" si="43"/>
        <v>200</v>
      </c>
      <c r="CA64" s="312">
        <f t="shared" si="43"/>
        <v>200</v>
      </c>
      <c r="CB64" s="312">
        <f t="shared" si="43"/>
        <v>200</v>
      </c>
      <c r="CC64" s="312">
        <f t="shared" si="43"/>
        <v>200</v>
      </c>
      <c r="CD64" s="312">
        <f t="shared" si="43"/>
        <v>200</v>
      </c>
      <c r="CE64" s="312">
        <f t="shared" si="43"/>
        <v>200</v>
      </c>
      <c r="CF64" s="312">
        <f t="shared" si="43"/>
        <v>200</v>
      </c>
      <c r="CG64" s="312">
        <f t="shared" si="43"/>
        <v>200</v>
      </c>
      <c r="CH64" s="312">
        <f t="shared" si="44"/>
        <v>300</v>
      </c>
      <c r="CI64" s="312">
        <f t="shared" si="45"/>
        <v>200</v>
      </c>
      <c r="CJ64" s="312">
        <f t="shared" si="46"/>
        <v>2500</v>
      </c>
    </row>
    <row r="65" spans="2:88" ht="20.100000000000001" customHeight="1">
      <c r="B65" s="314">
        <v>6</v>
      </c>
      <c r="C65" s="315" t="s">
        <v>1776</v>
      </c>
      <c r="D65" s="316" t="s">
        <v>1777</v>
      </c>
      <c r="E65" s="317">
        <v>11800</v>
      </c>
      <c r="F65" s="317">
        <v>11800</v>
      </c>
      <c r="G65" s="317">
        <v>0</v>
      </c>
      <c r="H65" s="317">
        <v>0</v>
      </c>
      <c r="I65" s="317">
        <v>11800</v>
      </c>
      <c r="J65" s="317">
        <v>0</v>
      </c>
      <c r="K65" s="317">
        <v>0</v>
      </c>
      <c r="L65" s="317">
        <v>0</v>
      </c>
      <c r="M65" s="317">
        <v>0</v>
      </c>
      <c r="N65" s="317">
        <v>0</v>
      </c>
      <c r="O65" s="317">
        <v>0</v>
      </c>
      <c r="P65" s="317">
        <v>0</v>
      </c>
      <c r="Q65" s="318">
        <f t="shared" si="48"/>
        <v>35400</v>
      </c>
      <c r="R65" s="318">
        <f t="shared" si="36"/>
        <v>2949</v>
      </c>
      <c r="T65" s="312">
        <f t="shared" si="37"/>
        <v>1416</v>
      </c>
      <c r="U65" s="312">
        <f t="shared" si="37"/>
        <v>1416</v>
      </c>
      <c r="V65" s="312">
        <f t="shared" si="37"/>
        <v>0</v>
      </c>
      <c r="W65" s="312">
        <f t="shared" si="37"/>
        <v>0</v>
      </c>
      <c r="X65" s="312">
        <f t="shared" si="37"/>
        <v>1416</v>
      </c>
      <c r="Y65" s="312">
        <f t="shared" si="37"/>
        <v>0</v>
      </c>
      <c r="Z65" s="312">
        <f t="shared" si="37"/>
        <v>0</v>
      </c>
      <c r="AA65" s="312">
        <f t="shared" si="37"/>
        <v>0</v>
      </c>
      <c r="AB65" s="312">
        <f t="shared" si="37"/>
        <v>0</v>
      </c>
      <c r="AC65" s="312">
        <f t="shared" si="37"/>
        <v>0</v>
      </c>
      <c r="AD65" s="312">
        <f t="shared" si="37"/>
        <v>0</v>
      </c>
      <c r="AE65" s="312">
        <f t="shared" si="37"/>
        <v>0</v>
      </c>
      <c r="AF65" s="305">
        <f t="shared" si="49"/>
        <v>4248</v>
      </c>
      <c r="AH65" s="312">
        <f t="shared" si="38"/>
        <v>1534</v>
      </c>
      <c r="AI65" s="312">
        <f t="shared" si="38"/>
        <v>1534</v>
      </c>
      <c r="AJ65" s="312">
        <f t="shared" si="38"/>
        <v>0</v>
      </c>
      <c r="AK65" s="312">
        <f t="shared" si="38"/>
        <v>0</v>
      </c>
      <c r="AL65" s="312">
        <f t="shared" si="38"/>
        <v>1534</v>
      </c>
      <c r="AM65" s="312">
        <f t="shared" si="38"/>
        <v>0</v>
      </c>
      <c r="AN65" s="312">
        <f t="shared" si="38"/>
        <v>0</v>
      </c>
      <c r="AO65" s="312">
        <f t="shared" si="38"/>
        <v>0</v>
      </c>
      <c r="AP65" s="312">
        <f t="shared" si="38"/>
        <v>0</v>
      </c>
      <c r="AQ65" s="312">
        <f t="shared" si="38"/>
        <v>0</v>
      </c>
      <c r="AR65" s="312">
        <f t="shared" si="38"/>
        <v>0</v>
      </c>
      <c r="AS65" s="312">
        <f t="shared" si="38"/>
        <v>0</v>
      </c>
      <c r="AT65" s="305">
        <f t="shared" si="39"/>
        <v>4602</v>
      </c>
      <c r="AV65" s="312">
        <f t="shared" si="40"/>
        <v>89</v>
      </c>
      <c r="AW65" s="312">
        <f t="shared" si="40"/>
        <v>89</v>
      </c>
      <c r="AX65" s="312">
        <f t="shared" si="40"/>
        <v>0</v>
      </c>
      <c r="AY65" s="312">
        <f t="shared" si="40"/>
        <v>0</v>
      </c>
      <c r="AZ65" s="312">
        <f t="shared" si="40"/>
        <v>89</v>
      </c>
      <c r="BA65" s="312">
        <f t="shared" si="40"/>
        <v>0</v>
      </c>
      <c r="BB65" s="312">
        <f t="shared" si="40"/>
        <v>0</v>
      </c>
      <c r="BC65" s="312">
        <f t="shared" si="40"/>
        <v>0</v>
      </c>
      <c r="BD65" s="312">
        <f t="shared" si="40"/>
        <v>0</v>
      </c>
      <c r="BE65" s="312">
        <f t="shared" si="40"/>
        <v>0</v>
      </c>
      <c r="BF65" s="312">
        <f t="shared" si="40"/>
        <v>0</v>
      </c>
      <c r="BG65" s="312">
        <f t="shared" si="40"/>
        <v>0</v>
      </c>
      <c r="BH65" s="305">
        <f t="shared" si="41"/>
        <v>267</v>
      </c>
      <c r="BJ65" s="312">
        <f t="shared" si="42"/>
        <v>384</v>
      </c>
      <c r="BK65" s="312">
        <f t="shared" si="42"/>
        <v>384</v>
      </c>
      <c r="BL65" s="312">
        <f t="shared" si="42"/>
        <v>0</v>
      </c>
      <c r="BM65" s="312">
        <f t="shared" si="42"/>
        <v>0</v>
      </c>
      <c r="BN65" s="312">
        <f t="shared" si="42"/>
        <v>384</v>
      </c>
      <c r="BO65" s="312">
        <f t="shared" si="42"/>
        <v>0</v>
      </c>
      <c r="BP65" s="312">
        <f t="shared" si="42"/>
        <v>0</v>
      </c>
      <c r="BQ65" s="312">
        <f t="shared" si="42"/>
        <v>0</v>
      </c>
      <c r="BR65" s="312">
        <f t="shared" si="42"/>
        <v>0</v>
      </c>
      <c r="BS65" s="312">
        <f t="shared" si="42"/>
        <v>0</v>
      </c>
      <c r="BT65" s="312">
        <f t="shared" si="42"/>
        <v>0</v>
      </c>
      <c r="BU65" s="312">
        <f t="shared" si="42"/>
        <v>0</v>
      </c>
      <c r="BV65" s="300">
        <f t="shared" si="47"/>
        <v>1152</v>
      </c>
      <c r="BX65" s="312">
        <f t="shared" si="43"/>
        <v>200</v>
      </c>
      <c r="BY65" s="312">
        <f t="shared" si="43"/>
        <v>200</v>
      </c>
      <c r="BZ65" s="312">
        <f t="shared" si="43"/>
        <v>0</v>
      </c>
      <c r="CA65" s="312">
        <f t="shared" si="43"/>
        <v>0</v>
      </c>
      <c r="CB65" s="312">
        <f t="shared" si="43"/>
        <v>200</v>
      </c>
      <c r="CC65" s="312">
        <f t="shared" si="43"/>
        <v>0</v>
      </c>
      <c r="CD65" s="312">
        <f t="shared" si="43"/>
        <v>0</v>
      </c>
      <c r="CE65" s="312">
        <f t="shared" si="43"/>
        <v>0</v>
      </c>
      <c r="CF65" s="312">
        <f t="shared" si="43"/>
        <v>0</v>
      </c>
      <c r="CG65" s="312">
        <f t="shared" si="43"/>
        <v>0</v>
      </c>
      <c r="CH65" s="312">
        <f t="shared" si="44"/>
        <v>0</v>
      </c>
      <c r="CI65" s="312">
        <f t="shared" si="45"/>
        <v>0</v>
      </c>
      <c r="CJ65" s="312">
        <f t="shared" si="46"/>
        <v>600</v>
      </c>
    </row>
    <row r="66" spans="2:88" ht="20.100000000000001" customHeight="1">
      <c r="B66" s="319">
        <v>7</v>
      </c>
      <c r="C66" s="315" t="s">
        <v>1727</v>
      </c>
      <c r="D66" s="316" t="s">
        <v>43</v>
      </c>
      <c r="E66" s="317">
        <v>9720</v>
      </c>
      <c r="F66" s="317">
        <v>13300</v>
      </c>
      <c r="G66" s="317">
        <v>13300</v>
      </c>
      <c r="H66" s="317">
        <v>12278</v>
      </c>
      <c r="I66" s="317">
        <v>13300</v>
      </c>
      <c r="J66" s="317">
        <v>13300</v>
      </c>
      <c r="K66" s="317">
        <v>13300</v>
      </c>
      <c r="L66" s="317">
        <v>13300</v>
      </c>
      <c r="M66" s="317">
        <v>13300</v>
      </c>
      <c r="N66" s="317">
        <v>13300</v>
      </c>
      <c r="O66" s="317">
        <v>6651</v>
      </c>
      <c r="P66" s="317">
        <v>13300</v>
      </c>
      <c r="Q66" s="318">
        <f t="shared" si="48"/>
        <v>148349</v>
      </c>
      <c r="R66" s="318">
        <f t="shared" si="36"/>
        <v>12357</v>
      </c>
      <c r="T66" s="312">
        <f t="shared" si="37"/>
        <v>1166</v>
      </c>
      <c r="U66" s="312">
        <f t="shared" si="37"/>
        <v>1596</v>
      </c>
      <c r="V66" s="312">
        <f t="shared" si="37"/>
        <v>1596</v>
      </c>
      <c r="W66" s="312">
        <f t="shared" si="37"/>
        <v>1473</v>
      </c>
      <c r="X66" s="312">
        <f t="shared" si="37"/>
        <v>1596</v>
      </c>
      <c r="Y66" s="312">
        <f t="shared" si="37"/>
        <v>1596</v>
      </c>
      <c r="Z66" s="312">
        <f t="shared" si="37"/>
        <v>1596</v>
      </c>
      <c r="AA66" s="312">
        <f t="shared" si="37"/>
        <v>1596</v>
      </c>
      <c r="AB66" s="312">
        <f t="shared" si="37"/>
        <v>1596</v>
      </c>
      <c r="AC66" s="312">
        <f t="shared" si="37"/>
        <v>1596</v>
      </c>
      <c r="AD66" s="312">
        <f t="shared" si="37"/>
        <v>798</v>
      </c>
      <c r="AE66" s="312">
        <f t="shared" si="37"/>
        <v>1596</v>
      </c>
      <c r="AF66" s="305">
        <f t="shared" si="49"/>
        <v>17801</v>
      </c>
      <c r="AH66" s="312">
        <f t="shared" si="38"/>
        <v>1264</v>
      </c>
      <c r="AI66" s="312">
        <f t="shared" si="38"/>
        <v>1729</v>
      </c>
      <c r="AJ66" s="312">
        <f t="shared" si="38"/>
        <v>1729</v>
      </c>
      <c r="AK66" s="312">
        <f t="shared" si="38"/>
        <v>1596</v>
      </c>
      <c r="AL66" s="312">
        <f t="shared" si="38"/>
        <v>1729</v>
      </c>
      <c r="AM66" s="312">
        <f t="shared" si="38"/>
        <v>1729</v>
      </c>
      <c r="AN66" s="312">
        <f t="shared" si="38"/>
        <v>1729</v>
      </c>
      <c r="AO66" s="312">
        <f t="shared" si="38"/>
        <v>1729</v>
      </c>
      <c r="AP66" s="312">
        <f t="shared" si="38"/>
        <v>1729</v>
      </c>
      <c r="AQ66" s="312">
        <f t="shared" si="38"/>
        <v>1729</v>
      </c>
      <c r="AR66" s="312">
        <f t="shared" si="38"/>
        <v>865</v>
      </c>
      <c r="AS66" s="312">
        <f t="shared" si="38"/>
        <v>1729</v>
      </c>
      <c r="AT66" s="305">
        <f t="shared" si="39"/>
        <v>19286</v>
      </c>
      <c r="AV66" s="312">
        <f t="shared" si="40"/>
        <v>73</v>
      </c>
      <c r="AW66" s="312">
        <f t="shared" si="40"/>
        <v>100</v>
      </c>
      <c r="AX66" s="312">
        <f t="shared" si="40"/>
        <v>100</v>
      </c>
      <c r="AY66" s="312">
        <f t="shared" si="40"/>
        <v>92</v>
      </c>
      <c r="AZ66" s="312">
        <f t="shared" si="40"/>
        <v>100</v>
      </c>
      <c r="BA66" s="312">
        <f t="shared" si="40"/>
        <v>100</v>
      </c>
      <c r="BB66" s="312">
        <f t="shared" si="40"/>
        <v>100</v>
      </c>
      <c r="BC66" s="312">
        <f t="shared" si="40"/>
        <v>100</v>
      </c>
      <c r="BD66" s="312">
        <f t="shared" si="40"/>
        <v>100</v>
      </c>
      <c r="BE66" s="312">
        <f t="shared" si="40"/>
        <v>100</v>
      </c>
      <c r="BF66" s="312">
        <f t="shared" si="40"/>
        <v>50</v>
      </c>
      <c r="BG66" s="312">
        <f t="shared" si="40"/>
        <v>100</v>
      </c>
      <c r="BH66" s="305">
        <f t="shared" si="41"/>
        <v>1115</v>
      </c>
      <c r="BJ66" s="312">
        <f t="shared" si="42"/>
        <v>316</v>
      </c>
      <c r="BK66" s="312">
        <f t="shared" si="42"/>
        <v>432</v>
      </c>
      <c r="BL66" s="312">
        <f t="shared" si="42"/>
        <v>432</v>
      </c>
      <c r="BM66" s="312">
        <f t="shared" si="42"/>
        <v>399</v>
      </c>
      <c r="BN66" s="312">
        <f t="shared" si="42"/>
        <v>432</v>
      </c>
      <c r="BO66" s="312">
        <f t="shared" si="42"/>
        <v>432</v>
      </c>
      <c r="BP66" s="312">
        <f t="shared" si="42"/>
        <v>432</v>
      </c>
      <c r="BQ66" s="312">
        <f t="shared" si="42"/>
        <v>432</v>
      </c>
      <c r="BR66" s="312">
        <f t="shared" si="42"/>
        <v>432</v>
      </c>
      <c r="BS66" s="312">
        <f t="shared" si="42"/>
        <v>432</v>
      </c>
      <c r="BT66" s="312">
        <f t="shared" si="42"/>
        <v>216</v>
      </c>
      <c r="BU66" s="312">
        <f t="shared" si="42"/>
        <v>432</v>
      </c>
      <c r="BV66" s="300">
        <f t="shared" si="47"/>
        <v>4819</v>
      </c>
      <c r="BX66" s="312">
        <f t="shared" si="43"/>
        <v>175</v>
      </c>
      <c r="BY66" s="312">
        <f t="shared" si="43"/>
        <v>200</v>
      </c>
      <c r="BZ66" s="312">
        <f t="shared" si="43"/>
        <v>200</v>
      </c>
      <c r="CA66" s="312">
        <f t="shared" si="43"/>
        <v>200</v>
      </c>
      <c r="CB66" s="312">
        <f t="shared" si="43"/>
        <v>200</v>
      </c>
      <c r="CC66" s="312">
        <f t="shared" si="43"/>
        <v>200</v>
      </c>
      <c r="CD66" s="312">
        <f t="shared" si="43"/>
        <v>200</v>
      </c>
      <c r="CE66" s="312">
        <f t="shared" si="43"/>
        <v>200</v>
      </c>
      <c r="CF66" s="312">
        <f t="shared" si="43"/>
        <v>200</v>
      </c>
      <c r="CG66" s="312">
        <f t="shared" si="43"/>
        <v>200</v>
      </c>
      <c r="CH66" s="312">
        <f t="shared" si="44"/>
        <v>175</v>
      </c>
      <c r="CI66" s="312">
        <f t="shared" si="45"/>
        <v>200</v>
      </c>
      <c r="CJ66" s="312">
        <f t="shared" si="46"/>
        <v>2350</v>
      </c>
    </row>
    <row r="67" spans="2:88" ht="20.100000000000001" customHeight="1" thickBot="1">
      <c r="B67" s="319">
        <v>8</v>
      </c>
      <c r="C67" s="315" t="s">
        <v>1727</v>
      </c>
      <c r="D67" s="316" t="s">
        <v>1778</v>
      </c>
      <c r="E67" s="317">
        <v>19000</v>
      </c>
      <c r="F67" s="317">
        <v>19000</v>
      </c>
      <c r="G67" s="317">
        <v>19000</v>
      </c>
      <c r="H67" s="317">
        <v>19000</v>
      </c>
      <c r="I67" s="317">
        <v>19000</v>
      </c>
      <c r="J67" s="317">
        <v>19000</v>
      </c>
      <c r="K67" s="317">
        <v>19000</v>
      </c>
      <c r="L67" s="317">
        <v>19000</v>
      </c>
      <c r="M67" s="317">
        <v>19000</v>
      </c>
      <c r="N67" s="317">
        <v>19000</v>
      </c>
      <c r="O67" s="317">
        <v>19000</v>
      </c>
      <c r="P67" s="317">
        <v>19000</v>
      </c>
      <c r="Q67" s="318">
        <f t="shared" si="48"/>
        <v>228000</v>
      </c>
      <c r="R67" s="318">
        <f t="shared" si="36"/>
        <v>18992</v>
      </c>
      <c r="T67" s="312">
        <f t="shared" si="37"/>
        <v>1800</v>
      </c>
      <c r="U67" s="312">
        <f t="shared" si="37"/>
        <v>1800</v>
      </c>
      <c r="V67" s="312">
        <f t="shared" si="37"/>
        <v>1800</v>
      </c>
      <c r="W67" s="312">
        <f t="shared" si="37"/>
        <v>1800</v>
      </c>
      <c r="X67" s="312">
        <f t="shared" si="37"/>
        <v>1800</v>
      </c>
      <c r="Y67" s="312">
        <f t="shared" si="37"/>
        <v>1800</v>
      </c>
      <c r="Z67" s="312">
        <f t="shared" si="37"/>
        <v>1800</v>
      </c>
      <c r="AA67" s="312">
        <f t="shared" si="37"/>
        <v>1800</v>
      </c>
      <c r="AB67" s="312">
        <f t="shared" si="37"/>
        <v>1800</v>
      </c>
      <c r="AC67" s="312">
        <f t="shared" si="37"/>
        <v>1800</v>
      </c>
      <c r="AD67" s="312">
        <f t="shared" si="37"/>
        <v>1800</v>
      </c>
      <c r="AE67" s="312">
        <f t="shared" si="37"/>
        <v>1800</v>
      </c>
      <c r="AF67" s="305">
        <f t="shared" si="49"/>
        <v>21600</v>
      </c>
      <c r="AH67" s="312">
        <f t="shared" si="38"/>
        <v>1950</v>
      </c>
      <c r="AI67" s="312">
        <f t="shared" si="38"/>
        <v>1950</v>
      </c>
      <c r="AJ67" s="312">
        <f t="shared" si="38"/>
        <v>1950</v>
      </c>
      <c r="AK67" s="312">
        <f t="shared" si="38"/>
        <v>1950</v>
      </c>
      <c r="AL67" s="312">
        <f t="shared" si="38"/>
        <v>1950</v>
      </c>
      <c r="AM67" s="312">
        <f t="shared" si="38"/>
        <v>1950</v>
      </c>
      <c r="AN67" s="312">
        <f t="shared" si="38"/>
        <v>1950</v>
      </c>
      <c r="AO67" s="312">
        <f t="shared" si="38"/>
        <v>1950</v>
      </c>
      <c r="AP67" s="312">
        <f t="shared" si="38"/>
        <v>1950</v>
      </c>
      <c r="AQ67" s="312">
        <f t="shared" si="38"/>
        <v>1950</v>
      </c>
      <c r="AR67" s="312">
        <f t="shared" si="38"/>
        <v>1950</v>
      </c>
      <c r="AS67" s="312">
        <f t="shared" si="38"/>
        <v>1950</v>
      </c>
      <c r="AT67" s="305">
        <f t="shared" si="39"/>
        <v>23400</v>
      </c>
      <c r="AV67" s="312">
        <f t="shared" si="40"/>
        <v>143</v>
      </c>
      <c r="AW67" s="312">
        <f t="shared" si="40"/>
        <v>143</v>
      </c>
      <c r="AX67" s="312">
        <f t="shared" si="40"/>
        <v>143</v>
      </c>
      <c r="AY67" s="312">
        <f t="shared" si="40"/>
        <v>143</v>
      </c>
      <c r="AZ67" s="312">
        <f t="shared" si="40"/>
        <v>143</v>
      </c>
      <c r="BA67" s="312">
        <f t="shared" si="40"/>
        <v>143</v>
      </c>
      <c r="BB67" s="312">
        <f t="shared" si="40"/>
        <v>143</v>
      </c>
      <c r="BC67" s="312">
        <f t="shared" si="40"/>
        <v>143</v>
      </c>
      <c r="BD67" s="312">
        <f t="shared" si="40"/>
        <v>143</v>
      </c>
      <c r="BE67" s="312">
        <f t="shared" si="40"/>
        <v>143</v>
      </c>
      <c r="BF67" s="312">
        <f t="shared" si="40"/>
        <v>143</v>
      </c>
      <c r="BG67" s="312">
        <f t="shared" si="40"/>
        <v>143</v>
      </c>
      <c r="BH67" s="305">
        <f t="shared" si="41"/>
        <v>1716</v>
      </c>
      <c r="BJ67" s="312">
        <f t="shared" si="42"/>
        <v>618</v>
      </c>
      <c r="BK67" s="312">
        <f t="shared" si="42"/>
        <v>618</v>
      </c>
      <c r="BL67" s="312">
        <f t="shared" si="42"/>
        <v>618</v>
      </c>
      <c r="BM67" s="312">
        <f t="shared" si="42"/>
        <v>618</v>
      </c>
      <c r="BN67" s="312">
        <f t="shared" si="42"/>
        <v>618</v>
      </c>
      <c r="BO67" s="312">
        <f t="shared" si="42"/>
        <v>618</v>
      </c>
      <c r="BP67" s="312">
        <f t="shared" si="42"/>
        <v>618</v>
      </c>
      <c r="BQ67" s="312">
        <f t="shared" si="42"/>
        <v>618</v>
      </c>
      <c r="BR67" s="312">
        <f t="shared" si="42"/>
        <v>618</v>
      </c>
      <c r="BS67" s="312">
        <f t="shared" si="42"/>
        <v>618</v>
      </c>
      <c r="BT67" s="312">
        <f t="shared" si="42"/>
        <v>618</v>
      </c>
      <c r="BU67" s="312">
        <f t="shared" si="42"/>
        <v>618</v>
      </c>
      <c r="BV67" s="300">
        <f t="shared" si="47"/>
        <v>7416</v>
      </c>
      <c r="BX67" s="312">
        <f t="shared" si="43"/>
        <v>200</v>
      </c>
      <c r="BY67" s="312">
        <f t="shared" si="43"/>
        <v>200</v>
      </c>
      <c r="BZ67" s="312">
        <f t="shared" si="43"/>
        <v>200</v>
      </c>
      <c r="CA67" s="312">
        <f t="shared" si="43"/>
        <v>200</v>
      </c>
      <c r="CB67" s="312">
        <f t="shared" si="43"/>
        <v>200</v>
      </c>
      <c r="CC67" s="312">
        <f t="shared" si="43"/>
        <v>200</v>
      </c>
      <c r="CD67" s="312">
        <f t="shared" si="43"/>
        <v>200</v>
      </c>
      <c r="CE67" s="312">
        <f t="shared" si="43"/>
        <v>200</v>
      </c>
      <c r="CF67" s="312">
        <f t="shared" si="43"/>
        <v>200</v>
      </c>
      <c r="CG67" s="312">
        <f t="shared" si="43"/>
        <v>200</v>
      </c>
      <c r="CH67" s="312">
        <f t="shared" si="44"/>
        <v>300</v>
      </c>
      <c r="CI67" s="312">
        <f t="shared" si="45"/>
        <v>200</v>
      </c>
      <c r="CJ67" s="312">
        <f t="shared" si="46"/>
        <v>2500</v>
      </c>
    </row>
    <row r="68" spans="2:88" ht="20.100000000000001" customHeight="1" thickBot="1">
      <c r="B68" s="314" t="s">
        <v>1126</v>
      </c>
      <c r="C68" s="315" t="s">
        <v>1126</v>
      </c>
      <c r="D68" s="316" t="s">
        <v>1126</v>
      </c>
      <c r="E68" s="327">
        <f t="shared" ref="E68:R68" si="50">SUM(E60:E67)</f>
        <v>236620</v>
      </c>
      <c r="F68" s="327">
        <f t="shared" si="50"/>
        <v>240200</v>
      </c>
      <c r="G68" s="327">
        <f t="shared" si="50"/>
        <v>228400</v>
      </c>
      <c r="H68" s="327">
        <f t="shared" si="50"/>
        <v>227378</v>
      </c>
      <c r="I68" s="327">
        <f t="shared" si="50"/>
        <v>240200</v>
      </c>
      <c r="J68" s="327">
        <f t="shared" si="50"/>
        <v>228400</v>
      </c>
      <c r="K68" s="327">
        <f t="shared" si="50"/>
        <v>228400</v>
      </c>
      <c r="L68" s="327">
        <f t="shared" si="50"/>
        <v>228400</v>
      </c>
      <c r="M68" s="327">
        <f t="shared" si="50"/>
        <v>228400</v>
      </c>
      <c r="N68" s="327">
        <f t="shared" si="50"/>
        <v>228400</v>
      </c>
      <c r="O68" s="327">
        <f t="shared" si="50"/>
        <v>221751</v>
      </c>
      <c r="P68" s="327">
        <f t="shared" si="50"/>
        <v>228400</v>
      </c>
      <c r="Q68" s="327">
        <f t="shared" si="50"/>
        <v>2764949</v>
      </c>
      <c r="R68" s="327">
        <f t="shared" si="50"/>
        <v>230320</v>
      </c>
      <c r="T68" s="330">
        <f t="shared" ref="T68:AF68" si="51">+SUM(T60:T67)</f>
        <v>13382</v>
      </c>
      <c r="U68" s="331">
        <f t="shared" si="51"/>
        <v>13812</v>
      </c>
      <c r="V68" s="331">
        <f t="shared" si="51"/>
        <v>12396</v>
      </c>
      <c r="W68" s="331">
        <f t="shared" si="51"/>
        <v>12273</v>
      </c>
      <c r="X68" s="331">
        <f t="shared" si="51"/>
        <v>13812</v>
      </c>
      <c r="Y68" s="331">
        <f t="shared" si="51"/>
        <v>12396</v>
      </c>
      <c r="Z68" s="331">
        <f t="shared" si="51"/>
        <v>12396</v>
      </c>
      <c r="AA68" s="331">
        <f t="shared" si="51"/>
        <v>12396</v>
      </c>
      <c r="AB68" s="331">
        <f t="shared" si="51"/>
        <v>12396</v>
      </c>
      <c r="AC68" s="331">
        <f t="shared" si="51"/>
        <v>12396</v>
      </c>
      <c r="AD68" s="331">
        <f t="shared" si="51"/>
        <v>11598</v>
      </c>
      <c r="AE68" s="331">
        <f t="shared" si="51"/>
        <v>12396</v>
      </c>
      <c r="AF68" s="332">
        <f t="shared" si="51"/>
        <v>151649</v>
      </c>
      <c r="AH68" s="330">
        <f t="shared" ref="AH68:AT68" si="52">+SUM(AH60:AH67)</f>
        <v>14498</v>
      </c>
      <c r="AI68" s="331">
        <f t="shared" si="52"/>
        <v>14963</v>
      </c>
      <c r="AJ68" s="331">
        <f t="shared" si="52"/>
        <v>13429</v>
      </c>
      <c r="AK68" s="331">
        <f t="shared" si="52"/>
        <v>13296</v>
      </c>
      <c r="AL68" s="331">
        <f t="shared" si="52"/>
        <v>14963</v>
      </c>
      <c r="AM68" s="331">
        <f t="shared" si="52"/>
        <v>13429</v>
      </c>
      <c r="AN68" s="331">
        <f t="shared" si="52"/>
        <v>13429</v>
      </c>
      <c r="AO68" s="331">
        <f t="shared" si="52"/>
        <v>13429</v>
      </c>
      <c r="AP68" s="331">
        <f t="shared" si="52"/>
        <v>13429</v>
      </c>
      <c r="AQ68" s="331">
        <f t="shared" si="52"/>
        <v>13429</v>
      </c>
      <c r="AR68" s="331">
        <f t="shared" si="52"/>
        <v>12565</v>
      </c>
      <c r="AS68" s="331">
        <f t="shared" si="52"/>
        <v>13429</v>
      </c>
      <c r="AT68" s="332">
        <f t="shared" si="52"/>
        <v>164288</v>
      </c>
      <c r="AV68" s="331">
        <f t="shared" ref="AV68:BH68" si="53">+SUM(AV60:AV67)</f>
        <v>418</v>
      </c>
      <c r="AW68" s="331">
        <f t="shared" si="53"/>
        <v>445</v>
      </c>
      <c r="AX68" s="331">
        <f t="shared" si="53"/>
        <v>356</v>
      </c>
      <c r="AY68" s="331">
        <f t="shared" si="53"/>
        <v>348</v>
      </c>
      <c r="AZ68" s="331">
        <f t="shared" si="53"/>
        <v>445</v>
      </c>
      <c r="BA68" s="331">
        <f t="shared" si="53"/>
        <v>356</v>
      </c>
      <c r="BB68" s="331">
        <f t="shared" si="53"/>
        <v>356</v>
      </c>
      <c r="BC68" s="331">
        <f t="shared" si="53"/>
        <v>356</v>
      </c>
      <c r="BD68" s="331">
        <f t="shared" si="53"/>
        <v>356</v>
      </c>
      <c r="BE68" s="331">
        <f t="shared" si="53"/>
        <v>356</v>
      </c>
      <c r="BF68" s="331">
        <f t="shared" si="53"/>
        <v>306</v>
      </c>
      <c r="BG68" s="331">
        <f t="shared" si="53"/>
        <v>356</v>
      </c>
      <c r="BH68" s="331">
        <f t="shared" si="53"/>
        <v>4454</v>
      </c>
      <c r="BJ68" s="331">
        <f t="shared" ref="BJ68:BV68" si="54">+SUM(BJ60:BJ67)</f>
        <v>1809</v>
      </c>
      <c r="BK68" s="331">
        <f t="shared" si="54"/>
        <v>1925</v>
      </c>
      <c r="BL68" s="331">
        <f t="shared" si="54"/>
        <v>1541</v>
      </c>
      <c r="BM68" s="331">
        <f t="shared" si="54"/>
        <v>1508</v>
      </c>
      <c r="BN68" s="331">
        <f t="shared" si="54"/>
        <v>1925</v>
      </c>
      <c r="BO68" s="331">
        <f t="shared" si="54"/>
        <v>1541</v>
      </c>
      <c r="BP68" s="331">
        <f t="shared" si="54"/>
        <v>1541</v>
      </c>
      <c r="BQ68" s="331">
        <f t="shared" si="54"/>
        <v>1541</v>
      </c>
      <c r="BR68" s="331">
        <f t="shared" si="54"/>
        <v>1541</v>
      </c>
      <c r="BS68" s="331">
        <f t="shared" si="54"/>
        <v>1541</v>
      </c>
      <c r="BT68" s="331">
        <f t="shared" si="54"/>
        <v>1325</v>
      </c>
      <c r="BU68" s="331">
        <f t="shared" si="54"/>
        <v>1541</v>
      </c>
      <c r="BV68" s="331">
        <f t="shared" si="54"/>
        <v>19279</v>
      </c>
      <c r="BX68" s="305">
        <f t="shared" ref="BX68:CJ68" si="55">SUM(BX60:BX67)</f>
        <v>1575</v>
      </c>
      <c r="BY68" s="305">
        <f t="shared" si="55"/>
        <v>1600</v>
      </c>
      <c r="BZ68" s="305">
        <f t="shared" si="55"/>
        <v>1400</v>
      </c>
      <c r="CA68" s="305">
        <f t="shared" si="55"/>
        <v>1400</v>
      </c>
      <c r="CB68" s="305">
        <f t="shared" si="55"/>
        <v>1600</v>
      </c>
      <c r="CC68" s="305">
        <f t="shared" si="55"/>
        <v>1400</v>
      </c>
      <c r="CD68" s="305">
        <f t="shared" si="55"/>
        <v>1400</v>
      </c>
      <c r="CE68" s="305">
        <f t="shared" si="55"/>
        <v>1400</v>
      </c>
      <c r="CF68" s="305">
        <f t="shared" si="55"/>
        <v>1400</v>
      </c>
      <c r="CG68" s="305">
        <f t="shared" si="55"/>
        <v>1400</v>
      </c>
      <c r="CH68" s="305">
        <f t="shared" si="55"/>
        <v>1975</v>
      </c>
      <c r="CI68" s="305">
        <f t="shared" si="55"/>
        <v>1400</v>
      </c>
      <c r="CJ68" s="305">
        <f t="shared" si="55"/>
        <v>17950</v>
      </c>
    </row>
    <row r="69" spans="2:88" ht="6" customHeight="1"/>
    <row r="70" spans="2:88" ht="20.100000000000001" customHeight="1">
      <c r="C70" s="2391" t="s">
        <v>1779</v>
      </c>
      <c r="D70" s="2391"/>
    </row>
    <row r="71" spans="2:88">
      <c r="B71" s="300" t="s">
        <v>1710</v>
      </c>
      <c r="C71" s="301"/>
      <c r="D71" s="302" t="s">
        <v>1711</v>
      </c>
      <c r="E71" s="303" t="s">
        <v>1712</v>
      </c>
      <c r="F71" s="304" t="s">
        <v>1713</v>
      </c>
      <c r="G71" s="304" t="s">
        <v>1714</v>
      </c>
      <c r="H71" s="304" t="s">
        <v>1715</v>
      </c>
      <c r="I71" s="304" t="s">
        <v>1716</v>
      </c>
      <c r="J71" s="304" t="s">
        <v>1717</v>
      </c>
      <c r="K71" s="304" t="s">
        <v>1718</v>
      </c>
      <c r="L71" s="304" t="s">
        <v>1719</v>
      </c>
      <c r="M71" s="304" t="s">
        <v>1720</v>
      </c>
      <c r="N71" s="304" t="s">
        <v>1721</v>
      </c>
      <c r="O71" s="304" t="s">
        <v>1722</v>
      </c>
      <c r="P71" s="304" t="s">
        <v>1723</v>
      </c>
      <c r="Q71" s="304" t="s">
        <v>1724</v>
      </c>
      <c r="R71" s="304" t="s">
        <v>1725</v>
      </c>
      <c r="T71" s="303" t="s">
        <v>1712</v>
      </c>
      <c r="U71" s="304" t="s">
        <v>1713</v>
      </c>
      <c r="V71" s="304" t="s">
        <v>1714</v>
      </c>
      <c r="W71" s="304" t="s">
        <v>1715</v>
      </c>
      <c r="X71" s="304" t="s">
        <v>1716</v>
      </c>
      <c r="Y71" s="304" t="s">
        <v>1717</v>
      </c>
      <c r="Z71" s="304" t="s">
        <v>1718</v>
      </c>
      <c r="AA71" s="304" t="s">
        <v>1719</v>
      </c>
      <c r="AB71" s="304" t="s">
        <v>1720</v>
      </c>
      <c r="AC71" s="304" t="s">
        <v>1721</v>
      </c>
      <c r="AD71" s="304" t="s">
        <v>1722</v>
      </c>
      <c r="AE71" s="304" t="s">
        <v>1723</v>
      </c>
      <c r="AF71" s="304" t="s">
        <v>1724</v>
      </c>
      <c r="AH71" s="303" t="s">
        <v>1712</v>
      </c>
      <c r="AI71" s="304" t="s">
        <v>1713</v>
      </c>
      <c r="AJ71" s="304" t="s">
        <v>1714</v>
      </c>
      <c r="AK71" s="304" t="s">
        <v>1715</v>
      </c>
      <c r="AL71" s="304" t="s">
        <v>1716</v>
      </c>
      <c r="AM71" s="304" t="s">
        <v>1717</v>
      </c>
      <c r="AN71" s="304" t="s">
        <v>1718</v>
      </c>
      <c r="AO71" s="304" t="s">
        <v>1719</v>
      </c>
      <c r="AP71" s="304" t="s">
        <v>1720</v>
      </c>
      <c r="AQ71" s="304" t="s">
        <v>1721</v>
      </c>
      <c r="AR71" s="304" t="s">
        <v>1722</v>
      </c>
      <c r="AS71" s="304" t="s">
        <v>1723</v>
      </c>
      <c r="AT71" s="304" t="s">
        <v>1724</v>
      </c>
      <c r="AV71" s="303" t="s">
        <v>1712</v>
      </c>
      <c r="AW71" s="304" t="s">
        <v>1713</v>
      </c>
      <c r="AX71" s="304" t="s">
        <v>1714</v>
      </c>
      <c r="AY71" s="304" t="s">
        <v>1715</v>
      </c>
      <c r="AZ71" s="304" t="s">
        <v>1716</v>
      </c>
      <c r="BA71" s="304" t="s">
        <v>1717</v>
      </c>
      <c r="BB71" s="304" t="s">
        <v>1718</v>
      </c>
      <c r="BC71" s="304" t="s">
        <v>1719</v>
      </c>
      <c r="BD71" s="304" t="s">
        <v>1720</v>
      </c>
      <c r="BE71" s="304" t="s">
        <v>1721</v>
      </c>
      <c r="BF71" s="304" t="s">
        <v>1722</v>
      </c>
      <c r="BG71" s="304" t="s">
        <v>1723</v>
      </c>
      <c r="BH71" s="304" t="s">
        <v>1724</v>
      </c>
      <c r="BJ71" s="303" t="s">
        <v>1712</v>
      </c>
      <c r="BK71" s="304" t="s">
        <v>1713</v>
      </c>
      <c r="BL71" s="304" t="s">
        <v>1714</v>
      </c>
      <c r="BM71" s="304" t="s">
        <v>1715</v>
      </c>
      <c r="BN71" s="304" t="s">
        <v>1716</v>
      </c>
      <c r="BO71" s="304" t="s">
        <v>1717</v>
      </c>
      <c r="BP71" s="304" t="s">
        <v>1718</v>
      </c>
      <c r="BQ71" s="304" t="s">
        <v>1719</v>
      </c>
      <c r="BR71" s="304" t="s">
        <v>1720</v>
      </c>
      <c r="BS71" s="304" t="s">
        <v>1721</v>
      </c>
      <c r="BT71" s="304" t="s">
        <v>1722</v>
      </c>
      <c r="BU71" s="304" t="s">
        <v>1723</v>
      </c>
      <c r="BV71" s="304" t="s">
        <v>1724</v>
      </c>
    </row>
    <row r="72" spans="2:88" ht="13.5" thickBot="1">
      <c r="B72" s="306"/>
      <c r="C72" s="307"/>
      <c r="D72" s="308"/>
      <c r="E72" s="309"/>
      <c r="F72" s="310"/>
      <c r="G72" s="310"/>
      <c r="H72" s="310"/>
      <c r="I72" s="310"/>
      <c r="J72" s="310"/>
      <c r="K72" s="310"/>
      <c r="L72" s="310"/>
      <c r="M72" s="310"/>
      <c r="N72" s="310"/>
      <c r="O72" s="310"/>
      <c r="P72" s="310"/>
      <c r="Q72" s="310"/>
      <c r="R72" s="311" t="s">
        <v>1726</v>
      </c>
      <c r="T72" s="309"/>
      <c r="U72" s="310"/>
      <c r="V72" s="310"/>
      <c r="W72" s="310"/>
      <c r="X72" s="310"/>
      <c r="Y72" s="310"/>
      <c r="Z72" s="310"/>
      <c r="AA72" s="310"/>
      <c r="AB72" s="310"/>
      <c r="AC72" s="310"/>
      <c r="AD72" s="310"/>
      <c r="AE72" s="310"/>
      <c r="AF72" s="310"/>
      <c r="AH72" s="309"/>
      <c r="AI72" s="310"/>
      <c r="AJ72" s="310"/>
      <c r="AK72" s="310"/>
      <c r="AL72" s="310"/>
      <c r="AM72" s="310"/>
      <c r="AN72" s="310"/>
      <c r="AO72" s="310"/>
      <c r="AP72" s="310"/>
      <c r="AQ72" s="310"/>
      <c r="AR72" s="310"/>
      <c r="AS72" s="310"/>
      <c r="AT72" s="310"/>
      <c r="AV72" s="309"/>
      <c r="AW72" s="310"/>
      <c r="AX72" s="310"/>
      <c r="AY72" s="310"/>
      <c r="AZ72" s="310"/>
      <c r="BA72" s="310"/>
      <c r="BB72" s="310"/>
      <c r="BC72" s="310"/>
      <c r="BD72" s="310"/>
      <c r="BE72" s="310"/>
      <c r="BF72" s="310"/>
      <c r="BG72" s="310"/>
      <c r="BH72" s="310"/>
      <c r="BJ72" s="309"/>
      <c r="BK72" s="310"/>
      <c r="BL72" s="310"/>
      <c r="BM72" s="310"/>
      <c r="BN72" s="310"/>
      <c r="BO72" s="310"/>
      <c r="BP72" s="310"/>
      <c r="BQ72" s="310"/>
      <c r="BR72" s="310"/>
      <c r="BS72" s="310"/>
      <c r="BT72" s="310"/>
      <c r="BU72" s="310"/>
      <c r="BV72" s="310"/>
    </row>
    <row r="73" spans="2:88" ht="20.100000000000001" customHeight="1" thickTop="1">
      <c r="B73" s="328">
        <v>1</v>
      </c>
      <c r="C73" s="325" t="s">
        <v>1727</v>
      </c>
      <c r="D73" s="326" t="s">
        <v>1780</v>
      </c>
      <c r="E73" s="329">
        <v>39900</v>
      </c>
      <c r="F73" s="329">
        <v>39900</v>
      </c>
      <c r="G73" s="329">
        <v>39900</v>
      </c>
      <c r="H73" s="329">
        <v>39900</v>
      </c>
      <c r="I73" s="329">
        <v>39900</v>
      </c>
      <c r="J73" s="329">
        <v>39900</v>
      </c>
      <c r="K73" s="329">
        <v>39900</v>
      </c>
      <c r="L73" s="329">
        <v>39900</v>
      </c>
      <c r="M73" s="329">
        <v>39900</v>
      </c>
      <c r="N73" s="329">
        <v>39900</v>
      </c>
      <c r="O73" s="329">
        <v>39900</v>
      </c>
      <c r="P73" s="329">
        <v>39900</v>
      </c>
      <c r="Q73" s="329">
        <f t="shared" ref="Q73:Q82" si="56">SUM(E73:P73)</f>
        <v>478800</v>
      </c>
      <c r="R73" s="329">
        <f t="shared" ref="R73:R80" si="57">ROUND(Q73*8.33%,0)</f>
        <v>39884</v>
      </c>
      <c r="T73" s="312">
        <f>+ROUND(IF(E73&gt;15000,(15000*0.12),(E73*0.12)),0)</f>
        <v>1800</v>
      </c>
      <c r="U73" s="312">
        <f t="shared" ref="U73:AE82" si="58">+ROUND(IF(F73&gt;15000,(15000*0.12),(F73*0.12)),0)</f>
        <v>1800</v>
      </c>
      <c r="V73" s="312">
        <f t="shared" si="58"/>
        <v>1800</v>
      </c>
      <c r="W73" s="312">
        <f t="shared" si="58"/>
        <v>1800</v>
      </c>
      <c r="X73" s="312">
        <f t="shared" si="58"/>
        <v>1800</v>
      </c>
      <c r="Y73" s="312">
        <f t="shared" si="58"/>
        <v>1800</v>
      </c>
      <c r="Z73" s="312">
        <f t="shared" si="58"/>
        <v>1800</v>
      </c>
      <c r="AA73" s="312">
        <f t="shared" si="58"/>
        <v>1800</v>
      </c>
      <c r="AB73" s="312">
        <f t="shared" si="58"/>
        <v>1800</v>
      </c>
      <c r="AC73" s="312">
        <f t="shared" si="58"/>
        <v>1800</v>
      </c>
      <c r="AD73" s="312">
        <f t="shared" si="58"/>
        <v>1800</v>
      </c>
      <c r="AE73" s="312">
        <f t="shared" si="58"/>
        <v>1800</v>
      </c>
      <c r="AF73" s="305">
        <f>+SUM(T73:AE73)</f>
        <v>21600</v>
      </c>
      <c r="AH73" s="312">
        <f t="shared" ref="AH73:AS82" si="59">+ROUND(IF(E73&gt;15000,(15000*13%),(E73*13%)),0)</f>
        <v>1950</v>
      </c>
      <c r="AI73" s="312">
        <f t="shared" si="59"/>
        <v>1950</v>
      </c>
      <c r="AJ73" s="312">
        <f t="shared" si="59"/>
        <v>1950</v>
      </c>
      <c r="AK73" s="312">
        <f t="shared" si="59"/>
        <v>1950</v>
      </c>
      <c r="AL73" s="312">
        <f t="shared" si="59"/>
        <v>1950</v>
      </c>
      <c r="AM73" s="312">
        <f t="shared" si="59"/>
        <v>1950</v>
      </c>
      <c r="AN73" s="312">
        <f t="shared" si="59"/>
        <v>1950</v>
      </c>
      <c r="AO73" s="312">
        <f t="shared" si="59"/>
        <v>1950</v>
      </c>
      <c r="AP73" s="312">
        <f t="shared" si="59"/>
        <v>1950</v>
      </c>
      <c r="AQ73" s="312">
        <f t="shared" si="59"/>
        <v>1950</v>
      </c>
      <c r="AR73" s="312">
        <f t="shared" si="59"/>
        <v>1950</v>
      </c>
      <c r="AS73" s="312">
        <f t="shared" si="59"/>
        <v>1950</v>
      </c>
      <c r="AT73" s="305">
        <f t="shared" ref="AT73:AT82" si="60">+SUM(AH73:AS73)</f>
        <v>23400</v>
      </c>
      <c r="AV73" s="312">
        <f t="shared" ref="AV73:BG82" si="61">+ROUND(IF(E73&lt;21001,(E73*0.75%),0),0)</f>
        <v>0</v>
      </c>
      <c r="AW73" s="312">
        <f t="shared" si="61"/>
        <v>0</v>
      </c>
      <c r="AX73" s="312">
        <f t="shared" si="61"/>
        <v>0</v>
      </c>
      <c r="AY73" s="312">
        <f t="shared" si="61"/>
        <v>0</v>
      </c>
      <c r="AZ73" s="312">
        <f t="shared" si="61"/>
        <v>0</v>
      </c>
      <c r="BA73" s="312">
        <f t="shared" si="61"/>
        <v>0</v>
      </c>
      <c r="BB73" s="312">
        <f t="shared" si="61"/>
        <v>0</v>
      </c>
      <c r="BC73" s="312">
        <f t="shared" si="61"/>
        <v>0</v>
      </c>
      <c r="BD73" s="312">
        <f t="shared" si="61"/>
        <v>0</v>
      </c>
      <c r="BE73" s="312">
        <f t="shared" si="61"/>
        <v>0</v>
      </c>
      <c r="BF73" s="312">
        <f t="shared" si="61"/>
        <v>0</v>
      </c>
      <c r="BG73" s="312">
        <f t="shared" si="61"/>
        <v>0</v>
      </c>
      <c r="BH73" s="305">
        <f t="shared" ref="BH73:BH82" si="62">+SUM(AV73:BG73)</f>
        <v>0</v>
      </c>
      <c r="BJ73" s="312">
        <f t="shared" ref="BJ73:BU82" si="63">+ROUND(IF(E73&lt;21001,(E73*3.25%),0),0)</f>
        <v>0</v>
      </c>
      <c r="BK73" s="312">
        <f t="shared" si="63"/>
        <v>0</v>
      </c>
      <c r="BL73" s="312">
        <f t="shared" si="63"/>
        <v>0</v>
      </c>
      <c r="BM73" s="312">
        <f t="shared" si="63"/>
        <v>0</v>
      </c>
      <c r="BN73" s="312">
        <f t="shared" si="63"/>
        <v>0</v>
      </c>
      <c r="BO73" s="312">
        <f t="shared" si="63"/>
        <v>0</v>
      </c>
      <c r="BP73" s="312">
        <f t="shared" si="63"/>
        <v>0</v>
      </c>
      <c r="BQ73" s="312">
        <f t="shared" si="63"/>
        <v>0</v>
      </c>
      <c r="BR73" s="312">
        <f t="shared" si="63"/>
        <v>0</v>
      </c>
      <c r="BS73" s="312">
        <f t="shared" si="63"/>
        <v>0</v>
      </c>
      <c r="BT73" s="312">
        <f t="shared" si="63"/>
        <v>0</v>
      </c>
      <c r="BU73" s="312">
        <f t="shared" si="63"/>
        <v>0</v>
      </c>
      <c r="BV73" s="300">
        <f>+SUM(BJ73:BU73)</f>
        <v>0</v>
      </c>
      <c r="BX73" s="312">
        <f t="shared" ref="BX73:CG82" si="64">+IF(E73&lt;=0,0,IF(E73&gt;10000,200,175))</f>
        <v>200</v>
      </c>
      <c r="BY73" s="312">
        <f t="shared" si="64"/>
        <v>200</v>
      </c>
      <c r="BZ73" s="312">
        <f t="shared" si="64"/>
        <v>200</v>
      </c>
      <c r="CA73" s="312">
        <f t="shared" si="64"/>
        <v>200</v>
      </c>
      <c r="CB73" s="312">
        <f t="shared" si="64"/>
        <v>200</v>
      </c>
      <c r="CC73" s="312">
        <f t="shared" si="64"/>
        <v>200</v>
      </c>
      <c r="CD73" s="312">
        <f t="shared" si="64"/>
        <v>200</v>
      </c>
      <c r="CE73" s="312">
        <f t="shared" si="64"/>
        <v>200</v>
      </c>
      <c r="CF73" s="312">
        <f t="shared" si="64"/>
        <v>200</v>
      </c>
      <c r="CG73" s="312">
        <f t="shared" si="64"/>
        <v>200</v>
      </c>
      <c r="CH73" s="312">
        <f t="shared" ref="CH73:CH82" si="65">+IF(O73&lt;=0,0,IF(O73&gt;10000,300,175))</f>
        <v>300</v>
      </c>
      <c r="CI73" s="312">
        <f t="shared" ref="CI73:CI82" si="66">+IF(P73&lt;=0,0,IF(P73&gt;10000,200,175))</f>
        <v>200</v>
      </c>
      <c r="CJ73" s="312">
        <f t="shared" ref="CJ73:CJ82" si="67">SUM(BX73:CI73)</f>
        <v>2500</v>
      </c>
    </row>
    <row r="74" spans="2:88" ht="20.100000000000001" customHeight="1">
      <c r="B74" s="314">
        <v>2</v>
      </c>
      <c r="C74" s="315" t="s">
        <v>1781</v>
      </c>
      <c r="D74" s="316" t="s">
        <v>1782</v>
      </c>
      <c r="E74" s="317">
        <v>34700</v>
      </c>
      <c r="F74" s="317">
        <v>34700</v>
      </c>
      <c r="G74" s="317">
        <v>34700</v>
      </c>
      <c r="H74" s="317">
        <v>34700</v>
      </c>
      <c r="I74" s="317">
        <v>34700</v>
      </c>
      <c r="J74" s="317">
        <v>34700</v>
      </c>
      <c r="K74" s="317">
        <v>34700</v>
      </c>
      <c r="L74" s="317">
        <v>34700</v>
      </c>
      <c r="M74" s="317">
        <v>34700</v>
      </c>
      <c r="N74" s="317">
        <v>34700</v>
      </c>
      <c r="O74" s="317">
        <v>34700</v>
      </c>
      <c r="P74" s="317">
        <v>34700</v>
      </c>
      <c r="Q74" s="318">
        <f t="shared" si="56"/>
        <v>416400</v>
      </c>
      <c r="R74" s="318">
        <f t="shared" si="57"/>
        <v>34686</v>
      </c>
      <c r="T74" s="312">
        <f t="shared" ref="T74:T82" si="68">+ROUND(IF(E74&gt;15000,(15000*0.12),(E74*0.12)),0)</f>
        <v>1800</v>
      </c>
      <c r="U74" s="312">
        <f t="shared" si="58"/>
        <v>1800</v>
      </c>
      <c r="V74" s="312">
        <f t="shared" si="58"/>
        <v>1800</v>
      </c>
      <c r="W74" s="312">
        <f t="shared" si="58"/>
        <v>1800</v>
      </c>
      <c r="X74" s="312">
        <f t="shared" si="58"/>
        <v>1800</v>
      </c>
      <c r="Y74" s="312">
        <f t="shared" si="58"/>
        <v>1800</v>
      </c>
      <c r="Z74" s="312">
        <f t="shared" si="58"/>
        <v>1800</v>
      </c>
      <c r="AA74" s="312">
        <f t="shared" si="58"/>
        <v>1800</v>
      </c>
      <c r="AB74" s="312">
        <f t="shared" si="58"/>
        <v>1800</v>
      </c>
      <c r="AC74" s="312">
        <f t="shared" si="58"/>
        <v>1800</v>
      </c>
      <c r="AD74" s="312">
        <f t="shared" si="58"/>
        <v>1800</v>
      </c>
      <c r="AE74" s="312">
        <f t="shared" si="58"/>
        <v>1800</v>
      </c>
      <c r="AF74" s="305">
        <f t="shared" ref="AF74:AF82" si="69">+SUM(T74:AE74)</f>
        <v>21600</v>
      </c>
      <c r="AH74" s="312">
        <f t="shared" si="59"/>
        <v>1950</v>
      </c>
      <c r="AI74" s="312">
        <f t="shared" si="59"/>
        <v>1950</v>
      </c>
      <c r="AJ74" s="312">
        <f t="shared" si="59"/>
        <v>1950</v>
      </c>
      <c r="AK74" s="312">
        <f t="shared" si="59"/>
        <v>1950</v>
      </c>
      <c r="AL74" s="312">
        <f t="shared" si="59"/>
        <v>1950</v>
      </c>
      <c r="AM74" s="312">
        <f t="shared" si="59"/>
        <v>1950</v>
      </c>
      <c r="AN74" s="312">
        <f t="shared" si="59"/>
        <v>1950</v>
      </c>
      <c r="AO74" s="312">
        <f t="shared" si="59"/>
        <v>1950</v>
      </c>
      <c r="AP74" s="312">
        <f t="shared" si="59"/>
        <v>1950</v>
      </c>
      <c r="AQ74" s="312">
        <f t="shared" si="59"/>
        <v>1950</v>
      </c>
      <c r="AR74" s="312">
        <f t="shared" si="59"/>
        <v>1950</v>
      </c>
      <c r="AS74" s="312">
        <f t="shared" si="59"/>
        <v>1950</v>
      </c>
      <c r="AT74" s="305">
        <f t="shared" si="60"/>
        <v>23400</v>
      </c>
      <c r="AV74" s="312">
        <f t="shared" si="61"/>
        <v>0</v>
      </c>
      <c r="AW74" s="312">
        <f t="shared" si="61"/>
        <v>0</v>
      </c>
      <c r="AX74" s="312">
        <f t="shared" si="61"/>
        <v>0</v>
      </c>
      <c r="AY74" s="312">
        <f t="shared" si="61"/>
        <v>0</v>
      </c>
      <c r="AZ74" s="312">
        <f t="shared" si="61"/>
        <v>0</v>
      </c>
      <c r="BA74" s="312">
        <f t="shared" si="61"/>
        <v>0</v>
      </c>
      <c r="BB74" s="312">
        <f t="shared" si="61"/>
        <v>0</v>
      </c>
      <c r="BC74" s="312">
        <f t="shared" si="61"/>
        <v>0</v>
      </c>
      <c r="BD74" s="312">
        <f t="shared" si="61"/>
        <v>0</v>
      </c>
      <c r="BE74" s="312">
        <f t="shared" si="61"/>
        <v>0</v>
      </c>
      <c r="BF74" s="312">
        <f t="shared" si="61"/>
        <v>0</v>
      </c>
      <c r="BG74" s="312">
        <f t="shared" si="61"/>
        <v>0</v>
      </c>
      <c r="BH74" s="305">
        <f t="shared" si="62"/>
        <v>0</v>
      </c>
      <c r="BJ74" s="312">
        <f t="shared" si="63"/>
        <v>0</v>
      </c>
      <c r="BK74" s="312">
        <f t="shared" si="63"/>
        <v>0</v>
      </c>
      <c r="BL74" s="312">
        <f t="shared" si="63"/>
        <v>0</v>
      </c>
      <c r="BM74" s="312">
        <f t="shared" si="63"/>
        <v>0</v>
      </c>
      <c r="BN74" s="312">
        <f t="shared" si="63"/>
        <v>0</v>
      </c>
      <c r="BO74" s="312">
        <f t="shared" si="63"/>
        <v>0</v>
      </c>
      <c r="BP74" s="312">
        <f t="shared" si="63"/>
        <v>0</v>
      </c>
      <c r="BQ74" s="312">
        <f t="shared" si="63"/>
        <v>0</v>
      </c>
      <c r="BR74" s="312">
        <f t="shared" si="63"/>
        <v>0</v>
      </c>
      <c r="BS74" s="312">
        <f t="shared" si="63"/>
        <v>0</v>
      </c>
      <c r="BT74" s="312">
        <f t="shared" si="63"/>
        <v>0</v>
      </c>
      <c r="BU74" s="312">
        <f t="shared" si="63"/>
        <v>0</v>
      </c>
      <c r="BV74" s="300">
        <f t="shared" ref="BV74:BV82" si="70">+SUM(BJ74:BU74)</f>
        <v>0</v>
      </c>
      <c r="BX74" s="312">
        <f t="shared" si="64"/>
        <v>200</v>
      </c>
      <c r="BY74" s="312">
        <f t="shared" si="64"/>
        <v>200</v>
      </c>
      <c r="BZ74" s="312">
        <f t="shared" si="64"/>
        <v>200</v>
      </c>
      <c r="CA74" s="312">
        <f t="shared" si="64"/>
        <v>200</v>
      </c>
      <c r="CB74" s="312">
        <f t="shared" si="64"/>
        <v>200</v>
      </c>
      <c r="CC74" s="312">
        <f t="shared" si="64"/>
        <v>200</v>
      </c>
      <c r="CD74" s="312">
        <f t="shared" si="64"/>
        <v>200</v>
      </c>
      <c r="CE74" s="312">
        <f t="shared" si="64"/>
        <v>200</v>
      </c>
      <c r="CF74" s="312">
        <f t="shared" si="64"/>
        <v>200</v>
      </c>
      <c r="CG74" s="312">
        <f t="shared" si="64"/>
        <v>200</v>
      </c>
      <c r="CH74" s="312">
        <f t="shared" si="65"/>
        <v>300</v>
      </c>
      <c r="CI74" s="312">
        <f t="shared" si="66"/>
        <v>200</v>
      </c>
      <c r="CJ74" s="312">
        <f t="shared" si="67"/>
        <v>2500</v>
      </c>
    </row>
    <row r="75" spans="2:88" ht="20.100000000000001" customHeight="1">
      <c r="B75" s="314">
        <v>3</v>
      </c>
      <c r="C75" s="315" t="s">
        <v>1727</v>
      </c>
      <c r="D75" s="316" t="s">
        <v>1783</v>
      </c>
      <c r="E75" s="317">
        <v>26300</v>
      </c>
      <c r="F75" s="317">
        <v>26300</v>
      </c>
      <c r="G75" s="317">
        <v>26300</v>
      </c>
      <c r="H75" s="317">
        <v>26300</v>
      </c>
      <c r="I75" s="317">
        <v>26300</v>
      </c>
      <c r="J75" s="317">
        <v>26300</v>
      </c>
      <c r="K75" s="317">
        <v>26300</v>
      </c>
      <c r="L75" s="317">
        <v>26300</v>
      </c>
      <c r="M75" s="317">
        <v>26300</v>
      </c>
      <c r="N75" s="317">
        <v>26300</v>
      </c>
      <c r="O75" s="317">
        <v>26300</v>
      </c>
      <c r="P75" s="317">
        <v>26300</v>
      </c>
      <c r="Q75" s="318">
        <f t="shared" si="56"/>
        <v>315600</v>
      </c>
      <c r="R75" s="318">
        <f t="shared" si="57"/>
        <v>26289</v>
      </c>
      <c r="T75" s="312">
        <f t="shared" si="68"/>
        <v>1800</v>
      </c>
      <c r="U75" s="312">
        <f t="shared" si="58"/>
        <v>1800</v>
      </c>
      <c r="V75" s="312">
        <f t="shared" si="58"/>
        <v>1800</v>
      </c>
      <c r="W75" s="312">
        <f t="shared" si="58"/>
        <v>1800</v>
      </c>
      <c r="X75" s="312">
        <f t="shared" si="58"/>
        <v>1800</v>
      </c>
      <c r="Y75" s="312">
        <f t="shared" si="58"/>
        <v>1800</v>
      </c>
      <c r="Z75" s="312">
        <f t="shared" si="58"/>
        <v>1800</v>
      </c>
      <c r="AA75" s="312">
        <f t="shared" si="58"/>
        <v>1800</v>
      </c>
      <c r="AB75" s="312">
        <f t="shared" si="58"/>
        <v>1800</v>
      </c>
      <c r="AC75" s="312">
        <f t="shared" si="58"/>
        <v>1800</v>
      </c>
      <c r="AD75" s="312">
        <f t="shared" si="58"/>
        <v>1800</v>
      </c>
      <c r="AE75" s="312">
        <f t="shared" si="58"/>
        <v>1800</v>
      </c>
      <c r="AF75" s="305">
        <f t="shared" si="69"/>
        <v>21600</v>
      </c>
      <c r="AH75" s="312">
        <f t="shared" si="59"/>
        <v>1950</v>
      </c>
      <c r="AI75" s="312">
        <f t="shared" si="59"/>
        <v>1950</v>
      </c>
      <c r="AJ75" s="312">
        <f t="shared" si="59"/>
        <v>1950</v>
      </c>
      <c r="AK75" s="312">
        <f t="shared" si="59"/>
        <v>1950</v>
      </c>
      <c r="AL75" s="312">
        <f t="shared" si="59"/>
        <v>1950</v>
      </c>
      <c r="AM75" s="312">
        <f t="shared" si="59"/>
        <v>1950</v>
      </c>
      <c r="AN75" s="312">
        <f t="shared" si="59"/>
        <v>1950</v>
      </c>
      <c r="AO75" s="312">
        <f t="shared" si="59"/>
        <v>1950</v>
      </c>
      <c r="AP75" s="312">
        <f t="shared" si="59"/>
        <v>1950</v>
      </c>
      <c r="AQ75" s="312">
        <f t="shared" si="59"/>
        <v>1950</v>
      </c>
      <c r="AR75" s="312">
        <f t="shared" si="59"/>
        <v>1950</v>
      </c>
      <c r="AS75" s="312">
        <f t="shared" si="59"/>
        <v>1950</v>
      </c>
      <c r="AT75" s="305">
        <f t="shared" si="60"/>
        <v>23400</v>
      </c>
      <c r="AV75" s="312">
        <f t="shared" si="61"/>
        <v>0</v>
      </c>
      <c r="AW75" s="312">
        <f t="shared" si="61"/>
        <v>0</v>
      </c>
      <c r="AX75" s="312">
        <f t="shared" si="61"/>
        <v>0</v>
      </c>
      <c r="AY75" s="312">
        <f t="shared" si="61"/>
        <v>0</v>
      </c>
      <c r="AZ75" s="312">
        <f t="shared" si="61"/>
        <v>0</v>
      </c>
      <c r="BA75" s="312">
        <f t="shared" si="61"/>
        <v>0</v>
      </c>
      <c r="BB75" s="312">
        <f t="shared" si="61"/>
        <v>0</v>
      </c>
      <c r="BC75" s="312">
        <f t="shared" si="61"/>
        <v>0</v>
      </c>
      <c r="BD75" s="312">
        <f t="shared" si="61"/>
        <v>0</v>
      </c>
      <c r="BE75" s="312">
        <f t="shared" si="61"/>
        <v>0</v>
      </c>
      <c r="BF75" s="312">
        <f t="shared" si="61"/>
        <v>0</v>
      </c>
      <c r="BG75" s="312">
        <f t="shared" si="61"/>
        <v>0</v>
      </c>
      <c r="BH75" s="305">
        <f t="shared" si="62"/>
        <v>0</v>
      </c>
      <c r="BJ75" s="312">
        <f t="shared" si="63"/>
        <v>0</v>
      </c>
      <c r="BK75" s="312">
        <f t="shared" si="63"/>
        <v>0</v>
      </c>
      <c r="BL75" s="312">
        <f t="shared" si="63"/>
        <v>0</v>
      </c>
      <c r="BM75" s="312">
        <f t="shared" si="63"/>
        <v>0</v>
      </c>
      <c r="BN75" s="312">
        <f t="shared" si="63"/>
        <v>0</v>
      </c>
      <c r="BO75" s="312">
        <f t="shared" si="63"/>
        <v>0</v>
      </c>
      <c r="BP75" s="312">
        <f t="shared" si="63"/>
        <v>0</v>
      </c>
      <c r="BQ75" s="312">
        <f t="shared" si="63"/>
        <v>0</v>
      </c>
      <c r="BR75" s="312">
        <f t="shared" si="63"/>
        <v>0</v>
      </c>
      <c r="BS75" s="312">
        <f t="shared" si="63"/>
        <v>0</v>
      </c>
      <c r="BT75" s="312">
        <f t="shared" si="63"/>
        <v>0</v>
      </c>
      <c r="BU75" s="312">
        <f t="shared" si="63"/>
        <v>0</v>
      </c>
      <c r="BV75" s="300">
        <f t="shared" si="70"/>
        <v>0</v>
      </c>
      <c r="BX75" s="312">
        <f t="shared" si="64"/>
        <v>200</v>
      </c>
      <c r="BY75" s="312">
        <f t="shared" si="64"/>
        <v>200</v>
      </c>
      <c r="BZ75" s="312">
        <f t="shared" si="64"/>
        <v>200</v>
      </c>
      <c r="CA75" s="312">
        <f t="shared" si="64"/>
        <v>200</v>
      </c>
      <c r="CB75" s="312">
        <f t="shared" si="64"/>
        <v>200</v>
      </c>
      <c r="CC75" s="312">
        <f t="shared" si="64"/>
        <v>200</v>
      </c>
      <c r="CD75" s="312">
        <f t="shared" si="64"/>
        <v>200</v>
      </c>
      <c r="CE75" s="312">
        <f t="shared" si="64"/>
        <v>200</v>
      </c>
      <c r="CF75" s="312">
        <f t="shared" si="64"/>
        <v>200</v>
      </c>
      <c r="CG75" s="312">
        <f t="shared" si="64"/>
        <v>200</v>
      </c>
      <c r="CH75" s="312">
        <f t="shared" si="65"/>
        <v>300</v>
      </c>
      <c r="CI75" s="312">
        <f t="shared" si="66"/>
        <v>200</v>
      </c>
      <c r="CJ75" s="312">
        <f t="shared" si="67"/>
        <v>2500</v>
      </c>
    </row>
    <row r="76" spans="2:88" ht="20.100000000000001" customHeight="1">
      <c r="B76" s="319">
        <v>4</v>
      </c>
      <c r="C76" s="315" t="s">
        <v>1727</v>
      </c>
      <c r="D76" s="316" t="s">
        <v>1784</v>
      </c>
      <c r="E76" s="317">
        <v>25600</v>
      </c>
      <c r="F76" s="317">
        <v>25600</v>
      </c>
      <c r="G76" s="317">
        <v>25600</v>
      </c>
      <c r="H76" s="317">
        <v>25600</v>
      </c>
      <c r="I76" s="317">
        <v>25600</v>
      </c>
      <c r="J76" s="317">
        <v>25600</v>
      </c>
      <c r="K76" s="317">
        <v>25600</v>
      </c>
      <c r="L76" s="317">
        <v>25600</v>
      </c>
      <c r="M76" s="317">
        <v>25600</v>
      </c>
      <c r="N76" s="317">
        <v>25600</v>
      </c>
      <c r="O76" s="317">
        <v>25600</v>
      </c>
      <c r="P76" s="317">
        <v>25600</v>
      </c>
      <c r="Q76" s="318">
        <f t="shared" si="56"/>
        <v>307200</v>
      </c>
      <c r="R76" s="318">
        <f t="shared" si="57"/>
        <v>25590</v>
      </c>
      <c r="T76" s="312">
        <f t="shared" si="68"/>
        <v>1800</v>
      </c>
      <c r="U76" s="312">
        <f t="shared" si="58"/>
        <v>1800</v>
      </c>
      <c r="V76" s="312">
        <f t="shared" si="58"/>
        <v>1800</v>
      </c>
      <c r="W76" s="312">
        <f t="shared" si="58"/>
        <v>1800</v>
      </c>
      <c r="X76" s="312">
        <f t="shared" si="58"/>
        <v>1800</v>
      </c>
      <c r="Y76" s="312">
        <f t="shared" si="58"/>
        <v>1800</v>
      </c>
      <c r="Z76" s="312">
        <f t="shared" si="58"/>
        <v>1800</v>
      </c>
      <c r="AA76" s="312">
        <f t="shared" si="58"/>
        <v>1800</v>
      </c>
      <c r="AB76" s="312">
        <f t="shared" si="58"/>
        <v>1800</v>
      </c>
      <c r="AC76" s="312">
        <f t="shared" si="58"/>
        <v>1800</v>
      </c>
      <c r="AD76" s="312">
        <f t="shared" si="58"/>
        <v>1800</v>
      </c>
      <c r="AE76" s="312">
        <f t="shared" si="58"/>
        <v>1800</v>
      </c>
      <c r="AF76" s="305">
        <f t="shared" si="69"/>
        <v>21600</v>
      </c>
      <c r="AH76" s="312">
        <f t="shared" si="59"/>
        <v>1950</v>
      </c>
      <c r="AI76" s="312">
        <f t="shared" si="59"/>
        <v>1950</v>
      </c>
      <c r="AJ76" s="312">
        <f t="shared" si="59"/>
        <v>1950</v>
      </c>
      <c r="AK76" s="312">
        <f t="shared" si="59"/>
        <v>1950</v>
      </c>
      <c r="AL76" s="312">
        <f t="shared" si="59"/>
        <v>1950</v>
      </c>
      <c r="AM76" s="312">
        <f t="shared" si="59"/>
        <v>1950</v>
      </c>
      <c r="AN76" s="312">
        <f t="shared" si="59"/>
        <v>1950</v>
      </c>
      <c r="AO76" s="312">
        <f t="shared" si="59"/>
        <v>1950</v>
      </c>
      <c r="AP76" s="312">
        <f t="shared" si="59"/>
        <v>1950</v>
      </c>
      <c r="AQ76" s="312">
        <f t="shared" si="59"/>
        <v>1950</v>
      </c>
      <c r="AR76" s="312">
        <f t="shared" si="59"/>
        <v>1950</v>
      </c>
      <c r="AS76" s="312">
        <f t="shared" si="59"/>
        <v>1950</v>
      </c>
      <c r="AT76" s="305">
        <f t="shared" si="60"/>
        <v>23400</v>
      </c>
      <c r="AV76" s="312">
        <f t="shared" si="61"/>
        <v>0</v>
      </c>
      <c r="AW76" s="312">
        <f t="shared" si="61"/>
        <v>0</v>
      </c>
      <c r="AX76" s="312">
        <f t="shared" si="61"/>
        <v>0</v>
      </c>
      <c r="AY76" s="312">
        <f t="shared" si="61"/>
        <v>0</v>
      </c>
      <c r="AZ76" s="312">
        <f t="shared" si="61"/>
        <v>0</v>
      </c>
      <c r="BA76" s="312">
        <f t="shared" si="61"/>
        <v>0</v>
      </c>
      <c r="BB76" s="312">
        <f t="shared" si="61"/>
        <v>0</v>
      </c>
      <c r="BC76" s="312">
        <f t="shared" si="61"/>
        <v>0</v>
      </c>
      <c r="BD76" s="312">
        <f t="shared" si="61"/>
        <v>0</v>
      </c>
      <c r="BE76" s="312">
        <f t="shared" si="61"/>
        <v>0</v>
      </c>
      <c r="BF76" s="312">
        <f t="shared" si="61"/>
        <v>0</v>
      </c>
      <c r="BG76" s="312">
        <f t="shared" si="61"/>
        <v>0</v>
      </c>
      <c r="BH76" s="305">
        <f t="shared" si="62"/>
        <v>0</v>
      </c>
      <c r="BJ76" s="312">
        <f t="shared" si="63"/>
        <v>0</v>
      </c>
      <c r="BK76" s="312">
        <f t="shared" si="63"/>
        <v>0</v>
      </c>
      <c r="BL76" s="312">
        <f t="shared" si="63"/>
        <v>0</v>
      </c>
      <c r="BM76" s="312">
        <f t="shared" si="63"/>
        <v>0</v>
      </c>
      <c r="BN76" s="312">
        <f t="shared" si="63"/>
        <v>0</v>
      </c>
      <c r="BO76" s="312">
        <f t="shared" si="63"/>
        <v>0</v>
      </c>
      <c r="BP76" s="312">
        <f t="shared" si="63"/>
        <v>0</v>
      </c>
      <c r="BQ76" s="312">
        <f t="shared" si="63"/>
        <v>0</v>
      </c>
      <c r="BR76" s="312">
        <f t="shared" si="63"/>
        <v>0</v>
      </c>
      <c r="BS76" s="312">
        <f t="shared" si="63"/>
        <v>0</v>
      </c>
      <c r="BT76" s="312">
        <f t="shared" si="63"/>
        <v>0</v>
      </c>
      <c r="BU76" s="312">
        <f t="shared" si="63"/>
        <v>0</v>
      </c>
      <c r="BV76" s="300">
        <f t="shared" si="70"/>
        <v>0</v>
      </c>
      <c r="BX76" s="312">
        <f t="shared" si="64"/>
        <v>200</v>
      </c>
      <c r="BY76" s="312">
        <f t="shared" si="64"/>
        <v>200</v>
      </c>
      <c r="BZ76" s="312">
        <f t="shared" si="64"/>
        <v>200</v>
      </c>
      <c r="CA76" s="312">
        <f t="shared" si="64"/>
        <v>200</v>
      </c>
      <c r="CB76" s="312">
        <f t="shared" si="64"/>
        <v>200</v>
      </c>
      <c r="CC76" s="312">
        <f t="shared" si="64"/>
        <v>200</v>
      </c>
      <c r="CD76" s="312">
        <f t="shared" si="64"/>
        <v>200</v>
      </c>
      <c r="CE76" s="312">
        <f t="shared" si="64"/>
        <v>200</v>
      </c>
      <c r="CF76" s="312">
        <f t="shared" si="64"/>
        <v>200</v>
      </c>
      <c r="CG76" s="312">
        <f t="shared" si="64"/>
        <v>200</v>
      </c>
      <c r="CH76" s="312">
        <f t="shared" si="65"/>
        <v>300</v>
      </c>
      <c r="CI76" s="312">
        <f t="shared" si="66"/>
        <v>200</v>
      </c>
      <c r="CJ76" s="312">
        <f t="shared" si="67"/>
        <v>2500</v>
      </c>
    </row>
    <row r="77" spans="2:88" ht="20.100000000000001" customHeight="1">
      <c r="B77" s="319">
        <v>5</v>
      </c>
      <c r="C77" s="315" t="s">
        <v>1727</v>
      </c>
      <c r="D77" s="316" t="s">
        <v>351</v>
      </c>
      <c r="E77" s="317">
        <v>20000</v>
      </c>
      <c r="F77" s="317">
        <v>20000</v>
      </c>
      <c r="G77" s="317">
        <v>20000</v>
      </c>
      <c r="H77" s="317">
        <v>20000</v>
      </c>
      <c r="I77" s="317">
        <v>20000</v>
      </c>
      <c r="J77" s="317">
        <v>20000</v>
      </c>
      <c r="K77" s="317">
        <v>20000</v>
      </c>
      <c r="L77" s="317">
        <v>20000</v>
      </c>
      <c r="M77" s="317">
        <v>20000</v>
      </c>
      <c r="N77" s="317">
        <v>20000</v>
      </c>
      <c r="O77" s="317">
        <v>20000</v>
      </c>
      <c r="P77" s="317">
        <v>20000</v>
      </c>
      <c r="Q77" s="318">
        <f t="shared" si="56"/>
        <v>240000</v>
      </c>
      <c r="R77" s="318">
        <f t="shared" si="57"/>
        <v>19992</v>
      </c>
      <c r="T77" s="312">
        <f t="shared" si="68"/>
        <v>1800</v>
      </c>
      <c r="U77" s="312">
        <f t="shared" si="58"/>
        <v>1800</v>
      </c>
      <c r="V77" s="312">
        <f t="shared" si="58"/>
        <v>1800</v>
      </c>
      <c r="W77" s="312">
        <f t="shared" si="58"/>
        <v>1800</v>
      </c>
      <c r="X77" s="312">
        <f t="shared" si="58"/>
        <v>1800</v>
      </c>
      <c r="Y77" s="312">
        <f t="shared" si="58"/>
        <v>1800</v>
      </c>
      <c r="Z77" s="312">
        <f t="shared" si="58"/>
        <v>1800</v>
      </c>
      <c r="AA77" s="312">
        <f t="shared" si="58"/>
        <v>1800</v>
      </c>
      <c r="AB77" s="312">
        <f t="shared" si="58"/>
        <v>1800</v>
      </c>
      <c r="AC77" s="312">
        <f t="shared" si="58"/>
        <v>1800</v>
      </c>
      <c r="AD77" s="312">
        <f t="shared" si="58"/>
        <v>1800</v>
      </c>
      <c r="AE77" s="312">
        <f t="shared" si="58"/>
        <v>1800</v>
      </c>
      <c r="AF77" s="305">
        <f t="shared" si="69"/>
        <v>21600</v>
      </c>
      <c r="AH77" s="312">
        <f t="shared" si="59"/>
        <v>1950</v>
      </c>
      <c r="AI77" s="312">
        <f t="shared" si="59"/>
        <v>1950</v>
      </c>
      <c r="AJ77" s="312">
        <f t="shared" si="59"/>
        <v>1950</v>
      </c>
      <c r="AK77" s="312">
        <f t="shared" si="59"/>
        <v>1950</v>
      </c>
      <c r="AL77" s="312">
        <f t="shared" si="59"/>
        <v>1950</v>
      </c>
      <c r="AM77" s="312">
        <f t="shared" si="59"/>
        <v>1950</v>
      </c>
      <c r="AN77" s="312">
        <f t="shared" si="59"/>
        <v>1950</v>
      </c>
      <c r="AO77" s="312">
        <f t="shared" si="59"/>
        <v>1950</v>
      </c>
      <c r="AP77" s="312">
        <f t="shared" si="59"/>
        <v>1950</v>
      </c>
      <c r="AQ77" s="312">
        <f t="shared" si="59"/>
        <v>1950</v>
      </c>
      <c r="AR77" s="312">
        <f t="shared" si="59"/>
        <v>1950</v>
      </c>
      <c r="AS77" s="312">
        <f t="shared" si="59"/>
        <v>1950</v>
      </c>
      <c r="AT77" s="305">
        <f t="shared" si="60"/>
        <v>23400</v>
      </c>
      <c r="AV77" s="312">
        <f t="shared" si="61"/>
        <v>150</v>
      </c>
      <c r="AW77" s="312">
        <f t="shared" si="61"/>
        <v>150</v>
      </c>
      <c r="AX77" s="312">
        <f t="shared" si="61"/>
        <v>150</v>
      </c>
      <c r="AY77" s="312">
        <f t="shared" si="61"/>
        <v>150</v>
      </c>
      <c r="AZ77" s="312">
        <f t="shared" si="61"/>
        <v>150</v>
      </c>
      <c r="BA77" s="312">
        <f t="shared" si="61"/>
        <v>150</v>
      </c>
      <c r="BB77" s="312">
        <f t="shared" si="61"/>
        <v>150</v>
      </c>
      <c r="BC77" s="312">
        <f t="shared" si="61"/>
        <v>150</v>
      </c>
      <c r="BD77" s="312">
        <f t="shared" si="61"/>
        <v>150</v>
      </c>
      <c r="BE77" s="312">
        <f t="shared" si="61"/>
        <v>150</v>
      </c>
      <c r="BF77" s="312">
        <f t="shared" si="61"/>
        <v>150</v>
      </c>
      <c r="BG77" s="312">
        <f t="shared" si="61"/>
        <v>150</v>
      </c>
      <c r="BH77" s="305">
        <f t="shared" si="62"/>
        <v>1800</v>
      </c>
      <c r="BJ77" s="312">
        <f t="shared" si="63"/>
        <v>650</v>
      </c>
      <c r="BK77" s="312">
        <f t="shared" si="63"/>
        <v>650</v>
      </c>
      <c r="BL77" s="312">
        <f t="shared" si="63"/>
        <v>650</v>
      </c>
      <c r="BM77" s="312">
        <f t="shared" si="63"/>
        <v>650</v>
      </c>
      <c r="BN77" s="312">
        <f t="shared" si="63"/>
        <v>650</v>
      </c>
      <c r="BO77" s="312">
        <f t="shared" si="63"/>
        <v>650</v>
      </c>
      <c r="BP77" s="312">
        <f t="shared" si="63"/>
        <v>650</v>
      </c>
      <c r="BQ77" s="312">
        <f t="shared" si="63"/>
        <v>650</v>
      </c>
      <c r="BR77" s="312">
        <f t="shared" si="63"/>
        <v>650</v>
      </c>
      <c r="BS77" s="312">
        <f t="shared" si="63"/>
        <v>650</v>
      </c>
      <c r="BT77" s="312">
        <f t="shared" si="63"/>
        <v>650</v>
      </c>
      <c r="BU77" s="312">
        <f t="shared" si="63"/>
        <v>650</v>
      </c>
      <c r="BV77" s="300">
        <f t="shared" si="70"/>
        <v>7800</v>
      </c>
      <c r="BX77" s="312">
        <f t="shared" si="64"/>
        <v>200</v>
      </c>
      <c r="BY77" s="312">
        <f t="shared" si="64"/>
        <v>200</v>
      </c>
      <c r="BZ77" s="312">
        <f t="shared" si="64"/>
        <v>200</v>
      </c>
      <c r="CA77" s="312">
        <f t="shared" si="64"/>
        <v>200</v>
      </c>
      <c r="CB77" s="312">
        <f t="shared" si="64"/>
        <v>200</v>
      </c>
      <c r="CC77" s="312">
        <f t="shared" si="64"/>
        <v>200</v>
      </c>
      <c r="CD77" s="312">
        <f t="shared" si="64"/>
        <v>200</v>
      </c>
      <c r="CE77" s="312">
        <f t="shared" si="64"/>
        <v>200</v>
      </c>
      <c r="CF77" s="312">
        <f t="shared" si="64"/>
        <v>200</v>
      </c>
      <c r="CG77" s="312">
        <f t="shared" si="64"/>
        <v>200</v>
      </c>
      <c r="CH77" s="312">
        <f t="shared" si="65"/>
        <v>300</v>
      </c>
      <c r="CI77" s="312">
        <f t="shared" si="66"/>
        <v>200</v>
      </c>
      <c r="CJ77" s="312">
        <f t="shared" si="67"/>
        <v>2500</v>
      </c>
    </row>
    <row r="78" spans="2:88" ht="20.100000000000001" customHeight="1">
      <c r="B78" s="314">
        <v>6</v>
      </c>
      <c r="C78" s="315" t="s">
        <v>1727</v>
      </c>
      <c r="D78" s="316" t="s">
        <v>1785</v>
      </c>
      <c r="E78" s="317">
        <v>30200</v>
      </c>
      <c r="F78" s="317">
        <v>30200</v>
      </c>
      <c r="G78" s="317">
        <v>30200</v>
      </c>
      <c r="H78" s="317">
        <v>30200</v>
      </c>
      <c r="I78" s="317">
        <v>30200</v>
      </c>
      <c r="J78" s="317">
        <v>30200</v>
      </c>
      <c r="K78" s="317">
        <v>30200</v>
      </c>
      <c r="L78" s="317">
        <v>30200</v>
      </c>
      <c r="M78" s="317">
        <v>30200</v>
      </c>
      <c r="N78" s="317">
        <v>30200</v>
      </c>
      <c r="O78" s="317">
        <v>30200</v>
      </c>
      <c r="P78" s="317">
        <v>30200</v>
      </c>
      <c r="Q78" s="318">
        <f t="shared" si="56"/>
        <v>362400</v>
      </c>
      <c r="R78" s="318">
        <f t="shared" si="57"/>
        <v>30188</v>
      </c>
      <c r="T78" s="312">
        <f t="shared" si="68"/>
        <v>1800</v>
      </c>
      <c r="U78" s="312">
        <f t="shared" si="58"/>
        <v>1800</v>
      </c>
      <c r="V78" s="312">
        <f t="shared" si="58"/>
        <v>1800</v>
      </c>
      <c r="W78" s="312">
        <f t="shared" si="58"/>
        <v>1800</v>
      </c>
      <c r="X78" s="312">
        <f t="shared" si="58"/>
        <v>1800</v>
      </c>
      <c r="Y78" s="312">
        <f t="shared" si="58"/>
        <v>1800</v>
      </c>
      <c r="Z78" s="312">
        <f t="shared" si="58"/>
        <v>1800</v>
      </c>
      <c r="AA78" s="312">
        <f t="shared" si="58"/>
        <v>1800</v>
      </c>
      <c r="AB78" s="312">
        <f t="shared" si="58"/>
        <v>1800</v>
      </c>
      <c r="AC78" s="312">
        <f t="shared" si="58"/>
        <v>1800</v>
      </c>
      <c r="AD78" s="312">
        <f t="shared" si="58"/>
        <v>1800</v>
      </c>
      <c r="AE78" s="312">
        <f t="shared" si="58"/>
        <v>1800</v>
      </c>
      <c r="AF78" s="305">
        <f t="shared" si="69"/>
        <v>21600</v>
      </c>
      <c r="AH78" s="312">
        <f t="shared" si="59"/>
        <v>1950</v>
      </c>
      <c r="AI78" s="312">
        <f t="shared" si="59"/>
        <v>1950</v>
      </c>
      <c r="AJ78" s="312">
        <f t="shared" si="59"/>
        <v>1950</v>
      </c>
      <c r="AK78" s="312">
        <f t="shared" si="59"/>
        <v>1950</v>
      </c>
      <c r="AL78" s="312">
        <f t="shared" si="59"/>
        <v>1950</v>
      </c>
      <c r="AM78" s="312">
        <f t="shared" si="59"/>
        <v>1950</v>
      </c>
      <c r="AN78" s="312">
        <f t="shared" si="59"/>
        <v>1950</v>
      </c>
      <c r="AO78" s="312">
        <f t="shared" si="59"/>
        <v>1950</v>
      </c>
      <c r="AP78" s="312">
        <f t="shared" si="59"/>
        <v>1950</v>
      </c>
      <c r="AQ78" s="312">
        <f t="shared" si="59"/>
        <v>1950</v>
      </c>
      <c r="AR78" s="312">
        <f t="shared" si="59"/>
        <v>1950</v>
      </c>
      <c r="AS78" s="312">
        <f t="shared" si="59"/>
        <v>1950</v>
      </c>
      <c r="AT78" s="305">
        <f t="shared" si="60"/>
        <v>23400</v>
      </c>
      <c r="AV78" s="312">
        <f t="shared" si="61"/>
        <v>0</v>
      </c>
      <c r="AW78" s="312">
        <f t="shared" si="61"/>
        <v>0</v>
      </c>
      <c r="AX78" s="312">
        <f t="shared" si="61"/>
        <v>0</v>
      </c>
      <c r="AY78" s="312">
        <f t="shared" si="61"/>
        <v>0</v>
      </c>
      <c r="AZ78" s="312">
        <f t="shared" si="61"/>
        <v>0</v>
      </c>
      <c r="BA78" s="312">
        <f t="shared" si="61"/>
        <v>0</v>
      </c>
      <c r="BB78" s="312">
        <f t="shared" si="61"/>
        <v>0</v>
      </c>
      <c r="BC78" s="312">
        <f t="shared" si="61"/>
        <v>0</v>
      </c>
      <c r="BD78" s="312">
        <f t="shared" si="61"/>
        <v>0</v>
      </c>
      <c r="BE78" s="312">
        <f t="shared" si="61"/>
        <v>0</v>
      </c>
      <c r="BF78" s="312">
        <f t="shared" si="61"/>
        <v>0</v>
      </c>
      <c r="BG78" s="312">
        <f t="shared" si="61"/>
        <v>0</v>
      </c>
      <c r="BH78" s="305">
        <f t="shared" si="62"/>
        <v>0</v>
      </c>
      <c r="BJ78" s="312">
        <f t="shared" si="63"/>
        <v>0</v>
      </c>
      <c r="BK78" s="312">
        <f t="shared" si="63"/>
        <v>0</v>
      </c>
      <c r="BL78" s="312">
        <f t="shared" si="63"/>
        <v>0</v>
      </c>
      <c r="BM78" s="312">
        <f t="shared" si="63"/>
        <v>0</v>
      </c>
      <c r="BN78" s="312">
        <f t="shared" si="63"/>
        <v>0</v>
      </c>
      <c r="BO78" s="312">
        <f t="shared" si="63"/>
        <v>0</v>
      </c>
      <c r="BP78" s="312">
        <f t="shared" si="63"/>
        <v>0</v>
      </c>
      <c r="BQ78" s="312">
        <f t="shared" si="63"/>
        <v>0</v>
      </c>
      <c r="BR78" s="312">
        <f t="shared" si="63"/>
        <v>0</v>
      </c>
      <c r="BS78" s="312">
        <f t="shared" si="63"/>
        <v>0</v>
      </c>
      <c r="BT78" s="312">
        <f t="shared" si="63"/>
        <v>0</v>
      </c>
      <c r="BU78" s="312">
        <f t="shared" si="63"/>
        <v>0</v>
      </c>
      <c r="BV78" s="300">
        <f t="shared" si="70"/>
        <v>0</v>
      </c>
      <c r="BX78" s="312">
        <f t="shared" si="64"/>
        <v>200</v>
      </c>
      <c r="BY78" s="312">
        <f t="shared" si="64"/>
        <v>200</v>
      </c>
      <c r="BZ78" s="312">
        <f t="shared" si="64"/>
        <v>200</v>
      </c>
      <c r="CA78" s="312">
        <f t="shared" si="64"/>
        <v>200</v>
      </c>
      <c r="CB78" s="312">
        <f t="shared" si="64"/>
        <v>200</v>
      </c>
      <c r="CC78" s="312">
        <f t="shared" si="64"/>
        <v>200</v>
      </c>
      <c r="CD78" s="312">
        <f t="shared" si="64"/>
        <v>200</v>
      </c>
      <c r="CE78" s="312">
        <f t="shared" si="64"/>
        <v>200</v>
      </c>
      <c r="CF78" s="312">
        <f t="shared" si="64"/>
        <v>200</v>
      </c>
      <c r="CG78" s="312">
        <f t="shared" si="64"/>
        <v>200</v>
      </c>
      <c r="CH78" s="312">
        <f t="shared" si="65"/>
        <v>300</v>
      </c>
      <c r="CI78" s="312">
        <f t="shared" si="66"/>
        <v>200</v>
      </c>
      <c r="CJ78" s="312">
        <f t="shared" si="67"/>
        <v>2500</v>
      </c>
    </row>
    <row r="79" spans="2:88" ht="20.100000000000001" customHeight="1">
      <c r="B79" s="319">
        <v>7</v>
      </c>
      <c r="C79" s="315" t="s">
        <v>1727</v>
      </c>
      <c r="D79" s="316" t="s">
        <v>137</v>
      </c>
      <c r="E79" s="317">
        <v>16000</v>
      </c>
      <c r="F79" s="317">
        <v>16000</v>
      </c>
      <c r="G79" s="317">
        <v>16000</v>
      </c>
      <c r="H79" s="317">
        <v>16000</v>
      </c>
      <c r="I79" s="317">
        <v>16000</v>
      </c>
      <c r="J79" s="317">
        <v>16000</v>
      </c>
      <c r="K79" s="317">
        <v>16000</v>
      </c>
      <c r="L79" s="317">
        <v>16000</v>
      </c>
      <c r="M79" s="317">
        <v>16000</v>
      </c>
      <c r="N79" s="317">
        <v>16000</v>
      </c>
      <c r="O79" s="317">
        <v>16000</v>
      </c>
      <c r="P79" s="317">
        <v>16000</v>
      </c>
      <c r="Q79" s="318">
        <f t="shared" si="56"/>
        <v>192000</v>
      </c>
      <c r="R79" s="318">
        <f t="shared" si="57"/>
        <v>15994</v>
      </c>
      <c r="T79" s="312">
        <f t="shared" si="68"/>
        <v>1800</v>
      </c>
      <c r="U79" s="312">
        <f t="shared" si="58"/>
        <v>1800</v>
      </c>
      <c r="V79" s="312">
        <f t="shared" si="58"/>
        <v>1800</v>
      </c>
      <c r="W79" s="312">
        <f t="shared" si="58"/>
        <v>1800</v>
      </c>
      <c r="X79" s="312">
        <f t="shared" si="58"/>
        <v>1800</v>
      </c>
      <c r="Y79" s="312">
        <f t="shared" si="58"/>
        <v>1800</v>
      </c>
      <c r="Z79" s="312">
        <f t="shared" si="58"/>
        <v>1800</v>
      </c>
      <c r="AA79" s="312">
        <f t="shared" si="58"/>
        <v>1800</v>
      </c>
      <c r="AB79" s="312">
        <f t="shared" si="58"/>
        <v>1800</v>
      </c>
      <c r="AC79" s="312">
        <f t="shared" si="58"/>
        <v>1800</v>
      </c>
      <c r="AD79" s="312">
        <f t="shared" si="58"/>
        <v>1800</v>
      </c>
      <c r="AE79" s="312">
        <f t="shared" si="58"/>
        <v>1800</v>
      </c>
      <c r="AF79" s="305">
        <f t="shared" si="69"/>
        <v>21600</v>
      </c>
      <c r="AH79" s="312">
        <f t="shared" si="59"/>
        <v>1950</v>
      </c>
      <c r="AI79" s="312">
        <f t="shared" si="59"/>
        <v>1950</v>
      </c>
      <c r="AJ79" s="312">
        <f t="shared" si="59"/>
        <v>1950</v>
      </c>
      <c r="AK79" s="312">
        <f t="shared" si="59"/>
        <v>1950</v>
      </c>
      <c r="AL79" s="312">
        <f t="shared" si="59"/>
        <v>1950</v>
      </c>
      <c r="AM79" s="312">
        <f t="shared" si="59"/>
        <v>1950</v>
      </c>
      <c r="AN79" s="312">
        <f t="shared" si="59"/>
        <v>1950</v>
      </c>
      <c r="AO79" s="312">
        <f t="shared" si="59"/>
        <v>1950</v>
      </c>
      <c r="AP79" s="312">
        <f t="shared" si="59"/>
        <v>1950</v>
      </c>
      <c r="AQ79" s="312">
        <f t="shared" si="59"/>
        <v>1950</v>
      </c>
      <c r="AR79" s="312">
        <f t="shared" si="59"/>
        <v>1950</v>
      </c>
      <c r="AS79" s="312">
        <f t="shared" si="59"/>
        <v>1950</v>
      </c>
      <c r="AT79" s="305">
        <f t="shared" si="60"/>
        <v>23400</v>
      </c>
      <c r="AV79" s="312">
        <f t="shared" si="61"/>
        <v>120</v>
      </c>
      <c r="AW79" s="312">
        <f t="shared" si="61"/>
        <v>120</v>
      </c>
      <c r="AX79" s="312">
        <f t="shared" si="61"/>
        <v>120</v>
      </c>
      <c r="AY79" s="312">
        <f t="shared" si="61"/>
        <v>120</v>
      </c>
      <c r="AZ79" s="312">
        <f t="shared" si="61"/>
        <v>120</v>
      </c>
      <c r="BA79" s="312">
        <f t="shared" si="61"/>
        <v>120</v>
      </c>
      <c r="BB79" s="312">
        <f t="shared" si="61"/>
        <v>120</v>
      </c>
      <c r="BC79" s="312">
        <f t="shared" si="61"/>
        <v>120</v>
      </c>
      <c r="BD79" s="312">
        <f t="shared" si="61"/>
        <v>120</v>
      </c>
      <c r="BE79" s="312">
        <f t="shared" si="61"/>
        <v>120</v>
      </c>
      <c r="BF79" s="312">
        <f t="shared" si="61"/>
        <v>120</v>
      </c>
      <c r="BG79" s="312">
        <f t="shared" si="61"/>
        <v>120</v>
      </c>
      <c r="BH79" s="305">
        <f t="shared" si="62"/>
        <v>1440</v>
      </c>
      <c r="BJ79" s="312">
        <f t="shared" si="63"/>
        <v>520</v>
      </c>
      <c r="BK79" s="312">
        <f t="shared" si="63"/>
        <v>520</v>
      </c>
      <c r="BL79" s="312">
        <f t="shared" si="63"/>
        <v>520</v>
      </c>
      <c r="BM79" s="312">
        <f t="shared" si="63"/>
        <v>520</v>
      </c>
      <c r="BN79" s="312">
        <f t="shared" si="63"/>
        <v>520</v>
      </c>
      <c r="BO79" s="312">
        <f t="shared" si="63"/>
        <v>520</v>
      </c>
      <c r="BP79" s="312">
        <f t="shared" si="63"/>
        <v>520</v>
      </c>
      <c r="BQ79" s="312">
        <f t="shared" si="63"/>
        <v>520</v>
      </c>
      <c r="BR79" s="312">
        <f t="shared" si="63"/>
        <v>520</v>
      </c>
      <c r="BS79" s="312">
        <f t="shared" si="63"/>
        <v>520</v>
      </c>
      <c r="BT79" s="312">
        <f t="shared" si="63"/>
        <v>520</v>
      </c>
      <c r="BU79" s="312">
        <f t="shared" si="63"/>
        <v>520</v>
      </c>
      <c r="BV79" s="300">
        <f t="shared" si="70"/>
        <v>6240</v>
      </c>
      <c r="BX79" s="312">
        <f t="shared" si="64"/>
        <v>200</v>
      </c>
      <c r="BY79" s="312">
        <f t="shared" si="64"/>
        <v>200</v>
      </c>
      <c r="BZ79" s="312">
        <f t="shared" si="64"/>
        <v>200</v>
      </c>
      <c r="CA79" s="312">
        <f t="shared" si="64"/>
        <v>200</v>
      </c>
      <c r="CB79" s="312">
        <f t="shared" si="64"/>
        <v>200</v>
      </c>
      <c r="CC79" s="312">
        <f t="shared" si="64"/>
        <v>200</v>
      </c>
      <c r="CD79" s="312">
        <f t="shared" si="64"/>
        <v>200</v>
      </c>
      <c r="CE79" s="312">
        <f t="shared" si="64"/>
        <v>200</v>
      </c>
      <c r="CF79" s="312">
        <f t="shared" si="64"/>
        <v>200</v>
      </c>
      <c r="CG79" s="312">
        <f t="shared" si="64"/>
        <v>200</v>
      </c>
      <c r="CH79" s="312">
        <f t="shared" si="65"/>
        <v>300</v>
      </c>
      <c r="CI79" s="312">
        <f t="shared" si="66"/>
        <v>200</v>
      </c>
      <c r="CJ79" s="312">
        <f t="shared" si="67"/>
        <v>2500</v>
      </c>
    </row>
    <row r="80" spans="2:88" ht="20.100000000000001" customHeight="1">
      <c r="B80" s="314">
        <v>8</v>
      </c>
      <c r="C80" s="315" t="s">
        <v>1727</v>
      </c>
      <c r="D80" s="316" t="s">
        <v>1786</v>
      </c>
      <c r="E80" s="317">
        <v>16000</v>
      </c>
      <c r="F80" s="317">
        <v>16000</v>
      </c>
      <c r="G80" s="317">
        <v>16000</v>
      </c>
      <c r="H80" s="317">
        <v>16000</v>
      </c>
      <c r="I80" s="317">
        <v>16000</v>
      </c>
      <c r="J80" s="317">
        <v>16000</v>
      </c>
      <c r="K80" s="317">
        <v>16000</v>
      </c>
      <c r="L80" s="317">
        <v>16000</v>
      </c>
      <c r="M80" s="317">
        <v>16000</v>
      </c>
      <c r="N80" s="317">
        <v>16000</v>
      </c>
      <c r="O80" s="317">
        <v>16000</v>
      </c>
      <c r="P80" s="317">
        <v>16000</v>
      </c>
      <c r="Q80" s="318">
        <f t="shared" si="56"/>
        <v>192000</v>
      </c>
      <c r="R80" s="318">
        <f t="shared" si="57"/>
        <v>15994</v>
      </c>
      <c r="T80" s="312">
        <f t="shared" si="68"/>
        <v>1800</v>
      </c>
      <c r="U80" s="312">
        <f t="shared" si="58"/>
        <v>1800</v>
      </c>
      <c r="V80" s="312">
        <f t="shared" si="58"/>
        <v>1800</v>
      </c>
      <c r="W80" s="312">
        <f t="shared" si="58"/>
        <v>1800</v>
      </c>
      <c r="X80" s="312">
        <f t="shared" si="58"/>
        <v>1800</v>
      </c>
      <c r="Y80" s="312">
        <f t="shared" si="58"/>
        <v>1800</v>
      </c>
      <c r="Z80" s="312">
        <f t="shared" si="58"/>
        <v>1800</v>
      </c>
      <c r="AA80" s="312">
        <f t="shared" si="58"/>
        <v>1800</v>
      </c>
      <c r="AB80" s="312">
        <f t="shared" si="58"/>
        <v>1800</v>
      </c>
      <c r="AC80" s="312">
        <f t="shared" si="58"/>
        <v>1800</v>
      </c>
      <c r="AD80" s="312">
        <f t="shared" si="58"/>
        <v>1800</v>
      </c>
      <c r="AE80" s="312">
        <f t="shared" si="58"/>
        <v>1800</v>
      </c>
      <c r="AF80" s="305">
        <f t="shared" si="69"/>
        <v>21600</v>
      </c>
      <c r="AH80" s="312">
        <f t="shared" si="59"/>
        <v>1950</v>
      </c>
      <c r="AI80" s="312">
        <f t="shared" si="59"/>
        <v>1950</v>
      </c>
      <c r="AJ80" s="312">
        <f t="shared" si="59"/>
        <v>1950</v>
      </c>
      <c r="AK80" s="312">
        <f t="shared" si="59"/>
        <v>1950</v>
      </c>
      <c r="AL80" s="312">
        <f t="shared" si="59"/>
        <v>1950</v>
      </c>
      <c r="AM80" s="312">
        <f t="shared" si="59"/>
        <v>1950</v>
      </c>
      <c r="AN80" s="312">
        <f t="shared" si="59"/>
        <v>1950</v>
      </c>
      <c r="AO80" s="312">
        <f t="shared" si="59"/>
        <v>1950</v>
      </c>
      <c r="AP80" s="312">
        <f t="shared" si="59"/>
        <v>1950</v>
      </c>
      <c r="AQ80" s="312">
        <f t="shared" si="59"/>
        <v>1950</v>
      </c>
      <c r="AR80" s="312">
        <f t="shared" si="59"/>
        <v>1950</v>
      </c>
      <c r="AS80" s="312">
        <f t="shared" si="59"/>
        <v>1950</v>
      </c>
      <c r="AT80" s="305">
        <f t="shared" si="60"/>
        <v>23400</v>
      </c>
      <c r="AV80" s="312">
        <f t="shared" si="61"/>
        <v>120</v>
      </c>
      <c r="AW80" s="312">
        <f t="shared" si="61"/>
        <v>120</v>
      </c>
      <c r="AX80" s="312">
        <f t="shared" si="61"/>
        <v>120</v>
      </c>
      <c r="AY80" s="312">
        <f t="shared" si="61"/>
        <v>120</v>
      </c>
      <c r="AZ80" s="312">
        <f t="shared" si="61"/>
        <v>120</v>
      </c>
      <c r="BA80" s="312">
        <f t="shared" si="61"/>
        <v>120</v>
      </c>
      <c r="BB80" s="312">
        <f t="shared" si="61"/>
        <v>120</v>
      </c>
      <c r="BC80" s="312">
        <f t="shared" si="61"/>
        <v>120</v>
      </c>
      <c r="BD80" s="312">
        <f t="shared" si="61"/>
        <v>120</v>
      </c>
      <c r="BE80" s="312">
        <f t="shared" si="61"/>
        <v>120</v>
      </c>
      <c r="BF80" s="312">
        <f t="shared" si="61"/>
        <v>120</v>
      </c>
      <c r="BG80" s="312">
        <f t="shared" si="61"/>
        <v>120</v>
      </c>
      <c r="BH80" s="305">
        <f t="shared" si="62"/>
        <v>1440</v>
      </c>
      <c r="BJ80" s="312">
        <f t="shared" si="63"/>
        <v>520</v>
      </c>
      <c r="BK80" s="312">
        <f t="shared" si="63"/>
        <v>520</v>
      </c>
      <c r="BL80" s="312">
        <f t="shared" si="63"/>
        <v>520</v>
      </c>
      <c r="BM80" s="312">
        <f t="shared" si="63"/>
        <v>520</v>
      </c>
      <c r="BN80" s="312">
        <f t="shared" si="63"/>
        <v>520</v>
      </c>
      <c r="BO80" s="312">
        <f t="shared" si="63"/>
        <v>520</v>
      </c>
      <c r="BP80" s="312">
        <f t="shared" si="63"/>
        <v>520</v>
      </c>
      <c r="BQ80" s="312">
        <f t="shared" si="63"/>
        <v>520</v>
      </c>
      <c r="BR80" s="312">
        <f t="shared" si="63"/>
        <v>520</v>
      </c>
      <c r="BS80" s="312">
        <f t="shared" si="63"/>
        <v>520</v>
      </c>
      <c r="BT80" s="312">
        <f t="shared" si="63"/>
        <v>520</v>
      </c>
      <c r="BU80" s="312">
        <f t="shared" si="63"/>
        <v>520</v>
      </c>
      <c r="BV80" s="300">
        <f t="shared" si="70"/>
        <v>6240</v>
      </c>
      <c r="BX80" s="312">
        <f t="shared" si="64"/>
        <v>200</v>
      </c>
      <c r="BY80" s="312">
        <f t="shared" si="64"/>
        <v>200</v>
      </c>
      <c r="BZ80" s="312">
        <f t="shared" si="64"/>
        <v>200</v>
      </c>
      <c r="CA80" s="312">
        <f t="shared" si="64"/>
        <v>200</v>
      </c>
      <c r="CB80" s="312">
        <f t="shared" si="64"/>
        <v>200</v>
      </c>
      <c r="CC80" s="312">
        <f t="shared" si="64"/>
        <v>200</v>
      </c>
      <c r="CD80" s="312">
        <f t="shared" si="64"/>
        <v>200</v>
      </c>
      <c r="CE80" s="312">
        <f t="shared" si="64"/>
        <v>200</v>
      </c>
      <c r="CF80" s="312">
        <f t="shared" si="64"/>
        <v>200</v>
      </c>
      <c r="CG80" s="312">
        <f t="shared" si="64"/>
        <v>200</v>
      </c>
      <c r="CH80" s="312">
        <f t="shared" si="65"/>
        <v>300</v>
      </c>
      <c r="CI80" s="312">
        <f t="shared" si="66"/>
        <v>200</v>
      </c>
      <c r="CJ80" s="312">
        <f t="shared" si="67"/>
        <v>2500</v>
      </c>
    </row>
    <row r="81" spans="2:88" ht="20.100000000000001" customHeight="1">
      <c r="B81" s="314">
        <v>9</v>
      </c>
      <c r="C81" s="315" t="s">
        <v>1727</v>
      </c>
      <c r="D81" s="316" t="s">
        <v>1787</v>
      </c>
      <c r="E81" s="317">
        <v>14500</v>
      </c>
      <c r="F81" s="317">
        <v>14500</v>
      </c>
      <c r="G81" s="317">
        <v>14500</v>
      </c>
      <c r="H81" s="317">
        <v>14500</v>
      </c>
      <c r="I81" s="317">
        <v>14500</v>
      </c>
      <c r="J81" s="317">
        <v>14500</v>
      </c>
      <c r="K81" s="317">
        <v>14500</v>
      </c>
      <c r="L81" s="317">
        <v>14500</v>
      </c>
      <c r="M81" s="317">
        <v>14500</v>
      </c>
      <c r="N81" s="317">
        <v>14500</v>
      </c>
      <c r="O81" s="317">
        <v>14500</v>
      </c>
      <c r="P81" s="317">
        <v>14500</v>
      </c>
      <c r="Q81" s="318">
        <f t="shared" si="56"/>
        <v>174000</v>
      </c>
      <c r="R81" s="318">
        <f>ROUND(Q81*8.33%,0)</f>
        <v>14494</v>
      </c>
      <c r="T81" s="312">
        <f t="shared" si="68"/>
        <v>1740</v>
      </c>
      <c r="U81" s="312">
        <f t="shared" si="58"/>
        <v>1740</v>
      </c>
      <c r="V81" s="312">
        <f t="shared" si="58"/>
        <v>1740</v>
      </c>
      <c r="W81" s="312">
        <f t="shared" si="58"/>
        <v>1740</v>
      </c>
      <c r="X81" s="312">
        <f t="shared" si="58"/>
        <v>1740</v>
      </c>
      <c r="Y81" s="312">
        <f t="shared" si="58"/>
        <v>1740</v>
      </c>
      <c r="Z81" s="312">
        <f t="shared" si="58"/>
        <v>1740</v>
      </c>
      <c r="AA81" s="312">
        <f t="shared" si="58"/>
        <v>1740</v>
      </c>
      <c r="AB81" s="312">
        <f t="shared" si="58"/>
        <v>1740</v>
      </c>
      <c r="AC81" s="312">
        <f t="shared" si="58"/>
        <v>1740</v>
      </c>
      <c r="AD81" s="312">
        <f t="shared" si="58"/>
        <v>1740</v>
      </c>
      <c r="AE81" s="312">
        <f t="shared" si="58"/>
        <v>1740</v>
      </c>
      <c r="AF81" s="305">
        <f t="shared" si="69"/>
        <v>20880</v>
      </c>
      <c r="AH81" s="312">
        <f t="shared" si="59"/>
        <v>1885</v>
      </c>
      <c r="AI81" s="312">
        <f t="shared" si="59"/>
        <v>1885</v>
      </c>
      <c r="AJ81" s="312">
        <f t="shared" si="59"/>
        <v>1885</v>
      </c>
      <c r="AK81" s="312">
        <f t="shared" si="59"/>
        <v>1885</v>
      </c>
      <c r="AL81" s="312">
        <f t="shared" si="59"/>
        <v>1885</v>
      </c>
      <c r="AM81" s="312">
        <f t="shared" si="59"/>
        <v>1885</v>
      </c>
      <c r="AN81" s="312">
        <f t="shared" si="59"/>
        <v>1885</v>
      </c>
      <c r="AO81" s="312">
        <f t="shared" si="59"/>
        <v>1885</v>
      </c>
      <c r="AP81" s="312">
        <f t="shared" si="59"/>
        <v>1885</v>
      </c>
      <c r="AQ81" s="312">
        <f t="shared" si="59"/>
        <v>1885</v>
      </c>
      <c r="AR81" s="312">
        <f t="shared" si="59"/>
        <v>1885</v>
      </c>
      <c r="AS81" s="312">
        <f t="shared" si="59"/>
        <v>1885</v>
      </c>
      <c r="AT81" s="305">
        <f t="shared" si="60"/>
        <v>22620</v>
      </c>
      <c r="AV81" s="312">
        <f t="shared" si="61"/>
        <v>109</v>
      </c>
      <c r="AW81" s="312">
        <f t="shared" si="61"/>
        <v>109</v>
      </c>
      <c r="AX81" s="312">
        <f t="shared" si="61"/>
        <v>109</v>
      </c>
      <c r="AY81" s="312">
        <f t="shared" si="61"/>
        <v>109</v>
      </c>
      <c r="AZ81" s="312">
        <f t="shared" si="61"/>
        <v>109</v>
      </c>
      <c r="BA81" s="312">
        <f t="shared" si="61"/>
        <v>109</v>
      </c>
      <c r="BB81" s="312">
        <f t="shared" si="61"/>
        <v>109</v>
      </c>
      <c r="BC81" s="312">
        <f t="shared" si="61"/>
        <v>109</v>
      </c>
      <c r="BD81" s="312">
        <f t="shared" si="61"/>
        <v>109</v>
      </c>
      <c r="BE81" s="312">
        <f t="shared" si="61"/>
        <v>109</v>
      </c>
      <c r="BF81" s="312">
        <f t="shared" si="61"/>
        <v>109</v>
      </c>
      <c r="BG81" s="312">
        <f t="shared" si="61"/>
        <v>109</v>
      </c>
      <c r="BH81" s="305">
        <f t="shared" si="62"/>
        <v>1308</v>
      </c>
      <c r="BJ81" s="312">
        <f t="shared" si="63"/>
        <v>471</v>
      </c>
      <c r="BK81" s="312">
        <f t="shared" si="63"/>
        <v>471</v>
      </c>
      <c r="BL81" s="312">
        <f t="shared" si="63"/>
        <v>471</v>
      </c>
      <c r="BM81" s="312">
        <f t="shared" si="63"/>
        <v>471</v>
      </c>
      <c r="BN81" s="312">
        <f t="shared" si="63"/>
        <v>471</v>
      </c>
      <c r="BO81" s="312">
        <f t="shared" si="63"/>
        <v>471</v>
      </c>
      <c r="BP81" s="312">
        <f t="shared" si="63"/>
        <v>471</v>
      </c>
      <c r="BQ81" s="312">
        <f t="shared" si="63"/>
        <v>471</v>
      </c>
      <c r="BR81" s="312">
        <f t="shared" si="63"/>
        <v>471</v>
      </c>
      <c r="BS81" s="312">
        <f t="shared" si="63"/>
        <v>471</v>
      </c>
      <c r="BT81" s="312">
        <f t="shared" si="63"/>
        <v>471</v>
      </c>
      <c r="BU81" s="312">
        <f t="shared" si="63"/>
        <v>471</v>
      </c>
      <c r="BV81" s="300">
        <f t="shared" si="70"/>
        <v>5652</v>
      </c>
      <c r="BX81" s="312">
        <f t="shared" si="64"/>
        <v>200</v>
      </c>
      <c r="BY81" s="312">
        <f t="shared" si="64"/>
        <v>200</v>
      </c>
      <c r="BZ81" s="312">
        <f t="shared" si="64"/>
        <v>200</v>
      </c>
      <c r="CA81" s="312">
        <f t="shared" si="64"/>
        <v>200</v>
      </c>
      <c r="CB81" s="312">
        <f t="shared" si="64"/>
        <v>200</v>
      </c>
      <c r="CC81" s="312">
        <f t="shared" si="64"/>
        <v>200</v>
      </c>
      <c r="CD81" s="312">
        <f t="shared" si="64"/>
        <v>200</v>
      </c>
      <c r="CE81" s="312">
        <f t="shared" si="64"/>
        <v>200</v>
      </c>
      <c r="CF81" s="312">
        <f t="shared" si="64"/>
        <v>200</v>
      </c>
      <c r="CG81" s="312">
        <f t="shared" si="64"/>
        <v>200</v>
      </c>
      <c r="CH81" s="312">
        <f t="shared" si="65"/>
        <v>300</v>
      </c>
      <c r="CI81" s="312">
        <f t="shared" si="66"/>
        <v>200</v>
      </c>
      <c r="CJ81" s="312">
        <f t="shared" si="67"/>
        <v>2500</v>
      </c>
    </row>
    <row r="82" spans="2:88" ht="20.100000000000001" customHeight="1">
      <c r="B82" s="319">
        <v>10</v>
      </c>
      <c r="C82" s="315" t="s">
        <v>1727</v>
      </c>
      <c r="D82" s="316" t="s">
        <v>1788</v>
      </c>
      <c r="E82" s="320">
        <v>18500</v>
      </c>
      <c r="F82" s="320">
        <v>18500</v>
      </c>
      <c r="G82" s="320">
        <v>18500</v>
      </c>
      <c r="H82" s="320">
        <v>18500</v>
      </c>
      <c r="I82" s="320">
        <v>18500</v>
      </c>
      <c r="J82" s="320">
        <v>18500</v>
      </c>
      <c r="K82" s="320">
        <v>18500</v>
      </c>
      <c r="L82" s="320">
        <v>18500</v>
      </c>
      <c r="M82" s="320">
        <v>18500</v>
      </c>
      <c r="N82" s="320">
        <v>18500</v>
      </c>
      <c r="O82" s="320">
        <v>18500</v>
      </c>
      <c r="P82" s="320">
        <v>18500</v>
      </c>
      <c r="Q82" s="318">
        <f t="shared" si="56"/>
        <v>222000</v>
      </c>
      <c r="R82" s="318">
        <f>ROUND(Q82*8.33%,0)</f>
        <v>18493</v>
      </c>
      <c r="T82" s="312">
        <f t="shared" si="68"/>
        <v>1800</v>
      </c>
      <c r="U82" s="312">
        <f t="shared" si="58"/>
        <v>1800</v>
      </c>
      <c r="V82" s="312">
        <f t="shared" si="58"/>
        <v>1800</v>
      </c>
      <c r="W82" s="312">
        <f t="shared" si="58"/>
        <v>1800</v>
      </c>
      <c r="X82" s="312">
        <f t="shared" si="58"/>
        <v>1800</v>
      </c>
      <c r="Y82" s="312">
        <f t="shared" si="58"/>
        <v>1800</v>
      </c>
      <c r="Z82" s="312">
        <f t="shared" si="58"/>
        <v>1800</v>
      </c>
      <c r="AA82" s="312">
        <f t="shared" si="58"/>
        <v>1800</v>
      </c>
      <c r="AB82" s="312">
        <f t="shared" si="58"/>
        <v>1800</v>
      </c>
      <c r="AC82" s="312">
        <f t="shared" si="58"/>
        <v>1800</v>
      </c>
      <c r="AD82" s="312">
        <f t="shared" si="58"/>
        <v>1800</v>
      </c>
      <c r="AE82" s="312">
        <f t="shared" si="58"/>
        <v>1800</v>
      </c>
      <c r="AF82" s="300">
        <f t="shared" si="69"/>
        <v>21600</v>
      </c>
      <c r="AH82" s="312">
        <f t="shared" si="59"/>
        <v>1950</v>
      </c>
      <c r="AI82" s="312">
        <f t="shared" si="59"/>
        <v>1950</v>
      </c>
      <c r="AJ82" s="312">
        <f t="shared" si="59"/>
        <v>1950</v>
      </c>
      <c r="AK82" s="312">
        <f t="shared" si="59"/>
        <v>1950</v>
      </c>
      <c r="AL82" s="312">
        <f t="shared" si="59"/>
        <v>1950</v>
      </c>
      <c r="AM82" s="312">
        <f t="shared" si="59"/>
        <v>1950</v>
      </c>
      <c r="AN82" s="312">
        <f t="shared" si="59"/>
        <v>1950</v>
      </c>
      <c r="AO82" s="312">
        <f t="shared" si="59"/>
        <v>1950</v>
      </c>
      <c r="AP82" s="312">
        <f t="shared" si="59"/>
        <v>1950</v>
      </c>
      <c r="AQ82" s="312">
        <f t="shared" si="59"/>
        <v>1950</v>
      </c>
      <c r="AR82" s="312">
        <f t="shared" si="59"/>
        <v>1950</v>
      </c>
      <c r="AS82" s="312">
        <f t="shared" si="59"/>
        <v>1950</v>
      </c>
      <c r="AT82" s="305">
        <f t="shared" si="60"/>
        <v>23400</v>
      </c>
      <c r="AV82" s="312">
        <f t="shared" si="61"/>
        <v>139</v>
      </c>
      <c r="AW82" s="312">
        <f t="shared" si="61"/>
        <v>139</v>
      </c>
      <c r="AX82" s="312">
        <f t="shared" si="61"/>
        <v>139</v>
      </c>
      <c r="AY82" s="312">
        <f t="shared" si="61"/>
        <v>139</v>
      </c>
      <c r="AZ82" s="312">
        <f t="shared" si="61"/>
        <v>139</v>
      </c>
      <c r="BA82" s="312">
        <f t="shared" si="61"/>
        <v>139</v>
      </c>
      <c r="BB82" s="312">
        <f t="shared" si="61"/>
        <v>139</v>
      </c>
      <c r="BC82" s="312">
        <f t="shared" si="61"/>
        <v>139</v>
      </c>
      <c r="BD82" s="312">
        <f t="shared" si="61"/>
        <v>139</v>
      </c>
      <c r="BE82" s="312">
        <f t="shared" si="61"/>
        <v>139</v>
      </c>
      <c r="BF82" s="312">
        <f t="shared" si="61"/>
        <v>139</v>
      </c>
      <c r="BG82" s="312">
        <f t="shared" si="61"/>
        <v>139</v>
      </c>
      <c r="BH82" s="305">
        <f t="shared" si="62"/>
        <v>1668</v>
      </c>
      <c r="BJ82" s="312">
        <f t="shared" si="63"/>
        <v>601</v>
      </c>
      <c r="BK82" s="312">
        <f t="shared" si="63"/>
        <v>601</v>
      </c>
      <c r="BL82" s="312">
        <f t="shared" si="63"/>
        <v>601</v>
      </c>
      <c r="BM82" s="312">
        <f t="shared" si="63"/>
        <v>601</v>
      </c>
      <c r="BN82" s="312">
        <f t="shared" si="63"/>
        <v>601</v>
      </c>
      <c r="BO82" s="312">
        <f t="shared" si="63"/>
        <v>601</v>
      </c>
      <c r="BP82" s="312">
        <f t="shared" si="63"/>
        <v>601</v>
      </c>
      <c r="BQ82" s="312">
        <f t="shared" si="63"/>
        <v>601</v>
      </c>
      <c r="BR82" s="312">
        <f t="shared" si="63"/>
        <v>601</v>
      </c>
      <c r="BS82" s="312">
        <f t="shared" si="63"/>
        <v>601</v>
      </c>
      <c r="BT82" s="312">
        <f t="shared" si="63"/>
        <v>601</v>
      </c>
      <c r="BU82" s="312">
        <f t="shared" si="63"/>
        <v>601</v>
      </c>
      <c r="BV82" s="300">
        <f t="shared" si="70"/>
        <v>7212</v>
      </c>
      <c r="BX82" s="312">
        <f t="shared" si="64"/>
        <v>200</v>
      </c>
      <c r="BY82" s="312">
        <f t="shared" si="64"/>
        <v>200</v>
      </c>
      <c r="BZ82" s="312">
        <f t="shared" si="64"/>
        <v>200</v>
      </c>
      <c r="CA82" s="312">
        <f t="shared" si="64"/>
        <v>200</v>
      </c>
      <c r="CB82" s="312">
        <f t="shared" si="64"/>
        <v>200</v>
      </c>
      <c r="CC82" s="312">
        <f t="shared" si="64"/>
        <v>200</v>
      </c>
      <c r="CD82" s="312">
        <f t="shared" si="64"/>
        <v>200</v>
      </c>
      <c r="CE82" s="312">
        <f t="shared" si="64"/>
        <v>200</v>
      </c>
      <c r="CF82" s="312">
        <f t="shared" si="64"/>
        <v>200</v>
      </c>
      <c r="CG82" s="312">
        <f t="shared" si="64"/>
        <v>200</v>
      </c>
      <c r="CH82" s="312">
        <f t="shared" si="65"/>
        <v>300</v>
      </c>
      <c r="CI82" s="312">
        <f t="shared" si="66"/>
        <v>200</v>
      </c>
      <c r="CJ82" s="312">
        <f t="shared" si="67"/>
        <v>2500</v>
      </c>
    </row>
    <row r="83" spans="2:88" ht="20.100000000000001" customHeight="1">
      <c r="B83" s="314" t="s">
        <v>1126</v>
      </c>
      <c r="C83" s="315" t="s">
        <v>1126</v>
      </c>
      <c r="D83" s="316" t="s">
        <v>1126</v>
      </c>
      <c r="E83" s="327">
        <f>SUM(E73:E82)</f>
        <v>241700</v>
      </c>
      <c r="F83" s="327">
        <f t="shared" ref="F83:M83" si="71">SUM(F73:F82)</f>
        <v>241700</v>
      </c>
      <c r="G83" s="327">
        <f t="shared" si="71"/>
        <v>241700</v>
      </c>
      <c r="H83" s="327">
        <f t="shared" si="71"/>
        <v>241700</v>
      </c>
      <c r="I83" s="327">
        <f t="shared" si="71"/>
        <v>241700</v>
      </c>
      <c r="J83" s="327">
        <f t="shared" si="71"/>
        <v>241700</v>
      </c>
      <c r="K83" s="327">
        <f t="shared" si="71"/>
        <v>241700</v>
      </c>
      <c r="L83" s="327">
        <f t="shared" si="71"/>
        <v>241700</v>
      </c>
      <c r="M83" s="327">
        <f t="shared" si="71"/>
        <v>241700</v>
      </c>
      <c r="N83" s="327">
        <f>SUM(N73:N82)</f>
        <v>241700</v>
      </c>
      <c r="O83" s="327">
        <f>SUM(O73:O82)</f>
        <v>241700</v>
      </c>
      <c r="P83" s="327">
        <f>SUM(P73:P82)</f>
        <v>241700</v>
      </c>
      <c r="Q83" s="327">
        <f>SUM(Q73:Q82)</f>
        <v>2900400</v>
      </c>
      <c r="R83" s="327">
        <f>SUM(R73:R82)</f>
        <v>241604</v>
      </c>
      <c r="T83" s="327">
        <f t="shared" ref="T83:CE83" si="72">SUM(T73:T82)</f>
        <v>17940</v>
      </c>
      <c r="U83" s="327">
        <f t="shared" si="72"/>
        <v>17940</v>
      </c>
      <c r="V83" s="327">
        <f t="shared" si="72"/>
        <v>17940</v>
      </c>
      <c r="W83" s="327">
        <f t="shared" si="72"/>
        <v>17940</v>
      </c>
      <c r="X83" s="327">
        <f t="shared" si="72"/>
        <v>17940</v>
      </c>
      <c r="Y83" s="327">
        <f t="shared" si="72"/>
        <v>17940</v>
      </c>
      <c r="Z83" s="327">
        <f t="shared" si="72"/>
        <v>17940</v>
      </c>
      <c r="AA83" s="327">
        <f t="shared" si="72"/>
        <v>17940</v>
      </c>
      <c r="AB83" s="327">
        <f t="shared" si="72"/>
        <v>17940</v>
      </c>
      <c r="AC83" s="327">
        <f t="shared" si="72"/>
        <v>17940</v>
      </c>
      <c r="AD83" s="327">
        <f t="shared" si="72"/>
        <v>17940</v>
      </c>
      <c r="AE83" s="327">
        <f t="shared" si="72"/>
        <v>17940</v>
      </c>
      <c r="AF83" s="327">
        <f t="shared" si="72"/>
        <v>215280</v>
      </c>
      <c r="AG83" s="327">
        <f t="shared" si="72"/>
        <v>0</v>
      </c>
      <c r="AH83" s="327">
        <f t="shared" si="72"/>
        <v>19435</v>
      </c>
      <c r="AI83" s="327">
        <f t="shared" si="72"/>
        <v>19435</v>
      </c>
      <c r="AJ83" s="327">
        <f t="shared" si="72"/>
        <v>19435</v>
      </c>
      <c r="AK83" s="327">
        <f t="shared" si="72"/>
        <v>19435</v>
      </c>
      <c r="AL83" s="327">
        <f t="shared" si="72"/>
        <v>19435</v>
      </c>
      <c r="AM83" s="327">
        <f t="shared" si="72"/>
        <v>19435</v>
      </c>
      <c r="AN83" s="327">
        <f t="shared" si="72"/>
        <v>19435</v>
      </c>
      <c r="AO83" s="327">
        <f t="shared" si="72"/>
        <v>19435</v>
      </c>
      <c r="AP83" s="327">
        <f t="shared" si="72"/>
        <v>19435</v>
      </c>
      <c r="AQ83" s="327">
        <f t="shared" si="72"/>
        <v>19435</v>
      </c>
      <c r="AR83" s="327">
        <f t="shared" si="72"/>
        <v>19435</v>
      </c>
      <c r="AS83" s="327">
        <f t="shared" si="72"/>
        <v>19435</v>
      </c>
      <c r="AT83" s="327">
        <f t="shared" si="72"/>
        <v>233220</v>
      </c>
      <c r="AU83" s="327">
        <f t="shared" si="72"/>
        <v>0</v>
      </c>
      <c r="AV83" s="327">
        <f t="shared" si="72"/>
        <v>638</v>
      </c>
      <c r="AW83" s="327">
        <f t="shared" si="72"/>
        <v>638</v>
      </c>
      <c r="AX83" s="327">
        <f t="shared" si="72"/>
        <v>638</v>
      </c>
      <c r="AY83" s="327">
        <f t="shared" si="72"/>
        <v>638</v>
      </c>
      <c r="AZ83" s="327">
        <f t="shared" si="72"/>
        <v>638</v>
      </c>
      <c r="BA83" s="327">
        <f t="shared" si="72"/>
        <v>638</v>
      </c>
      <c r="BB83" s="327">
        <f t="shared" si="72"/>
        <v>638</v>
      </c>
      <c r="BC83" s="327">
        <f t="shared" si="72"/>
        <v>638</v>
      </c>
      <c r="BD83" s="327">
        <f t="shared" si="72"/>
        <v>638</v>
      </c>
      <c r="BE83" s="327">
        <f t="shared" si="72"/>
        <v>638</v>
      </c>
      <c r="BF83" s="327">
        <f t="shared" si="72"/>
        <v>638</v>
      </c>
      <c r="BG83" s="327">
        <f t="shared" si="72"/>
        <v>638</v>
      </c>
      <c r="BH83" s="327">
        <f t="shared" si="72"/>
        <v>7656</v>
      </c>
      <c r="BI83" s="327">
        <f t="shared" si="72"/>
        <v>0</v>
      </c>
      <c r="BJ83" s="327">
        <f t="shared" si="72"/>
        <v>2762</v>
      </c>
      <c r="BK83" s="327">
        <f t="shared" si="72"/>
        <v>2762</v>
      </c>
      <c r="BL83" s="327">
        <f t="shared" si="72"/>
        <v>2762</v>
      </c>
      <c r="BM83" s="327">
        <f t="shared" si="72"/>
        <v>2762</v>
      </c>
      <c r="BN83" s="327">
        <f t="shared" si="72"/>
        <v>2762</v>
      </c>
      <c r="BO83" s="327">
        <f t="shared" si="72"/>
        <v>2762</v>
      </c>
      <c r="BP83" s="327">
        <f t="shared" si="72"/>
        <v>2762</v>
      </c>
      <c r="BQ83" s="327">
        <f t="shared" si="72"/>
        <v>2762</v>
      </c>
      <c r="BR83" s="327">
        <f t="shared" si="72"/>
        <v>2762</v>
      </c>
      <c r="BS83" s="327">
        <f t="shared" si="72"/>
        <v>2762</v>
      </c>
      <c r="BT83" s="327">
        <f t="shared" si="72"/>
        <v>2762</v>
      </c>
      <c r="BU83" s="327">
        <f t="shared" si="72"/>
        <v>2762</v>
      </c>
      <c r="BV83" s="327">
        <f t="shared" si="72"/>
        <v>33144</v>
      </c>
      <c r="BW83" s="327">
        <f t="shared" si="72"/>
        <v>0</v>
      </c>
      <c r="BX83" s="327">
        <f t="shared" si="72"/>
        <v>2000</v>
      </c>
      <c r="BY83" s="327">
        <f t="shared" si="72"/>
        <v>2000</v>
      </c>
      <c r="BZ83" s="327">
        <f t="shared" si="72"/>
        <v>2000</v>
      </c>
      <c r="CA83" s="327">
        <f t="shared" si="72"/>
        <v>2000</v>
      </c>
      <c r="CB83" s="327">
        <f t="shared" si="72"/>
        <v>2000</v>
      </c>
      <c r="CC83" s="327">
        <f t="shared" si="72"/>
        <v>2000</v>
      </c>
      <c r="CD83" s="327">
        <f t="shared" si="72"/>
        <v>2000</v>
      </c>
      <c r="CE83" s="327">
        <f t="shared" si="72"/>
        <v>2000</v>
      </c>
      <c r="CF83" s="327">
        <f>SUM(CF73:CF82)</f>
        <v>2000</v>
      </c>
      <c r="CG83" s="327">
        <f>SUM(CG73:CG82)</f>
        <v>2000</v>
      </c>
      <c r="CH83" s="327">
        <f>SUM(CH73:CH82)</f>
        <v>3000</v>
      </c>
      <c r="CI83" s="327">
        <f>SUM(CI73:CI82)</f>
        <v>2000</v>
      </c>
      <c r="CJ83" s="327">
        <f>SUM(CJ73:CJ82)</f>
        <v>25000</v>
      </c>
    </row>
    <row r="84" spans="2:88" ht="9.9499999999999993" customHeight="1"/>
    <row r="85" spans="2:88" ht="20.100000000000001" customHeight="1">
      <c r="C85" s="2391" t="s">
        <v>1789</v>
      </c>
      <c r="D85" s="2391"/>
    </row>
    <row r="86" spans="2:88" ht="20.100000000000001" customHeight="1">
      <c r="B86" s="300" t="s">
        <v>1710</v>
      </c>
      <c r="C86" s="301"/>
      <c r="D86" s="302" t="s">
        <v>1711</v>
      </c>
      <c r="E86" s="303" t="s">
        <v>1712</v>
      </c>
      <c r="F86" s="304" t="s">
        <v>1713</v>
      </c>
      <c r="G86" s="304" t="s">
        <v>1714</v>
      </c>
      <c r="H86" s="304" t="s">
        <v>1715</v>
      </c>
      <c r="I86" s="304" t="s">
        <v>1716</v>
      </c>
      <c r="J86" s="304" t="s">
        <v>1717</v>
      </c>
      <c r="K86" s="304" t="s">
        <v>1718</v>
      </c>
      <c r="L86" s="304" t="s">
        <v>1719</v>
      </c>
      <c r="M86" s="304" t="s">
        <v>1720</v>
      </c>
      <c r="N86" s="304" t="s">
        <v>1721</v>
      </c>
      <c r="O86" s="304" t="s">
        <v>1722</v>
      </c>
      <c r="P86" s="304" t="s">
        <v>1723</v>
      </c>
      <c r="Q86" s="304" t="s">
        <v>1724</v>
      </c>
      <c r="R86" s="304" t="s">
        <v>1725</v>
      </c>
      <c r="T86" s="303" t="s">
        <v>1712</v>
      </c>
      <c r="U86" s="304" t="s">
        <v>1713</v>
      </c>
      <c r="V86" s="304" t="s">
        <v>1714</v>
      </c>
      <c r="W86" s="304" t="s">
        <v>1715</v>
      </c>
      <c r="X86" s="304" t="s">
        <v>1716</v>
      </c>
      <c r="Y86" s="304" t="s">
        <v>1717</v>
      </c>
      <c r="Z86" s="304" t="s">
        <v>1718</v>
      </c>
      <c r="AA86" s="304" t="s">
        <v>1719</v>
      </c>
      <c r="AB86" s="304" t="s">
        <v>1720</v>
      </c>
      <c r="AC86" s="304" t="s">
        <v>1721</v>
      </c>
      <c r="AD86" s="304" t="s">
        <v>1722</v>
      </c>
      <c r="AE86" s="304" t="s">
        <v>1723</v>
      </c>
      <c r="AF86" s="304" t="s">
        <v>1724</v>
      </c>
      <c r="AH86" s="303" t="s">
        <v>1712</v>
      </c>
      <c r="AI86" s="304" t="s">
        <v>1713</v>
      </c>
      <c r="AJ86" s="304" t="s">
        <v>1714</v>
      </c>
      <c r="AK86" s="304" t="s">
        <v>1715</v>
      </c>
      <c r="AL86" s="304" t="s">
        <v>1716</v>
      </c>
      <c r="AM86" s="304" t="s">
        <v>1717</v>
      </c>
      <c r="AN86" s="304" t="s">
        <v>1718</v>
      </c>
      <c r="AO86" s="304" t="s">
        <v>1719</v>
      </c>
      <c r="AP86" s="304" t="s">
        <v>1720</v>
      </c>
      <c r="AQ86" s="304" t="s">
        <v>1721</v>
      </c>
      <c r="AR86" s="304" t="s">
        <v>1722</v>
      </c>
      <c r="AS86" s="304" t="s">
        <v>1723</v>
      </c>
      <c r="AT86" s="304" t="s">
        <v>1724</v>
      </c>
      <c r="AV86" s="303" t="s">
        <v>1712</v>
      </c>
      <c r="AW86" s="304" t="s">
        <v>1713</v>
      </c>
      <c r="AX86" s="304" t="s">
        <v>1714</v>
      </c>
      <c r="AY86" s="304" t="s">
        <v>1715</v>
      </c>
      <c r="AZ86" s="304" t="s">
        <v>1716</v>
      </c>
      <c r="BA86" s="304" t="s">
        <v>1717</v>
      </c>
      <c r="BB86" s="304" t="s">
        <v>1718</v>
      </c>
      <c r="BC86" s="304" t="s">
        <v>1719</v>
      </c>
      <c r="BD86" s="304" t="s">
        <v>1720</v>
      </c>
      <c r="BE86" s="304" t="s">
        <v>1721</v>
      </c>
      <c r="BF86" s="304" t="s">
        <v>1722</v>
      </c>
      <c r="BG86" s="304" t="s">
        <v>1723</v>
      </c>
      <c r="BH86" s="304" t="s">
        <v>1724</v>
      </c>
      <c r="BJ86" s="303" t="s">
        <v>1712</v>
      </c>
      <c r="BK86" s="304" t="s">
        <v>1713</v>
      </c>
      <c r="BL86" s="304" t="s">
        <v>1714</v>
      </c>
      <c r="BM86" s="304" t="s">
        <v>1715</v>
      </c>
      <c r="BN86" s="304" t="s">
        <v>1716</v>
      </c>
      <c r="BO86" s="304" t="s">
        <v>1717</v>
      </c>
      <c r="BP86" s="304" t="s">
        <v>1718</v>
      </c>
      <c r="BQ86" s="304" t="s">
        <v>1719</v>
      </c>
      <c r="BR86" s="304" t="s">
        <v>1720</v>
      </c>
      <c r="BS86" s="304" t="s">
        <v>1721</v>
      </c>
      <c r="BT86" s="304" t="s">
        <v>1722</v>
      </c>
      <c r="BU86" s="304" t="s">
        <v>1723</v>
      </c>
      <c r="BV86" s="304" t="s">
        <v>1724</v>
      </c>
    </row>
    <row r="87" spans="2:88" ht="20.100000000000001" customHeight="1" thickBot="1">
      <c r="B87" s="306"/>
      <c r="C87" s="307"/>
      <c r="D87" s="308"/>
      <c r="E87" s="309"/>
      <c r="F87" s="310"/>
      <c r="G87" s="310"/>
      <c r="H87" s="310"/>
      <c r="I87" s="310"/>
      <c r="J87" s="310"/>
      <c r="K87" s="310"/>
      <c r="L87" s="310"/>
      <c r="M87" s="310"/>
      <c r="N87" s="310"/>
      <c r="O87" s="310"/>
      <c r="P87" s="310"/>
      <c r="Q87" s="310"/>
      <c r="R87" s="311" t="s">
        <v>1726</v>
      </c>
      <c r="T87" s="309"/>
      <c r="U87" s="310"/>
      <c r="V87" s="310"/>
      <c r="W87" s="310"/>
      <c r="X87" s="310"/>
      <c r="Y87" s="310"/>
      <c r="Z87" s="310"/>
      <c r="AA87" s="310"/>
      <c r="AB87" s="310"/>
      <c r="AC87" s="310"/>
      <c r="AD87" s="310"/>
      <c r="AE87" s="310"/>
      <c r="AF87" s="310"/>
      <c r="AH87" s="309"/>
      <c r="AI87" s="310"/>
      <c r="AJ87" s="310"/>
      <c r="AK87" s="310"/>
      <c r="AL87" s="310"/>
      <c r="AM87" s="310"/>
      <c r="AN87" s="310"/>
      <c r="AO87" s="310"/>
      <c r="AP87" s="310"/>
      <c r="AQ87" s="310"/>
      <c r="AR87" s="310"/>
      <c r="AS87" s="310"/>
      <c r="AT87" s="310"/>
      <c r="AV87" s="309"/>
      <c r="AW87" s="310"/>
      <c r="AX87" s="310"/>
      <c r="AY87" s="310"/>
      <c r="AZ87" s="310"/>
      <c r="BA87" s="310"/>
      <c r="BB87" s="310"/>
      <c r="BC87" s="310"/>
      <c r="BD87" s="310"/>
      <c r="BE87" s="310"/>
      <c r="BF87" s="310"/>
      <c r="BG87" s="310"/>
      <c r="BH87" s="310"/>
      <c r="BJ87" s="309"/>
      <c r="BK87" s="310"/>
      <c r="BL87" s="310"/>
      <c r="BM87" s="310"/>
      <c r="BN87" s="310"/>
      <c r="BO87" s="310"/>
      <c r="BP87" s="310"/>
      <c r="BQ87" s="310"/>
      <c r="BR87" s="310"/>
      <c r="BS87" s="310"/>
      <c r="BT87" s="310"/>
      <c r="BU87" s="310"/>
      <c r="BV87" s="310"/>
    </row>
    <row r="88" spans="2:88" ht="20.100000000000001" customHeight="1" thickTop="1">
      <c r="B88" s="328">
        <v>1</v>
      </c>
      <c r="C88" s="325" t="s">
        <v>1727</v>
      </c>
      <c r="D88" s="316" t="s">
        <v>1790</v>
      </c>
      <c r="E88" s="329">
        <v>160000</v>
      </c>
      <c r="F88" s="329">
        <v>160000</v>
      </c>
      <c r="G88" s="329">
        <v>160000</v>
      </c>
      <c r="H88" s="329">
        <v>160000</v>
      </c>
      <c r="I88" s="329">
        <v>160000</v>
      </c>
      <c r="J88" s="329">
        <v>160000</v>
      </c>
      <c r="K88" s="329">
        <v>160000</v>
      </c>
      <c r="L88" s="329">
        <v>160000</v>
      </c>
      <c r="M88" s="329">
        <v>160000</v>
      </c>
      <c r="N88" s="329">
        <v>160000</v>
      </c>
      <c r="O88" s="329">
        <v>160000</v>
      </c>
      <c r="P88" s="329">
        <v>160000</v>
      </c>
      <c r="Q88" s="329">
        <f>SUM(E88:P88)</f>
        <v>1920000</v>
      </c>
      <c r="R88" s="329">
        <f>ROUND(Q88*8.33%,0)</f>
        <v>159936</v>
      </c>
      <c r="T88" s="312">
        <f>+ROUND(IF(E88&gt;15000,(15000*0.12),(E88*0.12)),0)</f>
        <v>1800</v>
      </c>
      <c r="U88" s="312">
        <f t="shared" ref="U88:AE91" si="73">+ROUND(IF(F88&gt;15000,(15000*0.12),(F88*0.12)),0)</f>
        <v>1800</v>
      </c>
      <c r="V88" s="312">
        <f t="shared" si="73"/>
        <v>1800</v>
      </c>
      <c r="W88" s="312">
        <f t="shared" si="73"/>
        <v>1800</v>
      </c>
      <c r="X88" s="312">
        <f t="shared" si="73"/>
        <v>1800</v>
      </c>
      <c r="Y88" s="312">
        <f t="shared" si="73"/>
        <v>1800</v>
      </c>
      <c r="Z88" s="312">
        <f t="shared" si="73"/>
        <v>1800</v>
      </c>
      <c r="AA88" s="312">
        <f t="shared" si="73"/>
        <v>1800</v>
      </c>
      <c r="AB88" s="312">
        <f t="shared" si="73"/>
        <v>1800</v>
      </c>
      <c r="AC88" s="312">
        <f t="shared" si="73"/>
        <v>1800</v>
      </c>
      <c r="AD88" s="312">
        <f t="shared" si="73"/>
        <v>1800</v>
      </c>
      <c r="AE88" s="312">
        <f t="shared" si="73"/>
        <v>1800</v>
      </c>
      <c r="AF88" s="305">
        <f>+SUM(T88:AE88)</f>
        <v>21600</v>
      </c>
      <c r="AH88" s="312">
        <f t="shared" ref="AH88:AS91" si="74">+ROUND(IF(E88&gt;15000,(15000*13%),(E88*13%)),0)</f>
        <v>1950</v>
      </c>
      <c r="AI88" s="312">
        <f t="shared" si="74"/>
        <v>1950</v>
      </c>
      <c r="AJ88" s="312">
        <f t="shared" si="74"/>
        <v>1950</v>
      </c>
      <c r="AK88" s="312">
        <f t="shared" si="74"/>
        <v>1950</v>
      </c>
      <c r="AL88" s="312">
        <f t="shared" si="74"/>
        <v>1950</v>
      </c>
      <c r="AM88" s="312">
        <f t="shared" si="74"/>
        <v>1950</v>
      </c>
      <c r="AN88" s="312">
        <f t="shared" si="74"/>
        <v>1950</v>
      </c>
      <c r="AO88" s="312">
        <f t="shared" si="74"/>
        <v>1950</v>
      </c>
      <c r="AP88" s="312">
        <f t="shared" si="74"/>
        <v>1950</v>
      </c>
      <c r="AQ88" s="312">
        <f t="shared" si="74"/>
        <v>1950</v>
      </c>
      <c r="AR88" s="312">
        <f t="shared" si="74"/>
        <v>1950</v>
      </c>
      <c r="AS88" s="312">
        <f t="shared" si="74"/>
        <v>1950</v>
      </c>
      <c r="AT88" s="305">
        <f>+SUM(AH88:AS88)</f>
        <v>23400</v>
      </c>
      <c r="AV88" s="312">
        <f t="shared" ref="AV88:BG91" si="75">+ROUND(IF(E88&lt;21001,(E88*0.75%),0),0)</f>
        <v>0</v>
      </c>
      <c r="AW88" s="312">
        <f t="shared" si="75"/>
        <v>0</v>
      </c>
      <c r="AX88" s="312">
        <f t="shared" si="75"/>
        <v>0</v>
      </c>
      <c r="AY88" s="312">
        <f t="shared" si="75"/>
        <v>0</v>
      </c>
      <c r="AZ88" s="312">
        <f t="shared" si="75"/>
        <v>0</v>
      </c>
      <c r="BA88" s="312">
        <f t="shared" si="75"/>
        <v>0</v>
      </c>
      <c r="BB88" s="312">
        <f t="shared" si="75"/>
        <v>0</v>
      </c>
      <c r="BC88" s="312">
        <f t="shared" si="75"/>
        <v>0</v>
      </c>
      <c r="BD88" s="312">
        <f t="shared" si="75"/>
        <v>0</v>
      </c>
      <c r="BE88" s="312">
        <f t="shared" si="75"/>
        <v>0</v>
      </c>
      <c r="BF88" s="312">
        <f t="shared" si="75"/>
        <v>0</v>
      </c>
      <c r="BG88" s="312">
        <f t="shared" si="75"/>
        <v>0</v>
      </c>
      <c r="BH88" s="305">
        <f>+SUM(AV88:BG88)</f>
        <v>0</v>
      </c>
      <c r="BJ88" s="312">
        <f t="shared" ref="BJ88:BU91" si="76">+ROUND(IF(E88&lt;21001,(E88*3.25%),0),0)</f>
        <v>0</v>
      </c>
      <c r="BK88" s="312">
        <f t="shared" si="76"/>
        <v>0</v>
      </c>
      <c r="BL88" s="312">
        <f t="shared" si="76"/>
        <v>0</v>
      </c>
      <c r="BM88" s="312">
        <f t="shared" si="76"/>
        <v>0</v>
      </c>
      <c r="BN88" s="312">
        <f t="shared" si="76"/>
        <v>0</v>
      </c>
      <c r="BO88" s="312">
        <f t="shared" si="76"/>
        <v>0</v>
      </c>
      <c r="BP88" s="312">
        <f t="shared" si="76"/>
        <v>0</v>
      </c>
      <c r="BQ88" s="312">
        <f t="shared" si="76"/>
        <v>0</v>
      </c>
      <c r="BR88" s="312">
        <f t="shared" si="76"/>
        <v>0</v>
      </c>
      <c r="BS88" s="312">
        <f t="shared" si="76"/>
        <v>0</v>
      </c>
      <c r="BT88" s="312">
        <f t="shared" si="76"/>
        <v>0</v>
      </c>
      <c r="BU88" s="312">
        <f t="shared" si="76"/>
        <v>0</v>
      </c>
      <c r="BV88" s="300">
        <f>+SUM(BJ88:BU88)</f>
        <v>0</v>
      </c>
      <c r="BX88" s="312">
        <f t="shared" ref="BX88:CG91" si="77">+IF(E88&lt;=0,0,IF(E88&gt;10000,200,175))</f>
        <v>200</v>
      </c>
      <c r="BY88" s="312">
        <f t="shared" si="77"/>
        <v>200</v>
      </c>
      <c r="BZ88" s="312">
        <f t="shared" si="77"/>
        <v>200</v>
      </c>
      <c r="CA88" s="312">
        <f t="shared" si="77"/>
        <v>200</v>
      </c>
      <c r="CB88" s="312">
        <f t="shared" si="77"/>
        <v>200</v>
      </c>
      <c r="CC88" s="312">
        <f t="shared" si="77"/>
        <v>200</v>
      </c>
      <c r="CD88" s="312">
        <f t="shared" si="77"/>
        <v>200</v>
      </c>
      <c r="CE88" s="312">
        <f t="shared" si="77"/>
        <v>200</v>
      </c>
      <c r="CF88" s="312">
        <f t="shared" si="77"/>
        <v>200</v>
      </c>
      <c r="CG88" s="312">
        <f t="shared" si="77"/>
        <v>200</v>
      </c>
      <c r="CH88" s="312">
        <f>+IF(O88&lt;=0,0,IF(O88&gt;10000,300,175))</f>
        <v>300</v>
      </c>
      <c r="CI88" s="312">
        <f>+IF(P88&lt;=0,0,IF(P88&gt;10000,200,175))</f>
        <v>200</v>
      </c>
      <c r="CJ88" s="312">
        <f>SUM(BX88:CI88)</f>
        <v>2500</v>
      </c>
    </row>
    <row r="89" spans="2:88" ht="20.100000000000001" customHeight="1">
      <c r="B89" s="314">
        <v>2</v>
      </c>
      <c r="C89" s="315" t="s">
        <v>1727</v>
      </c>
      <c r="D89" s="316" t="s">
        <v>1791</v>
      </c>
      <c r="E89" s="317">
        <v>80000</v>
      </c>
      <c r="F89" s="317">
        <v>80000</v>
      </c>
      <c r="G89" s="317">
        <v>80000</v>
      </c>
      <c r="H89" s="317">
        <v>80000</v>
      </c>
      <c r="I89" s="317">
        <v>80000</v>
      </c>
      <c r="J89" s="317">
        <v>80000</v>
      </c>
      <c r="K89" s="317">
        <v>80000</v>
      </c>
      <c r="L89" s="317">
        <v>80000</v>
      </c>
      <c r="M89" s="317">
        <v>80000</v>
      </c>
      <c r="N89" s="317">
        <v>80000</v>
      </c>
      <c r="O89" s="317">
        <v>80000</v>
      </c>
      <c r="P89" s="317">
        <v>80000</v>
      </c>
      <c r="Q89" s="318">
        <f>SUM(E89:P89)</f>
        <v>960000</v>
      </c>
      <c r="R89" s="318">
        <f>ROUND(Q89*8.33%,0)</f>
        <v>79968</v>
      </c>
      <c r="T89" s="312">
        <f>+ROUND(IF(E89&gt;15000,(15000*0.12),(E89*0.12)),0)</f>
        <v>1800</v>
      </c>
      <c r="U89" s="312">
        <f t="shared" si="73"/>
        <v>1800</v>
      </c>
      <c r="V89" s="312">
        <f t="shared" si="73"/>
        <v>1800</v>
      </c>
      <c r="W89" s="312">
        <f t="shared" si="73"/>
        <v>1800</v>
      </c>
      <c r="X89" s="312">
        <f t="shared" si="73"/>
        <v>1800</v>
      </c>
      <c r="Y89" s="312">
        <f t="shared" si="73"/>
        <v>1800</v>
      </c>
      <c r="Z89" s="312">
        <f t="shared" si="73"/>
        <v>1800</v>
      </c>
      <c r="AA89" s="312">
        <f t="shared" si="73"/>
        <v>1800</v>
      </c>
      <c r="AB89" s="312">
        <f t="shared" si="73"/>
        <v>1800</v>
      </c>
      <c r="AC89" s="312">
        <f t="shared" si="73"/>
        <v>1800</v>
      </c>
      <c r="AD89" s="312">
        <f t="shared" si="73"/>
        <v>1800</v>
      </c>
      <c r="AE89" s="312">
        <f t="shared" si="73"/>
        <v>1800</v>
      </c>
      <c r="AF89" s="305">
        <f>+SUM(T89:AE89)</f>
        <v>21600</v>
      </c>
      <c r="AH89" s="312">
        <f t="shared" si="74"/>
        <v>1950</v>
      </c>
      <c r="AI89" s="312">
        <f t="shared" si="74"/>
        <v>1950</v>
      </c>
      <c r="AJ89" s="312">
        <f t="shared" si="74"/>
        <v>1950</v>
      </c>
      <c r="AK89" s="312">
        <f t="shared" si="74"/>
        <v>1950</v>
      </c>
      <c r="AL89" s="312">
        <f t="shared" si="74"/>
        <v>1950</v>
      </c>
      <c r="AM89" s="312">
        <f t="shared" si="74"/>
        <v>1950</v>
      </c>
      <c r="AN89" s="312">
        <f t="shared" si="74"/>
        <v>1950</v>
      </c>
      <c r="AO89" s="312">
        <f t="shared" si="74"/>
        <v>1950</v>
      </c>
      <c r="AP89" s="312">
        <f t="shared" si="74"/>
        <v>1950</v>
      </c>
      <c r="AQ89" s="312">
        <f t="shared" si="74"/>
        <v>1950</v>
      </c>
      <c r="AR89" s="312">
        <f t="shared" si="74"/>
        <v>1950</v>
      </c>
      <c r="AS89" s="312">
        <f t="shared" si="74"/>
        <v>1950</v>
      </c>
      <c r="AT89" s="305">
        <f>+SUM(AH89:AS89)</f>
        <v>23400</v>
      </c>
      <c r="AV89" s="312">
        <f t="shared" si="75"/>
        <v>0</v>
      </c>
      <c r="AW89" s="312">
        <f t="shared" si="75"/>
        <v>0</v>
      </c>
      <c r="AX89" s="312">
        <f t="shared" si="75"/>
        <v>0</v>
      </c>
      <c r="AY89" s="312">
        <f t="shared" si="75"/>
        <v>0</v>
      </c>
      <c r="AZ89" s="312">
        <f t="shared" si="75"/>
        <v>0</v>
      </c>
      <c r="BA89" s="312">
        <f t="shared" si="75"/>
        <v>0</v>
      </c>
      <c r="BB89" s="312">
        <f t="shared" si="75"/>
        <v>0</v>
      </c>
      <c r="BC89" s="312">
        <f t="shared" si="75"/>
        <v>0</v>
      </c>
      <c r="BD89" s="312">
        <f t="shared" si="75"/>
        <v>0</v>
      </c>
      <c r="BE89" s="312">
        <f t="shared" si="75"/>
        <v>0</v>
      </c>
      <c r="BF89" s="312">
        <f t="shared" si="75"/>
        <v>0</v>
      </c>
      <c r="BG89" s="312">
        <f t="shared" si="75"/>
        <v>0</v>
      </c>
      <c r="BH89" s="305">
        <f>+SUM(AV89:BG89)</f>
        <v>0</v>
      </c>
      <c r="BJ89" s="312">
        <f t="shared" si="76"/>
        <v>0</v>
      </c>
      <c r="BK89" s="312">
        <f t="shared" si="76"/>
        <v>0</v>
      </c>
      <c r="BL89" s="312">
        <f t="shared" si="76"/>
        <v>0</v>
      </c>
      <c r="BM89" s="312">
        <f t="shared" si="76"/>
        <v>0</v>
      </c>
      <c r="BN89" s="312">
        <f t="shared" si="76"/>
        <v>0</v>
      </c>
      <c r="BO89" s="312">
        <f t="shared" si="76"/>
        <v>0</v>
      </c>
      <c r="BP89" s="312">
        <f t="shared" si="76"/>
        <v>0</v>
      </c>
      <c r="BQ89" s="312">
        <f t="shared" si="76"/>
        <v>0</v>
      </c>
      <c r="BR89" s="312">
        <f t="shared" si="76"/>
        <v>0</v>
      </c>
      <c r="BS89" s="312">
        <f t="shared" si="76"/>
        <v>0</v>
      </c>
      <c r="BT89" s="312">
        <f t="shared" si="76"/>
        <v>0</v>
      </c>
      <c r="BU89" s="312">
        <f t="shared" si="76"/>
        <v>0</v>
      </c>
      <c r="BV89" s="300">
        <f>+SUM(BJ89:BU89)</f>
        <v>0</v>
      </c>
      <c r="BX89" s="312">
        <f t="shared" si="77"/>
        <v>200</v>
      </c>
      <c r="BY89" s="312">
        <f t="shared" si="77"/>
        <v>200</v>
      </c>
      <c r="BZ89" s="312">
        <f t="shared" si="77"/>
        <v>200</v>
      </c>
      <c r="CA89" s="312">
        <f t="shared" si="77"/>
        <v>200</v>
      </c>
      <c r="CB89" s="312">
        <f t="shared" si="77"/>
        <v>200</v>
      </c>
      <c r="CC89" s="312">
        <f t="shared" si="77"/>
        <v>200</v>
      </c>
      <c r="CD89" s="312">
        <f t="shared" si="77"/>
        <v>200</v>
      </c>
      <c r="CE89" s="312">
        <f t="shared" si="77"/>
        <v>200</v>
      </c>
      <c r="CF89" s="312">
        <f t="shared" si="77"/>
        <v>200</v>
      </c>
      <c r="CG89" s="312">
        <f t="shared" si="77"/>
        <v>200</v>
      </c>
      <c r="CH89" s="312">
        <f>+IF(O89&lt;=0,0,IF(O89&gt;10000,300,175))</f>
        <v>300</v>
      </c>
      <c r="CI89" s="312">
        <f>+IF(P89&lt;=0,0,IF(P89&gt;10000,200,175))</f>
        <v>200</v>
      </c>
      <c r="CJ89" s="312">
        <f>SUM(BX89:CI89)</f>
        <v>2500</v>
      </c>
    </row>
    <row r="90" spans="2:88" ht="20.100000000000001" customHeight="1">
      <c r="B90" s="314">
        <v>3</v>
      </c>
      <c r="C90" s="315" t="s">
        <v>1727</v>
      </c>
      <c r="D90" s="316" t="s">
        <v>1792</v>
      </c>
      <c r="E90" s="317">
        <v>80000</v>
      </c>
      <c r="F90" s="317">
        <v>80000</v>
      </c>
      <c r="G90" s="317">
        <v>80000</v>
      </c>
      <c r="H90" s="317">
        <v>80000</v>
      </c>
      <c r="I90" s="317">
        <v>80000</v>
      </c>
      <c r="J90" s="317">
        <v>80000</v>
      </c>
      <c r="K90" s="317">
        <v>80000</v>
      </c>
      <c r="L90" s="317">
        <v>80000</v>
      </c>
      <c r="M90" s="317">
        <v>80000</v>
      </c>
      <c r="N90" s="317">
        <v>80000</v>
      </c>
      <c r="O90" s="317">
        <v>80000</v>
      </c>
      <c r="P90" s="317">
        <v>80000</v>
      </c>
      <c r="Q90" s="318">
        <f>SUM(E90:P90)</f>
        <v>960000</v>
      </c>
      <c r="R90" s="318">
        <f>ROUND(Q90*8.33%,0)</f>
        <v>79968</v>
      </c>
      <c r="T90" s="312">
        <v>0</v>
      </c>
      <c r="U90" s="312">
        <v>0</v>
      </c>
      <c r="V90" s="312">
        <v>0</v>
      </c>
      <c r="W90" s="312">
        <v>0</v>
      </c>
      <c r="X90" s="312">
        <v>0</v>
      </c>
      <c r="Y90" s="312">
        <v>0</v>
      </c>
      <c r="Z90" s="312">
        <v>0</v>
      </c>
      <c r="AA90" s="312">
        <v>0</v>
      </c>
      <c r="AB90" s="312">
        <v>0</v>
      </c>
      <c r="AC90" s="312">
        <v>0</v>
      </c>
      <c r="AD90" s="312">
        <v>0</v>
      </c>
      <c r="AE90" s="312">
        <v>0</v>
      </c>
      <c r="AF90" s="305">
        <f>+SUM(T90:AE90)</f>
        <v>0</v>
      </c>
      <c r="AH90" s="312">
        <v>0</v>
      </c>
      <c r="AI90" s="312">
        <v>0</v>
      </c>
      <c r="AJ90" s="312">
        <v>0</v>
      </c>
      <c r="AK90" s="312">
        <v>0</v>
      </c>
      <c r="AL90" s="312">
        <v>0</v>
      </c>
      <c r="AM90" s="312">
        <v>0</v>
      </c>
      <c r="AN90" s="312">
        <v>0</v>
      </c>
      <c r="AO90" s="312">
        <v>0</v>
      </c>
      <c r="AP90" s="312">
        <v>0</v>
      </c>
      <c r="AQ90" s="312">
        <v>0</v>
      </c>
      <c r="AR90" s="312">
        <v>0</v>
      </c>
      <c r="AS90" s="312">
        <v>0</v>
      </c>
      <c r="AT90" s="305">
        <f>+SUM(AH90:AS90)</f>
        <v>0</v>
      </c>
      <c r="AV90" s="312">
        <f t="shared" si="75"/>
        <v>0</v>
      </c>
      <c r="AW90" s="312">
        <f t="shared" si="75"/>
        <v>0</v>
      </c>
      <c r="AX90" s="312">
        <f t="shared" si="75"/>
        <v>0</v>
      </c>
      <c r="AY90" s="312">
        <f t="shared" si="75"/>
        <v>0</v>
      </c>
      <c r="AZ90" s="312">
        <f t="shared" si="75"/>
        <v>0</v>
      </c>
      <c r="BA90" s="312">
        <f t="shared" si="75"/>
        <v>0</v>
      </c>
      <c r="BB90" s="312">
        <f t="shared" si="75"/>
        <v>0</v>
      </c>
      <c r="BC90" s="312">
        <f t="shared" si="75"/>
        <v>0</v>
      </c>
      <c r="BD90" s="312">
        <f t="shared" si="75"/>
        <v>0</v>
      </c>
      <c r="BE90" s="312">
        <f t="shared" si="75"/>
        <v>0</v>
      </c>
      <c r="BF90" s="312">
        <f t="shared" si="75"/>
        <v>0</v>
      </c>
      <c r="BG90" s="312">
        <f t="shared" si="75"/>
        <v>0</v>
      </c>
      <c r="BH90" s="305">
        <f>+SUM(AV90:BG90)</f>
        <v>0</v>
      </c>
      <c r="BJ90" s="312">
        <f t="shared" si="76"/>
        <v>0</v>
      </c>
      <c r="BK90" s="312">
        <f t="shared" si="76"/>
        <v>0</v>
      </c>
      <c r="BL90" s="312">
        <f t="shared" si="76"/>
        <v>0</v>
      </c>
      <c r="BM90" s="312">
        <f t="shared" si="76"/>
        <v>0</v>
      </c>
      <c r="BN90" s="312">
        <f t="shared" si="76"/>
        <v>0</v>
      </c>
      <c r="BO90" s="312">
        <f t="shared" si="76"/>
        <v>0</v>
      </c>
      <c r="BP90" s="312">
        <f t="shared" si="76"/>
        <v>0</v>
      </c>
      <c r="BQ90" s="312">
        <f t="shared" si="76"/>
        <v>0</v>
      </c>
      <c r="BR90" s="312">
        <f t="shared" si="76"/>
        <v>0</v>
      </c>
      <c r="BS90" s="312">
        <f t="shared" si="76"/>
        <v>0</v>
      </c>
      <c r="BT90" s="312">
        <f t="shared" si="76"/>
        <v>0</v>
      </c>
      <c r="BU90" s="312">
        <f t="shared" si="76"/>
        <v>0</v>
      </c>
      <c r="BV90" s="300">
        <f>+SUM(BJ90:BU90)</f>
        <v>0</v>
      </c>
      <c r="BX90" s="312">
        <f t="shared" si="77"/>
        <v>200</v>
      </c>
      <c r="BY90" s="312">
        <f t="shared" si="77"/>
        <v>200</v>
      </c>
      <c r="BZ90" s="312">
        <f t="shared" si="77"/>
        <v>200</v>
      </c>
      <c r="CA90" s="312">
        <f t="shared" si="77"/>
        <v>200</v>
      </c>
      <c r="CB90" s="312">
        <f t="shared" si="77"/>
        <v>200</v>
      </c>
      <c r="CC90" s="312">
        <f t="shared" si="77"/>
        <v>200</v>
      </c>
      <c r="CD90" s="312">
        <f t="shared" si="77"/>
        <v>200</v>
      </c>
      <c r="CE90" s="312">
        <f t="shared" si="77"/>
        <v>200</v>
      </c>
      <c r="CF90" s="312">
        <f t="shared" si="77"/>
        <v>200</v>
      </c>
      <c r="CG90" s="312">
        <f t="shared" si="77"/>
        <v>200</v>
      </c>
      <c r="CH90" s="312">
        <f>+IF(O90&lt;=0,0,IF(O90&gt;10000,300,175))</f>
        <v>300</v>
      </c>
      <c r="CI90" s="312">
        <f>+IF(P90&lt;=0,0,IF(P90&gt;10000,200,175))</f>
        <v>200</v>
      </c>
      <c r="CJ90" s="312">
        <f>SUM(BX90:CI90)</f>
        <v>2500</v>
      </c>
    </row>
    <row r="91" spans="2:88" ht="20.100000000000001" customHeight="1" thickBot="1">
      <c r="B91" s="314">
        <v>4</v>
      </c>
      <c r="C91" s="315" t="s">
        <v>1727</v>
      </c>
      <c r="D91" s="316" t="s">
        <v>1793</v>
      </c>
      <c r="E91" s="317">
        <v>80000</v>
      </c>
      <c r="F91" s="317">
        <v>80000</v>
      </c>
      <c r="G91" s="317">
        <v>80000</v>
      </c>
      <c r="H91" s="317">
        <v>80000</v>
      </c>
      <c r="I91" s="317">
        <v>80000</v>
      </c>
      <c r="J91" s="317">
        <v>80000</v>
      </c>
      <c r="K91" s="317">
        <v>80000</v>
      </c>
      <c r="L91" s="317">
        <v>80000</v>
      </c>
      <c r="M91" s="317">
        <v>80000</v>
      </c>
      <c r="N91" s="317">
        <v>80000</v>
      </c>
      <c r="O91" s="317">
        <v>80000</v>
      </c>
      <c r="P91" s="317">
        <v>80000</v>
      </c>
      <c r="Q91" s="318">
        <f>SUM(E91:P91)</f>
        <v>960000</v>
      </c>
      <c r="R91" s="318">
        <f>ROUND(Q91*8.33%,0)</f>
        <v>79968</v>
      </c>
      <c r="T91" s="312">
        <f>+ROUND(IF(E91&gt;15000,(15000*0.12),(E91*0.12)),0)</f>
        <v>1800</v>
      </c>
      <c r="U91" s="312">
        <f t="shared" si="73"/>
        <v>1800</v>
      </c>
      <c r="V91" s="312">
        <f t="shared" si="73"/>
        <v>1800</v>
      </c>
      <c r="W91" s="312">
        <f t="shared" si="73"/>
        <v>1800</v>
      </c>
      <c r="X91" s="312">
        <f t="shared" si="73"/>
        <v>1800</v>
      </c>
      <c r="Y91" s="312">
        <f t="shared" si="73"/>
        <v>1800</v>
      </c>
      <c r="Z91" s="312">
        <f t="shared" si="73"/>
        <v>1800</v>
      </c>
      <c r="AA91" s="312">
        <f t="shared" si="73"/>
        <v>1800</v>
      </c>
      <c r="AB91" s="312">
        <f t="shared" si="73"/>
        <v>1800</v>
      </c>
      <c r="AC91" s="312">
        <f t="shared" si="73"/>
        <v>1800</v>
      </c>
      <c r="AD91" s="312">
        <f t="shared" si="73"/>
        <v>1800</v>
      </c>
      <c r="AE91" s="312">
        <f t="shared" si="73"/>
        <v>1800</v>
      </c>
      <c r="AF91" s="300">
        <f>+SUM(T91:AE91)</f>
        <v>21600</v>
      </c>
      <c r="AH91" s="312">
        <f t="shared" si="74"/>
        <v>1950</v>
      </c>
      <c r="AI91" s="312">
        <f t="shared" si="74"/>
        <v>1950</v>
      </c>
      <c r="AJ91" s="312">
        <f t="shared" si="74"/>
        <v>1950</v>
      </c>
      <c r="AK91" s="312">
        <f t="shared" si="74"/>
        <v>1950</v>
      </c>
      <c r="AL91" s="312">
        <f t="shared" si="74"/>
        <v>1950</v>
      </c>
      <c r="AM91" s="312">
        <f t="shared" si="74"/>
        <v>1950</v>
      </c>
      <c r="AN91" s="312">
        <f t="shared" si="74"/>
        <v>1950</v>
      </c>
      <c r="AO91" s="312">
        <f t="shared" si="74"/>
        <v>1950</v>
      </c>
      <c r="AP91" s="312">
        <f t="shared" si="74"/>
        <v>1950</v>
      </c>
      <c r="AQ91" s="312">
        <f t="shared" si="74"/>
        <v>1950</v>
      </c>
      <c r="AR91" s="312">
        <f t="shared" si="74"/>
        <v>1950</v>
      </c>
      <c r="AS91" s="312">
        <f t="shared" si="74"/>
        <v>1950</v>
      </c>
      <c r="AT91" s="305">
        <f>+SUM(AH91:AS91)</f>
        <v>23400</v>
      </c>
      <c r="AV91" s="312">
        <f t="shared" si="75"/>
        <v>0</v>
      </c>
      <c r="AW91" s="312">
        <f t="shared" si="75"/>
        <v>0</v>
      </c>
      <c r="AX91" s="312">
        <f t="shared" si="75"/>
        <v>0</v>
      </c>
      <c r="AY91" s="312">
        <f t="shared" si="75"/>
        <v>0</v>
      </c>
      <c r="AZ91" s="312">
        <f t="shared" si="75"/>
        <v>0</v>
      </c>
      <c r="BA91" s="312">
        <f t="shared" si="75"/>
        <v>0</v>
      </c>
      <c r="BB91" s="312">
        <f t="shared" si="75"/>
        <v>0</v>
      </c>
      <c r="BC91" s="312">
        <f t="shared" si="75"/>
        <v>0</v>
      </c>
      <c r="BD91" s="312">
        <f t="shared" si="75"/>
        <v>0</v>
      </c>
      <c r="BE91" s="312">
        <f t="shared" si="75"/>
        <v>0</v>
      </c>
      <c r="BF91" s="312">
        <f t="shared" si="75"/>
        <v>0</v>
      </c>
      <c r="BG91" s="312">
        <f t="shared" si="75"/>
        <v>0</v>
      </c>
      <c r="BH91" s="305">
        <f>+SUM(AV91:BG91)</f>
        <v>0</v>
      </c>
      <c r="BJ91" s="312">
        <f t="shared" si="76"/>
        <v>0</v>
      </c>
      <c r="BK91" s="312">
        <f t="shared" si="76"/>
        <v>0</v>
      </c>
      <c r="BL91" s="312">
        <f t="shared" si="76"/>
        <v>0</v>
      </c>
      <c r="BM91" s="312">
        <f t="shared" si="76"/>
        <v>0</v>
      </c>
      <c r="BN91" s="312">
        <f t="shared" si="76"/>
        <v>0</v>
      </c>
      <c r="BO91" s="312">
        <f t="shared" si="76"/>
        <v>0</v>
      </c>
      <c r="BP91" s="312">
        <f t="shared" si="76"/>
        <v>0</v>
      </c>
      <c r="BQ91" s="312">
        <f t="shared" si="76"/>
        <v>0</v>
      </c>
      <c r="BR91" s="312">
        <f t="shared" si="76"/>
        <v>0</v>
      </c>
      <c r="BS91" s="312">
        <f t="shared" si="76"/>
        <v>0</v>
      </c>
      <c r="BT91" s="312">
        <f t="shared" si="76"/>
        <v>0</v>
      </c>
      <c r="BU91" s="312">
        <f t="shared" si="76"/>
        <v>0</v>
      </c>
      <c r="BV91" s="300">
        <f>+SUM(BJ91:BU91)</f>
        <v>0</v>
      </c>
      <c r="BX91" s="312">
        <f t="shared" si="77"/>
        <v>200</v>
      </c>
      <c r="BY91" s="312">
        <f t="shared" si="77"/>
        <v>200</v>
      </c>
      <c r="BZ91" s="312">
        <f t="shared" si="77"/>
        <v>200</v>
      </c>
      <c r="CA91" s="312">
        <f t="shared" si="77"/>
        <v>200</v>
      </c>
      <c r="CB91" s="312">
        <f t="shared" si="77"/>
        <v>200</v>
      </c>
      <c r="CC91" s="312">
        <f t="shared" si="77"/>
        <v>200</v>
      </c>
      <c r="CD91" s="312">
        <f t="shared" si="77"/>
        <v>200</v>
      </c>
      <c r="CE91" s="312">
        <f t="shared" si="77"/>
        <v>200</v>
      </c>
      <c r="CF91" s="312">
        <f t="shared" si="77"/>
        <v>200</v>
      </c>
      <c r="CG91" s="312">
        <f t="shared" si="77"/>
        <v>200</v>
      </c>
      <c r="CH91" s="312">
        <f>+IF(O91&lt;=0,0,IF(O91&gt;10000,300,175))</f>
        <v>300</v>
      </c>
      <c r="CI91" s="312">
        <f>+IF(P91&lt;=0,0,IF(P91&gt;10000,200,175))</f>
        <v>200</v>
      </c>
      <c r="CJ91" s="312">
        <f>SUM(BX91:CI91)</f>
        <v>2500</v>
      </c>
    </row>
    <row r="92" spans="2:88" ht="20.100000000000001" customHeight="1" thickBot="1">
      <c r="B92" s="314" t="s">
        <v>1126</v>
      </c>
      <c r="C92" s="315" t="s">
        <v>1126</v>
      </c>
      <c r="D92" s="316" t="s">
        <v>1126</v>
      </c>
      <c r="E92" s="327">
        <f>SUM(E88:E91)</f>
        <v>400000</v>
      </c>
      <c r="F92" s="327">
        <f t="shared" ref="F92:M92" si="78">SUM(F88:F91)</f>
        <v>400000</v>
      </c>
      <c r="G92" s="327">
        <f t="shared" si="78"/>
        <v>400000</v>
      </c>
      <c r="H92" s="327">
        <f t="shared" si="78"/>
        <v>400000</v>
      </c>
      <c r="I92" s="327">
        <f t="shared" si="78"/>
        <v>400000</v>
      </c>
      <c r="J92" s="327">
        <f t="shared" si="78"/>
        <v>400000</v>
      </c>
      <c r="K92" s="327">
        <f t="shared" si="78"/>
        <v>400000</v>
      </c>
      <c r="L92" s="327">
        <f t="shared" si="78"/>
        <v>400000</v>
      </c>
      <c r="M92" s="327">
        <f t="shared" si="78"/>
        <v>400000</v>
      </c>
      <c r="N92" s="327">
        <f>SUM(N88:N91)</f>
        <v>400000</v>
      </c>
      <c r="O92" s="327">
        <f>SUM(O88:O91)</f>
        <v>400000</v>
      </c>
      <c r="P92" s="327">
        <f>SUM(P88:P91)</f>
        <v>400000</v>
      </c>
      <c r="Q92" s="327">
        <f>SUM(Q88:Q91)</f>
        <v>4800000</v>
      </c>
      <c r="R92" s="327">
        <f>SUM(R88:R91)</f>
        <v>399840</v>
      </c>
      <c r="T92" s="330">
        <f>+SUM(T88:T91)</f>
        <v>5400</v>
      </c>
      <c r="U92" s="333">
        <f t="shared" ref="U92:AF92" si="79">+SUM(U88:U91)</f>
        <v>5400</v>
      </c>
      <c r="V92" s="333">
        <f t="shared" si="79"/>
        <v>5400</v>
      </c>
      <c r="W92" s="333">
        <f t="shared" si="79"/>
        <v>5400</v>
      </c>
      <c r="X92" s="333">
        <f t="shared" si="79"/>
        <v>5400</v>
      </c>
      <c r="Y92" s="333">
        <f t="shared" si="79"/>
        <v>5400</v>
      </c>
      <c r="Z92" s="333">
        <f t="shared" si="79"/>
        <v>5400</v>
      </c>
      <c r="AA92" s="333">
        <f t="shared" si="79"/>
        <v>5400</v>
      </c>
      <c r="AB92" s="333">
        <f t="shared" si="79"/>
        <v>5400</v>
      </c>
      <c r="AC92" s="333">
        <f t="shared" si="79"/>
        <v>5400</v>
      </c>
      <c r="AD92" s="333">
        <f t="shared" si="79"/>
        <v>5400</v>
      </c>
      <c r="AE92" s="333">
        <f t="shared" si="79"/>
        <v>5400</v>
      </c>
      <c r="AF92" s="334">
        <f t="shared" si="79"/>
        <v>64800</v>
      </c>
      <c r="AH92" s="330">
        <f>+SUM(AH88:AH91)</f>
        <v>5850</v>
      </c>
      <c r="AI92" s="333">
        <f t="shared" ref="AI92:AT92" si="80">+SUM(AI88:AI91)</f>
        <v>5850</v>
      </c>
      <c r="AJ92" s="333">
        <f t="shared" si="80"/>
        <v>5850</v>
      </c>
      <c r="AK92" s="333">
        <f t="shared" si="80"/>
        <v>5850</v>
      </c>
      <c r="AL92" s="333">
        <f t="shared" si="80"/>
        <v>5850</v>
      </c>
      <c r="AM92" s="333">
        <f t="shared" si="80"/>
        <v>5850</v>
      </c>
      <c r="AN92" s="333">
        <f t="shared" si="80"/>
        <v>5850</v>
      </c>
      <c r="AO92" s="333">
        <f t="shared" si="80"/>
        <v>5850</v>
      </c>
      <c r="AP92" s="333">
        <f t="shared" si="80"/>
        <v>5850</v>
      </c>
      <c r="AQ92" s="333">
        <f t="shared" si="80"/>
        <v>5850</v>
      </c>
      <c r="AR92" s="333">
        <f t="shared" si="80"/>
        <v>5850</v>
      </c>
      <c r="AS92" s="333">
        <f t="shared" si="80"/>
        <v>5850</v>
      </c>
      <c r="AT92" s="334">
        <f t="shared" si="80"/>
        <v>70200</v>
      </c>
      <c r="AV92" s="333">
        <f t="shared" ref="AV92:BH92" si="81">+SUM(AV88:AV91)</f>
        <v>0</v>
      </c>
      <c r="AW92" s="333">
        <f t="shared" si="81"/>
        <v>0</v>
      </c>
      <c r="AX92" s="333">
        <f t="shared" si="81"/>
        <v>0</v>
      </c>
      <c r="AY92" s="333">
        <f t="shared" si="81"/>
        <v>0</v>
      </c>
      <c r="AZ92" s="333">
        <f t="shared" si="81"/>
        <v>0</v>
      </c>
      <c r="BA92" s="333">
        <f t="shared" si="81"/>
        <v>0</v>
      </c>
      <c r="BB92" s="333">
        <f t="shared" si="81"/>
        <v>0</v>
      </c>
      <c r="BC92" s="333">
        <f t="shared" si="81"/>
        <v>0</v>
      </c>
      <c r="BD92" s="333">
        <f t="shared" si="81"/>
        <v>0</v>
      </c>
      <c r="BE92" s="333">
        <f t="shared" si="81"/>
        <v>0</v>
      </c>
      <c r="BF92" s="333">
        <f t="shared" si="81"/>
        <v>0</v>
      </c>
      <c r="BG92" s="333">
        <f t="shared" si="81"/>
        <v>0</v>
      </c>
      <c r="BH92" s="333">
        <f t="shared" si="81"/>
        <v>0</v>
      </c>
      <c r="BJ92" s="333">
        <f t="shared" ref="BJ92:BV92" si="82">+SUM(BJ88:BJ91)</f>
        <v>0</v>
      </c>
      <c r="BK92" s="333">
        <f t="shared" si="82"/>
        <v>0</v>
      </c>
      <c r="BL92" s="333">
        <f t="shared" si="82"/>
        <v>0</v>
      </c>
      <c r="BM92" s="333">
        <f t="shared" si="82"/>
        <v>0</v>
      </c>
      <c r="BN92" s="333">
        <f t="shared" si="82"/>
        <v>0</v>
      </c>
      <c r="BO92" s="333">
        <f t="shared" si="82"/>
        <v>0</v>
      </c>
      <c r="BP92" s="333">
        <f t="shared" si="82"/>
        <v>0</v>
      </c>
      <c r="BQ92" s="333">
        <f t="shared" si="82"/>
        <v>0</v>
      </c>
      <c r="BR92" s="333">
        <f t="shared" si="82"/>
        <v>0</v>
      </c>
      <c r="BS92" s="333">
        <f t="shared" si="82"/>
        <v>0</v>
      </c>
      <c r="BT92" s="333">
        <f t="shared" si="82"/>
        <v>0</v>
      </c>
      <c r="BU92" s="333">
        <f t="shared" si="82"/>
        <v>0</v>
      </c>
      <c r="BV92" s="333">
        <f t="shared" si="82"/>
        <v>0</v>
      </c>
      <c r="BX92" s="305">
        <f>SUM(BX88:BX91)</f>
        <v>800</v>
      </c>
      <c r="BY92" s="305">
        <f>SUM(BY88:BY91)</f>
        <v>800</v>
      </c>
      <c r="BZ92" s="305">
        <f t="shared" ref="BZ92:CJ92" si="83">SUM(BZ88:BZ91)</f>
        <v>800</v>
      </c>
      <c r="CA92" s="305">
        <f t="shared" si="83"/>
        <v>800</v>
      </c>
      <c r="CB92" s="305">
        <f t="shared" si="83"/>
        <v>800</v>
      </c>
      <c r="CC92" s="305">
        <f t="shared" si="83"/>
        <v>800</v>
      </c>
      <c r="CD92" s="305">
        <f t="shared" si="83"/>
        <v>800</v>
      </c>
      <c r="CE92" s="305">
        <f t="shared" si="83"/>
        <v>800</v>
      </c>
      <c r="CF92" s="305">
        <f t="shared" si="83"/>
        <v>800</v>
      </c>
      <c r="CG92" s="305">
        <f t="shared" si="83"/>
        <v>800</v>
      </c>
      <c r="CH92" s="305">
        <f t="shared" si="83"/>
        <v>1200</v>
      </c>
      <c r="CI92" s="305">
        <f t="shared" si="83"/>
        <v>800</v>
      </c>
      <c r="CJ92" s="305">
        <f t="shared" si="83"/>
        <v>10000</v>
      </c>
    </row>
    <row r="93" spans="2:88" ht="9.9499999999999993" customHeight="1"/>
    <row r="94" spans="2:88" ht="6" customHeight="1"/>
    <row r="95" spans="2:88" ht="15.75">
      <c r="C95" s="2391" t="s">
        <v>1794</v>
      </c>
      <c r="D95" s="2391"/>
      <c r="E95" s="335"/>
      <c r="F95" s="335"/>
      <c r="G95" s="335"/>
      <c r="H95" s="335"/>
      <c r="I95" s="335"/>
      <c r="J95" s="335"/>
      <c r="K95" s="335"/>
      <c r="L95" s="335"/>
      <c r="M95" s="335"/>
      <c r="N95" s="335"/>
      <c r="O95" s="335"/>
      <c r="P95" s="335"/>
      <c r="Q95" s="335"/>
      <c r="R95" s="336" t="s">
        <v>1795</v>
      </c>
      <c r="BX95" s="337">
        <f t="shared" ref="BX95:CJ95" si="84">BX92+BX83+BX68+BX55</f>
        <v>12975</v>
      </c>
      <c r="BY95" s="337">
        <f t="shared" si="84"/>
        <v>12850</v>
      </c>
      <c r="BZ95" s="337">
        <f t="shared" si="84"/>
        <v>12800</v>
      </c>
      <c r="CA95" s="337">
        <f t="shared" si="84"/>
        <v>12625</v>
      </c>
      <c r="CB95" s="337">
        <f t="shared" si="84"/>
        <v>12800</v>
      </c>
      <c r="CC95" s="337">
        <f t="shared" si="84"/>
        <v>12450</v>
      </c>
      <c r="CD95" s="337">
        <f t="shared" si="84"/>
        <v>12500</v>
      </c>
      <c r="CE95" s="337">
        <f t="shared" si="84"/>
        <v>12400</v>
      </c>
      <c r="CF95" s="337">
        <f t="shared" si="84"/>
        <v>11925</v>
      </c>
      <c r="CG95" s="337">
        <f t="shared" si="84"/>
        <v>11825</v>
      </c>
      <c r="CH95" s="337">
        <f t="shared" si="84"/>
        <v>17250</v>
      </c>
      <c r="CI95" s="337">
        <f t="shared" si="84"/>
        <v>11850</v>
      </c>
      <c r="CJ95" s="337">
        <f t="shared" si="84"/>
        <v>154250</v>
      </c>
    </row>
    <row r="96" spans="2:88" ht="20.100000000000001" customHeight="1">
      <c r="B96" s="338" t="s">
        <v>1126</v>
      </c>
      <c r="C96" s="339" t="s">
        <v>1796</v>
      </c>
      <c r="D96" s="340" t="s">
        <v>1797</v>
      </c>
      <c r="E96" s="341"/>
      <c r="F96" s="341"/>
      <c r="G96" s="341"/>
      <c r="H96" s="341"/>
      <c r="I96" s="341"/>
      <c r="J96" s="341"/>
      <c r="K96" s="341"/>
      <c r="L96" s="341"/>
      <c r="M96" s="341"/>
      <c r="N96" s="341"/>
      <c r="O96" s="341"/>
      <c r="P96" s="341"/>
      <c r="Q96" s="341"/>
      <c r="R96" s="341">
        <f>+R55</f>
        <v>614445</v>
      </c>
      <c r="T96" s="305">
        <f>+T92+T83+T68+T55</f>
        <v>101091</v>
      </c>
      <c r="U96" s="305">
        <f t="shared" ref="U96:AF96" si="85">+U55+U68+U83+U92</f>
        <v>103480</v>
      </c>
      <c r="V96" s="305">
        <f t="shared" si="85"/>
        <v>100651</v>
      </c>
      <c r="W96" s="305">
        <f t="shared" si="85"/>
        <v>99861</v>
      </c>
      <c r="X96" s="305">
        <f t="shared" si="85"/>
        <v>99627</v>
      </c>
      <c r="Y96" s="305">
        <f t="shared" si="85"/>
        <v>98141</v>
      </c>
      <c r="Z96" s="305">
        <f t="shared" si="85"/>
        <v>102784</v>
      </c>
      <c r="AA96" s="305">
        <f t="shared" si="85"/>
        <v>92958</v>
      </c>
      <c r="AB96" s="305">
        <f t="shared" si="85"/>
        <v>97261</v>
      </c>
      <c r="AC96" s="305">
        <f t="shared" si="85"/>
        <v>96644</v>
      </c>
      <c r="AD96" s="305">
        <f t="shared" si="85"/>
        <v>94989</v>
      </c>
      <c r="AE96" s="305">
        <f t="shared" si="85"/>
        <v>95416</v>
      </c>
      <c r="AF96" s="305">
        <f t="shared" si="85"/>
        <v>1182903</v>
      </c>
      <c r="AH96" s="305">
        <f t="shared" ref="AH96:AT96" si="86">+AH55+AH68+AH83+AH92</f>
        <v>109520</v>
      </c>
      <c r="AI96" s="305">
        <f t="shared" si="86"/>
        <v>112103</v>
      </c>
      <c r="AJ96" s="305">
        <f t="shared" si="86"/>
        <v>109037</v>
      </c>
      <c r="AK96" s="305">
        <f t="shared" si="86"/>
        <v>108183</v>
      </c>
      <c r="AL96" s="305">
        <f t="shared" si="86"/>
        <v>107932</v>
      </c>
      <c r="AM96" s="305">
        <f t="shared" si="86"/>
        <v>106319</v>
      </c>
      <c r="AN96" s="305">
        <f t="shared" si="86"/>
        <v>111350</v>
      </c>
      <c r="AO96" s="305">
        <f t="shared" si="86"/>
        <v>100708</v>
      </c>
      <c r="AP96" s="305">
        <f t="shared" si="86"/>
        <v>105366</v>
      </c>
      <c r="AQ96" s="305">
        <f t="shared" si="86"/>
        <v>104697</v>
      </c>
      <c r="AR96" s="305">
        <f t="shared" si="86"/>
        <v>102906</v>
      </c>
      <c r="AS96" s="305">
        <f t="shared" si="86"/>
        <v>103367</v>
      </c>
      <c r="AT96" s="305">
        <f t="shared" si="86"/>
        <v>1281488</v>
      </c>
      <c r="AV96" s="305">
        <f t="shared" ref="AV96:BH96" si="87">+AV55+AV68+AV83+AV92</f>
        <v>4812</v>
      </c>
      <c r="AW96" s="305">
        <f t="shared" si="87"/>
        <v>4824</v>
      </c>
      <c r="AX96" s="305">
        <f t="shared" si="87"/>
        <v>4719</v>
      </c>
      <c r="AY96" s="305">
        <f t="shared" si="87"/>
        <v>4478</v>
      </c>
      <c r="AZ96" s="305">
        <f t="shared" si="87"/>
        <v>4571</v>
      </c>
      <c r="BA96" s="305">
        <f t="shared" si="87"/>
        <v>4452</v>
      </c>
      <c r="BB96" s="305">
        <f t="shared" si="87"/>
        <v>4858</v>
      </c>
      <c r="BC96" s="305">
        <f t="shared" si="87"/>
        <v>4243</v>
      </c>
      <c r="BD96" s="305">
        <f t="shared" si="87"/>
        <v>4659</v>
      </c>
      <c r="BE96" s="305">
        <f t="shared" si="87"/>
        <v>4407</v>
      </c>
      <c r="BF96" s="305">
        <f t="shared" si="87"/>
        <v>4434</v>
      </c>
      <c r="BG96" s="305">
        <f t="shared" si="87"/>
        <v>4417</v>
      </c>
      <c r="BH96" s="305">
        <f t="shared" si="87"/>
        <v>54874</v>
      </c>
      <c r="BJ96" s="305">
        <f t="shared" ref="BJ96:BV96" si="88">+BJ55+BJ68+BJ83+BJ92</f>
        <v>20832</v>
      </c>
      <c r="BK96" s="305">
        <f t="shared" si="88"/>
        <v>20892</v>
      </c>
      <c r="BL96" s="305">
        <f t="shared" si="88"/>
        <v>20432</v>
      </c>
      <c r="BM96" s="305">
        <f t="shared" si="88"/>
        <v>19397</v>
      </c>
      <c r="BN96" s="305">
        <f t="shared" si="88"/>
        <v>19793</v>
      </c>
      <c r="BO96" s="305">
        <f t="shared" si="88"/>
        <v>19288</v>
      </c>
      <c r="BP96" s="305">
        <f t="shared" si="88"/>
        <v>21034</v>
      </c>
      <c r="BQ96" s="305">
        <f t="shared" si="88"/>
        <v>18367</v>
      </c>
      <c r="BR96" s="305">
        <f t="shared" si="88"/>
        <v>20180</v>
      </c>
      <c r="BS96" s="305">
        <f t="shared" si="88"/>
        <v>19077</v>
      </c>
      <c r="BT96" s="305">
        <f t="shared" si="88"/>
        <v>19197</v>
      </c>
      <c r="BU96" s="305">
        <f t="shared" si="88"/>
        <v>19131</v>
      </c>
      <c r="BV96" s="305">
        <f t="shared" si="88"/>
        <v>237620</v>
      </c>
      <c r="CJ96" s="337">
        <f>+SUM(BX96:CI96)</f>
        <v>0</v>
      </c>
    </row>
    <row r="97" spans="2:88" ht="20.100000000000001" customHeight="1" thickBot="1">
      <c r="B97" s="338" t="s">
        <v>1126</v>
      </c>
      <c r="C97" s="339" t="s">
        <v>1798</v>
      </c>
      <c r="D97" s="340" t="s">
        <v>1799</v>
      </c>
      <c r="E97" s="341"/>
      <c r="F97" s="341"/>
      <c r="G97" s="341"/>
      <c r="H97" s="341"/>
      <c r="I97" s="341"/>
      <c r="J97" s="341"/>
      <c r="K97" s="341"/>
      <c r="L97" s="341"/>
      <c r="M97" s="341"/>
      <c r="N97" s="341"/>
      <c r="O97" s="341"/>
      <c r="P97" s="341"/>
      <c r="Q97" s="341"/>
      <c r="R97" s="341">
        <f>+R68</f>
        <v>230320</v>
      </c>
      <c r="T97" s="342">
        <f>+'[77]P.F.-Stat-Ledger'!E10</f>
        <v>101091</v>
      </c>
      <c r="U97" s="342">
        <f>+'[77]P.F.-Stat-Ledger'!E11+'[77]P.F.-Stat-Ledger'!E12</f>
        <v>104419</v>
      </c>
      <c r="V97" s="342">
        <f>+'[77]P.F.-Stat-Ledger'!E13</f>
        <v>100651</v>
      </c>
      <c r="W97" s="342">
        <f>+'[77]P.F.-Stat-Ledger'!E14</f>
        <v>99861</v>
      </c>
      <c r="X97" s="342">
        <f>+'[77]P.F.-Stat-Ledger'!E15</f>
        <v>99627</v>
      </c>
      <c r="Y97" s="342">
        <f>+'[77]P.F.-Stat-Ledger'!E16</f>
        <v>98141</v>
      </c>
      <c r="Z97" s="342">
        <f>+'[77]P.F.-Stat-Ledger'!E17</f>
        <v>102784</v>
      </c>
      <c r="AA97" s="342">
        <f>+'[77]P.F.-Stat-Ledger'!E18</f>
        <v>92958</v>
      </c>
      <c r="AB97" s="342">
        <f>+'[77]P.F.-Stat-Ledger'!E19</f>
        <v>97261</v>
      </c>
      <c r="AC97" s="342">
        <f>+'[77]P.F.-Stat-Ledger'!E20</f>
        <v>96644</v>
      </c>
      <c r="AD97" s="342">
        <f>+'[77]P.F.-Stat-Ledger'!E21</f>
        <v>94989</v>
      </c>
      <c r="AE97" s="342">
        <f>+'[77]P.F.-Stat-Ledger'!E22</f>
        <v>95416</v>
      </c>
      <c r="AF97" s="343">
        <f>+SUM(T97:AE97)</f>
        <v>1183842</v>
      </c>
      <c r="AH97" s="342">
        <f>+'[77]P.F.-Stat-Ledger'!F10</f>
        <v>109515</v>
      </c>
      <c r="AI97" s="342">
        <f>+'[77]P.F.-Stat-Ledger'!F11+'[77]P.F.-Stat-Ledger'!F12</f>
        <v>113068</v>
      </c>
      <c r="AJ97" s="342">
        <f>+'[77]P.F.-Stat-Ledger'!F13</f>
        <v>109039</v>
      </c>
      <c r="AK97" s="342">
        <f>+'[77]P.F.-Stat-Ledger'!F14</f>
        <v>108183</v>
      </c>
      <c r="AL97" s="342">
        <f>+'[77]P.F.-Stat-Ledger'!F15</f>
        <v>107929</v>
      </c>
      <c r="AM97" s="342">
        <f>+'[77]P.F.-Stat-Ledger'!F16</f>
        <v>106319</v>
      </c>
      <c r="AN97" s="342">
        <f>+'[77]P.F.-Stat-Ledger'!F17</f>
        <v>111350</v>
      </c>
      <c r="AO97" s="342">
        <f>+'[77]P.F.-Stat-Ledger'!F18</f>
        <v>100704</v>
      </c>
      <c r="AP97" s="342">
        <f>+'[77]P.F.-Stat-Ledger'!F19</f>
        <v>105367</v>
      </c>
      <c r="AQ97" s="342">
        <f>+'[77]P.F.-Stat-Ledger'!F20</f>
        <v>104698</v>
      </c>
      <c r="AR97" s="342">
        <f>+'[77]P.F.-Stat-Ledger'!F21</f>
        <v>102905</v>
      </c>
      <c r="AS97" s="342">
        <f>+'[77]P.F.-Stat-Ledger'!F22</f>
        <v>103368</v>
      </c>
      <c r="AT97" s="343">
        <f>+SUM(AH97:AS97)</f>
        <v>1282445</v>
      </c>
      <c r="AV97" s="342">
        <f>+'[77]ESIC-Ledger'!C8</f>
        <v>4670</v>
      </c>
      <c r="AW97" s="342">
        <f>+'[77]ESIC-Ledger'!C10</f>
        <v>4840</v>
      </c>
      <c r="AX97" s="342">
        <f>+'[77]ESIC-Ledger'!C12</f>
        <v>4636</v>
      </c>
      <c r="AY97" s="342">
        <f>+'[77]ESIC-Ledger'!C14</f>
        <v>4657</v>
      </c>
      <c r="AZ97" s="342">
        <f>+'[77]ESIC-Ledger'!C16</f>
        <v>4589</v>
      </c>
      <c r="BA97" s="342">
        <f>+'[77]ESIC-Ledger'!C18</f>
        <v>4470</v>
      </c>
      <c r="BB97" s="342">
        <f>+'[77]ESIC-Ledger'!C20</f>
        <v>4873</v>
      </c>
      <c r="BC97" s="342">
        <f>+'[77]ESIC-Ledger'!C22</f>
        <v>4102</v>
      </c>
      <c r="BD97" s="342">
        <f>+'[77]ESIC-Ledger'!C24</f>
        <v>4517</v>
      </c>
      <c r="BE97" s="342">
        <f>+'[77]ESIC-Ledger'!C26</f>
        <v>4420</v>
      </c>
      <c r="BF97" s="342">
        <f>+'[77]ESIC-Ledger'!C28</f>
        <v>4339</v>
      </c>
      <c r="BG97" s="342">
        <f>+'[77]ESIC-Ledger'!C30</f>
        <v>4316</v>
      </c>
      <c r="BH97" s="342">
        <f>+SUM(AV97:BG97)</f>
        <v>54429</v>
      </c>
      <c r="BJ97" s="344">
        <f>+'[77]ESIC-Ledger'!D8</f>
        <v>20150</v>
      </c>
      <c r="BK97" s="344">
        <f>+'[77]ESIC-Ledger'!D10</f>
        <v>20890</v>
      </c>
      <c r="BL97" s="344">
        <f>+'[77]ESIC-Ledger'!D12</f>
        <v>20006</v>
      </c>
      <c r="BM97" s="344">
        <f>+'[77]ESIC-Ledger'!D14</f>
        <v>20088</v>
      </c>
      <c r="BN97" s="344">
        <f>+'[77]ESIC-Ledger'!D16</f>
        <v>19792</v>
      </c>
      <c r="BO97" s="344">
        <f>+'[77]ESIC-Ledger'!D18</f>
        <v>19289</v>
      </c>
      <c r="BP97" s="344">
        <f>+'[77]ESIC-Ledger'!D20</f>
        <v>21034</v>
      </c>
      <c r="BQ97" s="344">
        <f>+'[77]ESIC-Ledger'!D22</f>
        <v>17698</v>
      </c>
      <c r="BR97" s="344">
        <f>+'[77]ESIC-Ledger'!D24</f>
        <v>19497</v>
      </c>
      <c r="BS97" s="344">
        <f>+'[77]ESIC-Ledger'!D26</f>
        <v>19076</v>
      </c>
      <c r="BT97" s="344">
        <f>+'[77]ESIC-Ledger'!D28</f>
        <v>18734</v>
      </c>
      <c r="BU97" s="344">
        <f>+'[77]ESIC-Ledger'!D30</f>
        <v>18628</v>
      </c>
      <c r="BV97" s="344">
        <f>+SUM(BJ97:BU97)</f>
        <v>234882</v>
      </c>
      <c r="BX97" s="293">
        <f>BX95-BX96</f>
        <v>12975</v>
      </c>
      <c r="BY97" s="293">
        <f t="shared" ref="BY97:CJ97" si="89">BY95-BY96</f>
        <v>12850</v>
      </c>
      <c r="BZ97" s="293">
        <f t="shared" si="89"/>
        <v>12800</v>
      </c>
      <c r="CA97" s="293">
        <f t="shared" si="89"/>
        <v>12625</v>
      </c>
      <c r="CB97" s="293">
        <f t="shared" si="89"/>
        <v>12800</v>
      </c>
      <c r="CC97" s="293">
        <f t="shared" si="89"/>
        <v>12450</v>
      </c>
      <c r="CD97" s="293">
        <f t="shared" si="89"/>
        <v>12500</v>
      </c>
      <c r="CE97" s="293">
        <f t="shared" si="89"/>
        <v>12400</v>
      </c>
      <c r="CF97" s="293">
        <f t="shared" si="89"/>
        <v>11925</v>
      </c>
      <c r="CG97" s="293">
        <f t="shared" si="89"/>
        <v>11825</v>
      </c>
      <c r="CH97" s="293">
        <f t="shared" si="89"/>
        <v>17250</v>
      </c>
      <c r="CI97" s="293">
        <f t="shared" si="89"/>
        <v>11850</v>
      </c>
      <c r="CJ97" s="293">
        <f t="shared" si="89"/>
        <v>154250</v>
      </c>
    </row>
    <row r="98" spans="2:88" ht="20.100000000000001" customHeight="1" thickBot="1">
      <c r="B98" s="338" t="s">
        <v>1126</v>
      </c>
      <c r="C98" s="339" t="s">
        <v>1800</v>
      </c>
      <c r="D98" s="340" t="s">
        <v>1801</v>
      </c>
      <c r="E98" s="341"/>
      <c r="F98" s="341"/>
      <c r="G98" s="341"/>
      <c r="H98" s="341"/>
      <c r="I98" s="341"/>
      <c r="J98" s="341"/>
      <c r="K98" s="341"/>
      <c r="L98" s="341"/>
      <c r="M98" s="341"/>
      <c r="N98" s="341"/>
      <c r="O98" s="341"/>
      <c r="P98" s="341"/>
      <c r="Q98" s="341"/>
      <c r="R98" s="341">
        <f>+R83</f>
        <v>241604</v>
      </c>
      <c r="T98" s="345">
        <f>+T96-T97</f>
        <v>0</v>
      </c>
      <c r="U98" s="345">
        <f t="shared" ref="U98:AE98" si="90">+U96-U97</f>
        <v>-939</v>
      </c>
      <c r="V98" s="345">
        <f t="shared" si="90"/>
        <v>0</v>
      </c>
      <c r="W98" s="345">
        <f t="shared" si="90"/>
        <v>0</v>
      </c>
      <c r="X98" s="345">
        <f t="shared" si="90"/>
        <v>0</v>
      </c>
      <c r="Y98" s="345">
        <f t="shared" si="90"/>
        <v>0</v>
      </c>
      <c r="Z98" s="345">
        <f t="shared" si="90"/>
        <v>0</v>
      </c>
      <c r="AA98" s="345">
        <f t="shared" si="90"/>
        <v>0</v>
      </c>
      <c r="AB98" s="345">
        <f t="shared" si="90"/>
        <v>0</v>
      </c>
      <c r="AC98" s="345">
        <f t="shared" si="90"/>
        <v>0</v>
      </c>
      <c r="AD98" s="345">
        <f t="shared" si="90"/>
        <v>0</v>
      </c>
      <c r="AE98" s="345">
        <f t="shared" si="90"/>
        <v>0</v>
      </c>
      <c r="AF98" s="346">
        <f>+SUM(T98:AE98)</f>
        <v>-939</v>
      </c>
      <c r="AH98" s="345">
        <f>+AH96-AH97</f>
        <v>5</v>
      </c>
      <c r="AI98" s="347">
        <f t="shared" ref="AI98:AS98" si="91">+AI96-AI97</f>
        <v>-965</v>
      </c>
      <c r="AJ98" s="347">
        <f t="shared" si="91"/>
        <v>-2</v>
      </c>
      <c r="AK98" s="347">
        <f t="shared" si="91"/>
        <v>0</v>
      </c>
      <c r="AL98" s="347">
        <f t="shared" si="91"/>
        <v>3</v>
      </c>
      <c r="AM98" s="347">
        <f t="shared" si="91"/>
        <v>0</v>
      </c>
      <c r="AN98" s="347">
        <f t="shared" si="91"/>
        <v>0</v>
      </c>
      <c r="AO98" s="347">
        <f t="shared" si="91"/>
        <v>4</v>
      </c>
      <c r="AP98" s="347">
        <f t="shared" si="91"/>
        <v>-1</v>
      </c>
      <c r="AQ98" s="347">
        <f t="shared" si="91"/>
        <v>-1</v>
      </c>
      <c r="AR98" s="347">
        <f t="shared" si="91"/>
        <v>1</v>
      </c>
      <c r="AS98" s="347">
        <f t="shared" si="91"/>
        <v>-1</v>
      </c>
      <c r="AT98" s="348">
        <f>+AT96-AT97</f>
        <v>-957</v>
      </c>
      <c r="AV98" s="349">
        <f>+AV96-AV97</f>
        <v>142</v>
      </c>
      <c r="AW98" s="350">
        <f t="shared" ref="AW98:BH98" si="92">+AW96-AW97</f>
        <v>-16</v>
      </c>
      <c r="AX98" s="350">
        <f t="shared" si="92"/>
        <v>83</v>
      </c>
      <c r="AY98" s="350">
        <f t="shared" si="92"/>
        <v>-179</v>
      </c>
      <c r="AZ98" s="350">
        <f t="shared" si="92"/>
        <v>-18</v>
      </c>
      <c r="BA98" s="350">
        <f t="shared" si="92"/>
        <v>-18</v>
      </c>
      <c r="BB98" s="350">
        <f t="shared" si="92"/>
        <v>-15</v>
      </c>
      <c r="BC98" s="350">
        <f t="shared" si="92"/>
        <v>141</v>
      </c>
      <c r="BD98" s="350">
        <f t="shared" si="92"/>
        <v>142</v>
      </c>
      <c r="BE98" s="350">
        <f t="shared" si="92"/>
        <v>-13</v>
      </c>
      <c r="BF98" s="350">
        <f t="shared" si="92"/>
        <v>95</v>
      </c>
      <c r="BG98" s="350">
        <f t="shared" si="92"/>
        <v>101</v>
      </c>
      <c r="BH98" s="351">
        <f t="shared" si="92"/>
        <v>445</v>
      </c>
      <c r="BJ98" s="352">
        <f>+BJ96-BJ97</f>
        <v>682</v>
      </c>
      <c r="BK98" s="353">
        <f t="shared" ref="BK98:BV98" si="93">+BK96-BK97</f>
        <v>2</v>
      </c>
      <c r="BL98" s="353">
        <f t="shared" si="93"/>
        <v>426</v>
      </c>
      <c r="BM98" s="353">
        <f t="shared" si="93"/>
        <v>-691</v>
      </c>
      <c r="BN98" s="353">
        <f t="shared" si="93"/>
        <v>1</v>
      </c>
      <c r="BO98" s="353">
        <f t="shared" si="93"/>
        <v>-1</v>
      </c>
      <c r="BP98" s="353">
        <f t="shared" si="93"/>
        <v>0</v>
      </c>
      <c r="BQ98" s="353">
        <f t="shared" si="93"/>
        <v>669</v>
      </c>
      <c r="BR98" s="353">
        <f t="shared" si="93"/>
        <v>683</v>
      </c>
      <c r="BS98" s="353">
        <f t="shared" si="93"/>
        <v>1</v>
      </c>
      <c r="BT98" s="353">
        <f t="shared" si="93"/>
        <v>463</v>
      </c>
      <c r="BU98" s="353">
        <f t="shared" si="93"/>
        <v>503</v>
      </c>
      <c r="BV98" s="354">
        <f t="shared" si="93"/>
        <v>2738</v>
      </c>
    </row>
    <row r="99" spans="2:88" ht="20.100000000000001" customHeight="1">
      <c r="B99" s="338"/>
      <c r="C99" s="339" t="s">
        <v>1802</v>
      </c>
      <c r="D99" s="340" t="s">
        <v>1803</v>
      </c>
      <c r="E99" s="341"/>
      <c r="F99" s="341"/>
      <c r="G99" s="341"/>
      <c r="H99" s="341"/>
      <c r="I99" s="341"/>
      <c r="J99" s="341"/>
      <c r="K99" s="341"/>
      <c r="L99" s="341"/>
      <c r="M99" s="341"/>
      <c r="N99" s="341"/>
      <c r="O99" s="341"/>
      <c r="P99" s="341"/>
      <c r="Q99" s="341"/>
      <c r="R99" s="341">
        <f>+R92</f>
        <v>399840</v>
      </c>
    </row>
    <row r="100" spans="2:88" ht="18" customHeight="1">
      <c r="C100" s="2392" t="s">
        <v>1804</v>
      </c>
      <c r="D100" s="2392"/>
      <c r="E100" s="2392"/>
      <c r="F100" s="2392"/>
      <c r="G100" s="2392"/>
      <c r="H100" s="2392"/>
      <c r="I100" s="2392"/>
      <c r="J100" s="2392"/>
      <c r="K100" s="2392"/>
      <c r="L100" s="2392"/>
      <c r="M100" s="2392"/>
      <c r="N100" s="2392"/>
      <c r="O100" s="2392"/>
      <c r="P100" s="2392"/>
      <c r="Q100" s="2392"/>
      <c r="R100" s="355">
        <f>SUM(R96:R99)</f>
        <v>1486209</v>
      </c>
    </row>
    <row r="102" spans="2:88">
      <c r="R102" s="293">
        <f>+GETPIVOTDATA("Sum of Cr. Final 21-22",Pivot!$A$3,"PARTICULARS","Incentive/ Bonus Payable","Note",20,"BS Main Head","Short Term Provisions","BS Sub Head","Provision for Employee Benefit")</f>
        <v>1486209</v>
      </c>
    </row>
    <row r="104" spans="2:88">
      <c r="Q104" s="324" t="s">
        <v>1805</v>
      </c>
      <c r="R104" s="356">
        <f>+R102-R100</f>
        <v>0</v>
      </c>
    </row>
  </sheetData>
  <mergeCells count="9">
    <mergeCell ref="C95:D95"/>
    <mergeCell ref="C100:Q100"/>
    <mergeCell ref="B2:R2"/>
    <mergeCell ref="B3:R3"/>
    <mergeCell ref="AH3:AR4"/>
    <mergeCell ref="C4:D4"/>
    <mergeCell ref="C57:D57"/>
    <mergeCell ref="C70:D70"/>
    <mergeCell ref="C85:D85"/>
  </mergeCells>
  <pageMargins left="0.7" right="0.7" top="0.75" bottom="0.75" header="0.3" footer="0.3"/>
  <pageSetup paperSize="9" scale="80" orientation="landscape" r:id="rId1"/>
  <rowBreaks count="3" manualBreakCount="3">
    <brk id="31" max="16383" man="1"/>
    <brk id="56" max="16383" man="1"/>
    <brk id="8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AE59"/>
  <sheetViews>
    <sheetView workbookViewId="0">
      <selection activeCell="X58" sqref="X58"/>
    </sheetView>
  </sheetViews>
  <sheetFormatPr defaultColWidth="8.85546875" defaultRowHeight="15"/>
  <cols>
    <col min="1" max="2" width="5.7109375" style="230" customWidth="1"/>
    <col min="3" max="3" width="30.42578125" style="230" bestFit="1" customWidth="1"/>
    <col min="4" max="15" width="4.7109375" style="230" customWidth="1"/>
    <col min="16" max="16" width="6.7109375" style="230" customWidth="1"/>
    <col min="17" max="17" width="4.7109375" style="230" customWidth="1"/>
    <col min="18" max="18" width="6.7109375" style="230" customWidth="1"/>
    <col min="19" max="19" width="4.7109375" style="230" customWidth="1"/>
    <col min="20" max="20" width="7.28515625" style="230" bestFit="1" customWidth="1"/>
    <col min="21" max="21" width="10.7109375" style="230" customWidth="1"/>
    <col min="22" max="22" width="11.5703125" style="230" bestFit="1" customWidth="1"/>
    <col min="23" max="23" width="10.42578125" style="230" bestFit="1" customWidth="1"/>
    <col min="24" max="24" width="10.7109375" style="230" customWidth="1"/>
    <col min="25" max="26" width="8.85546875" style="230"/>
    <col min="27" max="27" width="9.28515625" style="230" bestFit="1" customWidth="1"/>
    <col min="28" max="16384" width="8.85546875" style="230"/>
  </cols>
  <sheetData>
    <row r="2" spans="1:31" ht="18.75">
      <c r="A2" s="2398" t="s">
        <v>1065</v>
      </c>
      <c r="B2" s="2398"/>
      <c r="C2" s="2398"/>
      <c r="D2" s="2398"/>
      <c r="E2" s="2398"/>
      <c r="F2" s="2398"/>
      <c r="G2" s="2398"/>
      <c r="H2" s="2398"/>
      <c r="I2" s="2398"/>
      <c r="J2" s="2398"/>
      <c r="K2" s="2398"/>
      <c r="L2" s="2398"/>
      <c r="M2" s="2398"/>
      <c r="N2" s="2398"/>
      <c r="O2" s="2398"/>
      <c r="P2" s="2398"/>
      <c r="Q2" s="2398"/>
      <c r="R2" s="2398"/>
      <c r="S2" s="2398"/>
      <c r="T2" s="2398"/>
      <c r="U2" s="2398"/>
      <c r="V2" s="2398"/>
      <c r="W2" s="2398"/>
      <c r="X2" s="2398"/>
    </row>
    <row r="3" spans="1:31" ht="15.75">
      <c r="A3" s="2399" t="s">
        <v>1806</v>
      </c>
      <c r="B3" s="2399"/>
      <c r="C3" s="2399"/>
      <c r="D3" s="2399"/>
      <c r="E3" s="2399"/>
      <c r="F3" s="2399"/>
      <c r="G3" s="2399"/>
      <c r="H3" s="2399"/>
      <c r="I3" s="2399"/>
      <c r="J3" s="2399"/>
      <c r="K3" s="2399"/>
      <c r="L3" s="2399"/>
      <c r="M3" s="2399"/>
      <c r="N3" s="2399"/>
      <c r="O3" s="2399"/>
      <c r="P3" s="2399"/>
      <c r="Q3" s="2399"/>
      <c r="R3" s="2399"/>
      <c r="S3" s="2399"/>
      <c r="T3" s="2399"/>
      <c r="U3" s="2399"/>
      <c r="V3" s="2399"/>
      <c r="W3" s="2399"/>
      <c r="X3" s="2399"/>
    </row>
    <row r="5" spans="1:31">
      <c r="A5" s="357" t="s">
        <v>1807</v>
      </c>
      <c r="B5" s="358"/>
      <c r="C5" s="357" t="s">
        <v>1808</v>
      </c>
      <c r="D5" s="2400" t="s">
        <v>1809</v>
      </c>
      <c r="E5" s="2401"/>
      <c r="F5" s="2401"/>
      <c r="G5" s="2401"/>
      <c r="H5" s="2401"/>
      <c r="I5" s="2401"/>
      <c r="J5" s="2401"/>
      <c r="K5" s="2401"/>
      <c r="L5" s="2401"/>
      <c r="M5" s="2401"/>
      <c r="N5" s="2401"/>
      <c r="O5" s="2402"/>
      <c r="P5" s="2403" t="s">
        <v>1810</v>
      </c>
      <c r="Q5" s="2404"/>
      <c r="R5" s="2403" t="s">
        <v>1810</v>
      </c>
      <c r="S5" s="2404"/>
      <c r="T5" s="359" t="s">
        <v>1724</v>
      </c>
      <c r="U5" s="359" t="s">
        <v>1811</v>
      </c>
      <c r="V5" s="359" t="s">
        <v>1812</v>
      </c>
      <c r="W5" s="359" t="s">
        <v>1812</v>
      </c>
      <c r="X5" s="359" t="s">
        <v>1724</v>
      </c>
    </row>
    <row r="6" spans="1:31">
      <c r="A6" s="360"/>
      <c r="B6" s="361"/>
      <c r="C6" s="360"/>
      <c r="D6" s="360"/>
      <c r="E6" s="360"/>
      <c r="F6" s="360"/>
      <c r="G6" s="360"/>
      <c r="H6" s="360"/>
      <c r="I6" s="360"/>
      <c r="J6" s="360"/>
      <c r="K6" s="360"/>
      <c r="L6" s="360"/>
      <c r="M6" s="360"/>
      <c r="N6" s="360"/>
      <c r="O6" s="360"/>
      <c r="P6" s="2396" t="s">
        <v>1813</v>
      </c>
      <c r="Q6" s="2397"/>
      <c r="R6" s="2396" t="s">
        <v>1814</v>
      </c>
      <c r="S6" s="2397"/>
      <c r="T6" s="362" t="s">
        <v>1810</v>
      </c>
      <c r="U6" s="362" t="s">
        <v>1815</v>
      </c>
      <c r="V6" s="362" t="s">
        <v>1816</v>
      </c>
      <c r="W6" s="362" t="s">
        <v>1814</v>
      </c>
      <c r="X6" s="362" t="s">
        <v>1795</v>
      </c>
    </row>
    <row r="7" spans="1:31">
      <c r="A7" s="360"/>
      <c r="B7" s="361"/>
      <c r="C7" s="360"/>
      <c r="D7" s="360">
        <v>4</v>
      </c>
      <c r="E7" s="360">
        <v>5</v>
      </c>
      <c r="F7" s="360">
        <v>6</v>
      </c>
      <c r="G7" s="360">
        <v>7</v>
      </c>
      <c r="H7" s="360">
        <v>8</v>
      </c>
      <c r="I7" s="360">
        <v>9</v>
      </c>
      <c r="J7" s="360">
        <v>10</v>
      </c>
      <c r="K7" s="360">
        <v>11</v>
      </c>
      <c r="L7" s="360">
        <v>12</v>
      </c>
      <c r="M7" s="360">
        <v>1</v>
      </c>
      <c r="N7" s="360">
        <v>2</v>
      </c>
      <c r="O7" s="360">
        <v>3</v>
      </c>
      <c r="P7" s="2396" t="s">
        <v>1817</v>
      </c>
      <c r="Q7" s="2397"/>
      <c r="R7" s="2396" t="s">
        <v>1817</v>
      </c>
      <c r="S7" s="2397"/>
      <c r="T7" s="362"/>
      <c r="U7" s="362" t="s">
        <v>1818</v>
      </c>
      <c r="V7" s="362" t="s">
        <v>1817</v>
      </c>
      <c r="W7" s="362" t="s">
        <v>1817</v>
      </c>
      <c r="X7" s="362" t="s">
        <v>1818</v>
      </c>
    </row>
    <row r="8" spans="1:31" ht="15.75" thickBot="1">
      <c r="A8" s="363"/>
      <c r="B8" s="364"/>
      <c r="C8" s="363"/>
      <c r="D8" s="363"/>
      <c r="E8" s="363"/>
      <c r="F8" s="363"/>
      <c r="G8" s="363"/>
      <c r="H8" s="363"/>
      <c r="I8" s="363"/>
      <c r="J8" s="363"/>
      <c r="K8" s="363"/>
      <c r="L8" s="363"/>
      <c r="M8" s="363"/>
      <c r="N8" s="363"/>
      <c r="O8" s="363"/>
      <c r="P8" s="2405" t="s">
        <v>1819</v>
      </c>
      <c r="Q8" s="2406"/>
      <c r="R8" s="2405" t="s">
        <v>1820</v>
      </c>
      <c r="S8" s="2406"/>
      <c r="T8" s="365"/>
      <c r="U8" s="365"/>
      <c r="V8" s="365" t="s">
        <v>1819</v>
      </c>
      <c r="W8" s="365" t="s">
        <v>1820</v>
      </c>
      <c r="X8" s="365"/>
    </row>
    <row r="9" spans="1:31" ht="24.95" customHeight="1" thickTop="1">
      <c r="A9" s="366">
        <v>1</v>
      </c>
      <c r="B9" s="367" t="s">
        <v>1727</v>
      </c>
      <c r="C9" s="368" t="s">
        <v>1728</v>
      </c>
      <c r="D9" s="369">
        <v>25</v>
      </c>
      <c r="E9" s="369">
        <v>24</v>
      </c>
      <c r="F9" s="369">
        <v>21</v>
      </c>
      <c r="G9" s="369">
        <v>27</v>
      </c>
      <c r="H9" s="369">
        <v>22</v>
      </c>
      <c r="I9" s="369">
        <v>20</v>
      </c>
      <c r="J9" s="369">
        <v>24</v>
      </c>
      <c r="K9" s="369">
        <v>19</v>
      </c>
      <c r="L9" s="369">
        <v>26</v>
      </c>
      <c r="M9" s="370">
        <v>19</v>
      </c>
      <c r="N9" s="370">
        <v>22</v>
      </c>
      <c r="O9" s="371">
        <v>25</v>
      </c>
      <c r="P9" s="372">
        <f t="shared" ref="P9:P33" si="0">SUM(D9:L9)</f>
        <v>208</v>
      </c>
      <c r="Q9" s="366">
        <f t="shared" ref="Q9:Q33" si="1">ROUND(P9/20,0)</f>
        <v>10</v>
      </c>
      <c r="R9" s="373">
        <f t="shared" ref="R9:R33" si="2">SUM(M9:O9)</f>
        <v>66</v>
      </c>
      <c r="S9" s="373">
        <f t="shared" ref="S9:S33" si="3">ROUND(R9/20,0)</f>
        <v>3</v>
      </c>
      <c r="T9" s="374">
        <f t="shared" ref="T9:T33" si="4">SUM(Q9+S9)</f>
        <v>13</v>
      </c>
      <c r="U9" s="374">
        <f t="shared" ref="U9:U33" si="5">ROUND(AA9*60%,0)</f>
        <v>29400</v>
      </c>
      <c r="V9" s="375">
        <f t="shared" ref="V9:V33" si="6">ROUND(U9/26*Q9,0)</f>
        <v>11308</v>
      </c>
      <c r="W9" s="376">
        <f t="shared" ref="W9:W33" si="7">ROUND(U9/26*S9,0)</f>
        <v>3392</v>
      </c>
      <c r="X9" s="377">
        <f t="shared" ref="X9:X33" si="8">SUM(V9:W9)</f>
        <v>14700</v>
      </c>
      <c r="AA9" s="230">
        <v>49000</v>
      </c>
      <c r="AC9" s="378"/>
      <c r="AD9" s="378"/>
      <c r="AE9" s="379"/>
    </row>
    <row r="10" spans="1:31" ht="24.95" customHeight="1">
      <c r="A10" s="366">
        <v>2</v>
      </c>
      <c r="B10" s="367" t="s">
        <v>1727</v>
      </c>
      <c r="C10" s="368" t="s">
        <v>1729</v>
      </c>
      <c r="D10" s="366">
        <v>21</v>
      </c>
      <c r="E10" s="366">
        <v>25</v>
      </c>
      <c r="F10" s="366">
        <v>25</v>
      </c>
      <c r="G10" s="366">
        <v>26</v>
      </c>
      <c r="H10" s="366">
        <v>26</v>
      </c>
      <c r="I10" s="366">
        <v>25</v>
      </c>
      <c r="J10" s="366">
        <v>25</v>
      </c>
      <c r="K10" s="366">
        <v>25</v>
      </c>
      <c r="L10" s="366">
        <v>26</v>
      </c>
      <c r="M10" s="370">
        <v>26</v>
      </c>
      <c r="N10" s="370">
        <v>26</v>
      </c>
      <c r="O10" s="371">
        <v>22</v>
      </c>
      <c r="P10" s="372">
        <f t="shared" si="0"/>
        <v>224</v>
      </c>
      <c r="Q10" s="366">
        <f t="shared" si="1"/>
        <v>11</v>
      </c>
      <c r="R10" s="373">
        <f t="shared" si="2"/>
        <v>74</v>
      </c>
      <c r="S10" s="373">
        <f t="shared" si="3"/>
        <v>4</v>
      </c>
      <c r="T10" s="374">
        <f t="shared" si="4"/>
        <v>15</v>
      </c>
      <c r="U10" s="374">
        <f t="shared" si="5"/>
        <v>15600</v>
      </c>
      <c r="V10" s="375">
        <f t="shared" si="6"/>
        <v>6600</v>
      </c>
      <c r="W10" s="376">
        <f t="shared" si="7"/>
        <v>2400</v>
      </c>
      <c r="X10" s="377">
        <f t="shared" si="8"/>
        <v>9000</v>
      </c>
      <c r="AA10" s="230">
        <v>26000</v>
      </c>
      <c r="AC10" s="378"/>
      <c r="AD10" s="378"/>
      <c r="AE10" s="379"/>
    </row>
    <row r="11" spans="1:31" ht="24.95" customHeight="1">
      <c r="A11" s="366">
        <v>3</v>
      </c>
      <c r="B11" s="367" t="s">
        <v>1727</v>
      </c>
      <c r="C11" s="368" t="s">
        <v>1730</v>
      </c>
      <c r="D11" s="369">
        <v>25</v>
      </c>
      <c r="E11" s="369">
        <v>26</v>
      </c>
      <c r="F11" s="369">
        <v>13</v>
      </c>
      <c r="G11" s="369">
        <v>24</v>
      </c>
      <c r="H11" s="369">
        <v>27</v>
      </c>
      <c r="I11" s="369">
        <v>24</v>
      </c>
      <c r="J11" s="369">
        <v>25</v>
      </c>
      <c r="K11" s="369">
        <v>23</v>
      </c>
      <c r="L11" s="369">
        <v>21</v>
      </c>
      <c r="M11" s="370">
        <v>27</v>
      </c>
      <c r="N11" s="370">
        <v>26</v>
      </c>
      <c r="O11" s="371">
        <v>23</v>
      </c>
      <c r="P11" s="372">
        <f t="shared" si="0"/>
        <v>208</v>
      </c>
      <c r="Q11" s="366">
        <f t="shared" si="1"/>
        <v>10</v>
      </c>
      <c r="R11" s="373">
        <f t="shared" si="2"/>
        <v>76</v>
      </c>
      <c r="S11" s="373">
        <f t="shared" si="3"/>
        <v>4</v>
      </c>
      <c r="T11" s="374">
        <f t="shared" si="4"/>
        <v>14</v>
      </c>
      <c r="U11" s="374">
        <f t="shared" si="5"/>
        <v>15600</v>
      </c>
      <c r="V11" s="375">
        <f t="shared" si="6"/>
        <v>6000</v>
      </c>
      <c r="W11" s="376">
        <f t="shared" si="7"/>
        <v>2400</v>
      </c>
      <c r="X11" s="377">
        <f t="shared" si="8"/>
        <v>8400</v>
      </c>
      <c r="AA11" s="230">
        <v>26000</v>
      </c>
      <c r="AC11" s="378"/>
      <c r="AD11" s="378"/>
      <c r="AE11" s="379"/>
    </row>
    <row r="12" spans="1:31" ht="24.95" customHeight="1">
      <c r="A12" s="366">
        <v>4</v>
      </c>
      <c r="B12" s="367" t="s">
        <v>1727</v>
      </c>
      <c r="C12" s="368" t="s">
        <v>1731</v>
      </c>
      <c r="D12" s="366">
        <v>26</v>
      </c>
      <c r="E12" s="366">
        <v>25</v>
      </c>
      <c r="F12" s="366">
        <v>21</v>
      </c>
      <c r="G12" s="366">
        <v>24</v>
      </c>
      <c r="H12" s="366">
        <v>23</v>
      </c>
      <c r="I12" s="366">
        <v>24</v>
      </c>
      <c r="J12" s="366">
        <v>26</v>
      </c>
      <c r="K12" s="366">
        <v>17</v>
      </c>
      <c r="L12" s="366">
        <v>26</v>
      </c>
      <c r="M12" s="370">
        <v>24</v>
      </c>
      <c r="N12" s="370">
        <v>26</v>
      </c>
      <c r="O12" s="371">
        <v>25</v>
      </c>
      <c r="P12" s="372">
        <f t="shared" si="0"/>
        <v>212</v>
      </c>
      <c r="Q12" s="366">
        <f t="shared" si="1"/>
        <v>11</v>
      </c>
      <c r="R12" s="373">
        <f t="shared" si="2"/>
        <v>75</v>
      </c>
      <c r="S12" s="373">
        <f t="shared" si="3"/>
        <v>4</v>
      </c>
      <c r="T12" s="374">
        <f t="shared" si="4"/>
        <v>15</v>
      </c>
      <c r="U12" s="374">
        <f t="shared" si="5"/>
        <v>12300</v>
      </c>
      <c r="V12" s="375">
        <f t="shared" si="6"/>
        <v>5204</v>
      </c>
      <c r="W12" s="376">
        <f t="shared" si="7"/>
        <v>1892</v>
      </c>
      <c r="X12" s="377">
        <f t="shared" si="8"/>
        <v>7096</v>
      </c>
      <c r="AA12" s="230">
        <v>20500</v>
      </c>
      <c r="AC12" s="378"/>
      <c r="AD12" s="378"/>
      <c r="AE12" s="379"/>
    </row>
    <row r="13" spans="1:31" ht="24.95" customHeight="1">
      <c r="A13" s="366">
        <v>5</v>
      </c>
      <c r="B13" s="367" t="s">
        <v>1727</v>
      </c>
      <c r="C13" s="368" t="s">
        <v>1732</v>
      </c>
      <c r="D13" s="369">
        <v>26</v>
      </c>
      <c r="E13" s="369">
        <v>26</v>
      </c>
      <c r="F13" s="369">
        <v>25</v>
      </c>
      <c r="G13" s="369">
        <v>27</v>
      </c>
      <c r="H13" s="369">
        <v>24</v>
      </c>
      <c r="I13" s="369">
        <v>24</v>
      </c>
      <c r="J13" s="369">
        <v>25</v>
      </c>
      <c r="K13" s="369">
        <v>25</v>
      </c>
      <c r="L13" s="369">
        <v>26</v>
      </c>
      <c r="M13" s="370">
        <v>26</v>
      </c>
      <c r="N13" s="370">
        <v>26</v>
      </c>
      <c r="O13" s="371">
        <v>25</v>
      </c>
      <c r="P13" s="372">
        <f t="shared" si="0"/>
        <v>228</v>
      </c>
      <c r="Q13" s="366">
        <f t="shared" si="1"/>
        <v>11</v>
      </c>
      <c r="R13" s="373">
        <f t="shared" si="2"/>
        <v>77</v>
      </c>
      <c r="S13" s="373">
        <f t="shared" si="3"/>
        <v>4</v>
      </c>
      <c r="T13" s="374">
        <f t="shared" si="4"/>
        <v>15</v>
      </c>
      <c r="U13" s="374">
        <f t="shared" si="5"/>
        <v>12300</v>
      </c>
      <c r="V13" s="375">
        <f t="shared" si="6"/>
        <v>5204</v>
      </c>
      <c r="W13" s="376">
        <f t="shared" si="7"/>
        <v>1892</v>
      </c>
      <c r="X13" s="377">
        <f t="shared" si="8"/>
        <v>7096</v>
      </c>
      <c r="AA13" s="230">
        <v>20500</v>
      </c>
      <c r="AC13" s="378"/>
      <c r="AD13" s="378"/>
      <c r="AE13" s="379"/>
    </row>
    <row r="14" spans="1:31" ht="24.95" customHeight="1">
      <c r="A14" s="366">
        <v>6</v>
      </c>
      <c r="B14" s="367" t="s">
        <v>1727</v>
      </c>
      <c r="C14" s="368" t="s">
        <v>209</v>
      </c>
      <c r="D14" s="366">
        <v>23</v>
      </c>
      <c r="E14" s="366">
        <v>18</v>
      </c>
      <c r="F14" s="366">
        <v>6.5</v>
      </c>
      <c r="G14" s="366">
        <v>0</v>
      </c>
      <c r="H14" s="366">
        <v>0</v>
      </c>
      <c r="I14" s="366">
        <v>0</v>
      </c>
      <c r="J14" s="366">
        <v>0</v>
      </c>
      <c r="K14" s="366">
        <v>16</v>
      </c>
      <c r="L14" s="366">
        <v>27</v>
      </c>
      <c r="M14" s="370">
        <v>24</v>
      </c>
      <c r="N14" s="370">
        <v>26</v>
      </c>
      <c r="O14" s="371">
        <v>24</v>
      </c>
      <c r="P14" s="372">
        <f t="shared" si="0"/>
        <v>90.5</v>
      </c>
      <c r="Q14" s="366">
        <f t="shared" si="1"/>
        <v>5</v>
      </c>
      <c r="R14" s="373">
        <f t="shared" si="2"/>
        <v>74</v>
      </c>
      <c r="S14" s="373">
        <f t="shared" si="3"/>
        <v>4</v>
      </c>
      <c r="T14" s="374">
        <f t="shared" si="4"/>
        <v>9</v>
      </c>
      <c r="U14" s="374">
        <f t="shared" si="5"/>
        <v>8580</v>
      </c>
      <c r="V14" s="375">
        <f t="shared" si="6"/>
        <v>1650</v>
      </c>
      <c r="W14" s="376">
        <f t="shared" si="7"/>
        <v>1320</v>
      </c>
      <c r="X14" s="377">
        <f t="shared" si="8"/>
        <v>2970</v>
      </c>
      <c r="AA14" s="230">
        <v>14300</v>
      </c>
      <c r="AC14" s="378"/>
      <c r="AD14" s="378"/>
      <c r="AE14" s="379"/>
    </row>
    <row r="15" spans="1:31" ht="24.95" customHeight="1">
      <c r="A15" s="366">
        <v>7</v>
      </c>
      <c r="B15" s="367" t="s">
        <v>1727</v>
      </c>
      <c r="C15" s="368" t="s">
        <v>1733</v>
      </c>
      <c r="D15" s="369">
        <v>25</v>
      </c>
      <c r="E15" s="369">
        <v>24</v>
      </c>
      <c r="F15" s="369">
        <v>26</v>
      </c>
      <c r="G15" s="369">
        <v>23</v>
      </c>
      <c r="H15" s="369">
        <v>27</v>
      </c>
      <c r="I15" s="369">
        <v>23</v>
      </c>
      <c r="J15" s="369">
        <v>23</v>
      </c>
      <c r="K15" s="369">
        <v>22</v>
      </c>
      <c r="L15" s="369">
        <v>24</v>
      </c>
      <c r="M15" s="370">
        <v>25</v>
      </c>
      <c r="N15" s="370">
        <v>26</v>
      </c>
      <c r="O15" s="371">
        <v>26</v>
      </c>
      <c r="P15" s="372">
        <f t="shared" si="0"/>
        <v>217</v>
      </c>
      <c r="Q15" s="366">
        <f t="shared" si="1"/>
        <v>11</v>
      </c>
      <c r="R15" s="373">
        <f t="shared" si="2"/>
        <v>77</v>
      </c>
      <c r="S15" s="373">
        <f t="shared" si="3"/>
        <v>4</v>
      </c>
      <c r="T15" s="374">
        <f t="shared" si="4"/>
        <v>15</v>
      </c>
      <c r="U15" s="374">
        <f t="shared" si="5"/>
        <v>8580</v>
      </c>
      <c r="V15" s="375">
        <f t="shared" si="6"/>
        <v>3630</v>
      </c>
      <c r="W15" s="376">
        <f t="shared" si="7"/>
        <v>1320</v>
      </c>
      <c r="X15" s="377">
        <f t="shared" si="8"/>
        <v>4950</v>
      </c>
      <c r="AA15" s="230">
        <v>14300</v>
      </c>
      <c r="AC15" s="378"/>
      <c r="AD15" s="378"/>
      <c r="AE15" s="379"/>
    </row>
    <row r="16" spans="1:31" ht="24.95" customHeight="1">
      <c r="A16" s="366">
        <v>8</v>
      </c>
      <c r="B16" s="367" t="s">
        <v>1727</v>
      </c>
      <c r="C16" s="368" t="s">
        <v>1734</v>
      </c>
      <c r="D16" s="366">
        <v>24</v>
      </c>
      <c r="E16" s="366">
        <v>26</v>
      </c>
      <c r="F16" s="366">
        <v>26</v>
      </c>
      <c r="G16" s="366">
        <v>26</v>
      </c>
      <c r="H16" s="366">
        <v>24</v>
      </c>
      <c r="I16" s="366">
        <v>24</v>
      </c>
      <c r="J16" s="366">
        <v>27</v>
      </c>
      <c r="K16" s="366">
        <v>23</v>
      </c>
      <c r="L16" s="366">
        <v>25</v>
      </c>
      <c r="M16" s="370">
        <v>27</v>
      </c>
      <c r="N16" s="370">
        <v>22</v>
      </c>
      <c r="O16" s="371">
        <v>24</v>
      </c>
      <c r="P16" s="372">
        <f t="shared" si="0"/>
        <v>225</v>
      </c>
      <c r="Q16" s="366">
        <f t="shared" si="1"/>
        <v>11</v>
      </c>
      <c r="R16" s="373">
        <f t="shared" si="2"/>
        <v>73</v>
      </c>
      <c r="S16" s="373">
        <f t="shared" si="3"/>
        <v>4</v>
      </c>
      <c r="T16" s="374">
        <f t="shared" si="4"/>
        <v>15</v>
      </c>
      <c r="U16" s="374">
        <f t="shared" si="5"/>
        <v>8580</v>
      </c>
      <c r="V16" s="375">
        <f t="shared" si="6"/>
        <v>3630</v>
      </c>
      <c r="W16" s="376">
        <f t="shared" si="7"/>
        <v>1320</v>
      </c>
      <c r="X16" s="377">
        <f t="shared" si="8"/>
        <v>4950</v>
      </c>
      <c r="AA16" s="230">
        <v>14300</v>
      </c>
      <c r="AC16" s="378"/>
      <c r="AD16" s="378"/>
      <c r="AE16" s="379"/>
    </row>
    <row r="17" spans="1:31" ht="24.95" customHeight="1">
      <c r="A17" s="366">
        <v>9</v>
      </c>
      <c r="B17" s="367" t="s">
        <v>1727</v>
      </c>
      <c r="C17" s="368" t="s">
        <v>1735</v>
      </c>
      <c r="D17" s="369">
        <v>22</v>
      </c>
      <c r="E17" s="369">
        <v>24</v>
      </c>
      <c r="F17" s="369">
        <v>23</v>
      </c>
      <c r="G17" s="369">
        <v>17</v>
      </c>
      <c r="H17" s="369">
        <v>27</v>
      </c>
      <c r="I17" s="369">
        <v>23</v>
      </c>
      <c r="J17" s="369">
        <v>19</v>
      </c>
      <c r="K17" s="369">
        <v>17</v>
      </c>
      <c r="L17" s="369">
        <v>25</v>
      </c>
      <c r="M17" s="370">
        <v>25</v>
      </c>
      <c r="N17" s="370">
        <v>22</v>
      </c>
      <c r="O17" s="371">
        <v>22</v>
      </c>
      <c r="P17" s="372">
        <f t="shared" si="0"/>
        <v>197</v>
      </c>
      <c r="Q17" s="366">
        <f t="shared" si="1"/>
        <v>10</v>
      </c>
      <c r="R17" s="373">
        <f t="shared" si="2"/>
        <v>69</v>
      </c>
      <c r="S17" s="373">
        <f t="shared" si="3"/>
        <v>3</v>
      </c>
      <c r="T17" s="374">
        <f t="shared" si="4"/>
        <v>13</v>
      </c>
      <c r="U17" s="374">
        <f t="shared" si="5"/>
        <v>7860</v>
      </c>
      <c r="V17" s="375">
        <f t="shared" si="6"/>
        <v>3023</v>
      </c>
      <c r="W17" s="376">
        <f t="shared" si="7"/>
        <v>907</v>
      </c>
      <c r="X17" s="377">
        <f t="shared" si="8"/>
        <v>3930</v>
      </c>
      <c r="AA17" s="230">
        <v>13100</v>
      </c>
      <c r="AC17" s="378"/>
      <c r="AD17" s="378"/>
      <c r="AE17" s="379"/>
    </row>
    <row r="18" spans="1:31" ht="24.95" customHeight="1">
      <c r="A18" s="366">
        <v>10</v>
      </c>
      <c r="B18" s="367" t="s">
        <v>1727</v>
      </c>
      <c r="C18" s="368" t="s">
        <v>1736</v>
      </c>
      <c r="D18" s="366">
        <v>25</v>
      </c>
      <c r="E18" s="366">
        <v>23</v>
      </c>
      <c r="F18" s="366">
        <v>24</v>
      </c>
      <c r="G18" s="366">
        <v>24</v>
      </c>
      <c r="H18" s="366">
        <v>21</v>
      </c>
      <c r="I18" s="366">
        <v>23</v>
      </c>
      <c r="J18" s="366">
        <v>26</v>
      </c>
      <c r="K18" s="366">
        <v>21</v>
      </c>
      <c r="L18" s="366">
        <v>24</v>
      </c>
      <c r="M18" s="370">
        <v>23</v>
      </c>
      <c r="N18" s="370">
        <v>19</v>
      </c>
      <c r="O18" s="371">
        <v>26</v>
      </c>
      <c r="P18" s="372">
        <f t="shared" si="0"/>
        <v>211</v>
      </c>
      <c r="Q18" s="366">
        <f t="shared" si="1"/>
        <v>11</v>
      </c>
      <c r="R18" s="373">
        <f t="shared" si="2"/>
        <v>68</v>
      </c>
      <c r="S18" s="373">
        <f t="shared" si="3"/>
        <v>3</v>
      </c>
      <c r="T18" s="374">
        <f t="shared" si="4"/>
        <v>14</v>
      </c>
      <c r="U18" s="374">
        <f t="shared" si="5"/>
        <v>7980</v>
      </c>
      <c r="V18" s="375">
        <f t="shared" si="6"/>
        <v>3376</v>
      </c>
      <c r="W18" s="376">
        <f t="shared" si="7"/>
        <v>921</v>
      </c>
      <c r="X18" s="377">
        <f t="shared" si="8"/>
        <v>4297</v>
      </c>
      <c r="AA18" s="230">
        <v>13300</v>
      </c>
      <c r="AC18" s="378"/>
      <c r="AD18" s="378"/>
      <c r="AE18" s="379"/>
    </row>
    <row r="19" spans="1:31" ht="24.95" customHeight="1">
      <c r="A19" s="366">
        <v>11</v>
      </c>
      <c r="B19" s="367" t="s">
        <v>1727</v>
      </c>
      <c r="C19" s="368" t="s">
        <v>1737</v>
      </c>
      <c r="D19" s="369">
        <v>22</v>
      </c>
      <c r="E19" s="369">
        <v>23</v>
      </c>
      <c r="F19" s="369">
        <v>23</v>
      </c>
      <c r="G19" s="369">
        <v>22</v>
      </c>
      <c r="H19" s="369">
        <v>22</v>
      </c>
      <c r="I19" s="369">
        <v>25</v>
      </c>
      <c r="J19" s="369">
        <v>24</v>
      </c>
      <c r="K19" s="369">
        <v>20</v>
      </c>
      <c r="L19" s="369">
        <v>24</v>
      </c>
      <c r="M19" s="370">
        <v>22</v>
      </c>
      <c r="N19" s="370">
        <v>20</v>
      </c>
      <c r="O19" s="371">
        <v>24</v>
      </c>
      <c r="P19" s="372">
        <f t="shared" si="0"/>
        <v>205</v>
      </c>
      <c r="Q19" s="366">
        <f t="shared" si="1"/>
        <v>10</v>
      </c>
      <c r="R19" s="373">
        <f t="shared" si="2"/>
        <v>66</v>
      </c>
      <c r="S19" s="373">
        <f t="shared" si="3"/>
        <v>3</v>
      </c>
      <c r="T19" s="374">
        <f t="shared" si="4"/>
        <v>13</v>
      </c>
      <c r="U19" s="374">
        <f t="shared" si="5"/>
        <v>7920</v>
      </c>
      <c r="V19" s="375">
        <f t="shared" si="6"/>
        <v>3046</v>
      </c>
      <c r="W19" s="376">
        <f t="shared" si="7"/>
        <v>914</v>
      </c>
      <c r="X19" s="377">
        <f t="shared" si="8"/>
        <v>3960</v>
      </c>
      <c r="AA19" s="230">
        <v>13200</v>
      </c>
      <c r="AC19" s="378"/>
      <c r="AD19" s="378"/>
      <c r="AE19" s="379"/>
    </row>
    <row r="20" spans="1:31" ht="24.95" customHeight="1">
      <c r="A20" s="366">
        <v>12</v>
      </c>
      <c r="B20" s="367" t="s">
        <v>1727</v>
      </c>
      <c r="C20" s="368" t="s">
        <v>1821</v>
      </c>
      <c r="D20" s="366">
        <v>21</v>
      </c>
      <c r="E20" s="366">
        <v>26</v>
      </c>
      <c r="F20" s="366">
        <v>25</v>
      </c>
      <c r="G20" s="366">
        <v>23</v>
      </c>
      <c r="H20" s="366">
        <v>27</v>
      </c>
      <c r="I20" s="366">
        <v>22</v>
      </c>
      <c r="J20" s="366">
        <v>25</v>
      </c>
      <c r="K20" s="366">
        <v>20</v>
      </c>
      <c r="L20" s="366">
        <v>17</v>
      </c>
      <c r="M20" s="370">
        <v>24</v>
      </c>
      <c r="N20" s="370">
        <v>20</v>
      </c>
      <c r="O20" s="371">
        <v>25</v>
      </c>
      <c r="P20" s="372">
        <f t="shared" si="0"/>
        <v>206</v>
      </c>
      <c r="Q20" s="366">
        <f t="shared" si="1"/>
        <v>10</v>
      </c>
      <c r="R20" s="373">
        <f t="shared" si="2"/>
        <v>69</v>
      </c>
      <c r="S20" s="373">
        <f t="shared" si="3"/>
        <v>3</v>
      </c>
      <c r="T20" s="374">
        <f t="shared" si="4"/>
        <v>13</v>
      </c>
      <c r="U20" s="374">
        <f t="shared" si="5"/>
        <v>7980</v>
      </c>
      <c r="V20" s="375">
        <f t="shared" si="6"/>
        <v>3069</v>
      </c>
      <c r="W20" s="376">
        <f t="shared" si="7"/>
        <v>921</v>
      </c>
      <c r="X20" s="377">
        <f t="shared" si="8"/>
        <v>3990</v>
      </c>
      <c r="AA20" s="230">
        <v>13300</v>
      </c>
      <c r="AC20" s="378"/>
      <c r="AD20" s="378"/>
      <c r="AE20" s="379"/>
    </row>
    <row r="21" spans="1:31" ht="24.95" customHeight="1">
      <c r="A21" s="366">
        <v>13</v>
      </c>
      <c r="B21" s="367" t="s">
        <v>1727</v>
      </c>
      <c r="C21" s="380" t="s">
        <v>1739</v>
      </c>
      <c r="D21" s="369">
        <v>24</v>
      </c>
      <c r="E21" s="369">
        <v>25</v>
      </c>
      <c r="F21" s="369">
        <v>21</v>
      </c>
      <c r="G21" s="369">
        <v>26</v>
      </c>
      <c r="H21" s="369">
        <v>25</v>
      </c>
      <c r="I21" s="369">
        <v>25</v>
      </c>
      <c r="J21" s="369">
        <v>27</v>
      </c>
      <c r="K21" s="369">
        <v>20</v>
      </c>
      <c r="L21" s="369">
        <v>26</v>
      </c>
      <c r="M21" s="370">
        <v>22</v>
      </c>
      <c r="N21" s="370">
        <v>17</v>
      </c>
      <c r="O21" s="371">
        <v>27</v>
      </c>
      <c r="P21" s="372">
        <f t="shared" si="0"/>
        <v>219</v>
      </c>
      <c r="Q21" s="366">
        <f t="shared" si="1"/>
        <v>11</v>
      </c>
      <c r="R21" s="373">
        <f t="shared" si="2"/>
        <v>66</v>
      </c>
      <c r="S21" s="373">
        <f t="shared" si="3"/>
        <v>3</v>
      </c>
      <c r="T21" s="374">
        <f t="shared" si="4"/>
        <v>14</v>
      </c>
      <c r="U21" s="374">
        <f t="shared" si="5"/>
        <v>7020</v>
      </c>
      <c r="V21" s="375">
        <f t="shared" si="6"/>
        <v>2970</v>
      </c>
      <c r="W21" s="376">
        <f t="shared" si="7"/>
        <v>810</v>
      </c>
      <c r="X21" s="377">
        <f t="shared" si="8"/>
        <v>3780</v>
      </c>
      <c r="AA21" s="230">
        <v>11700</v>
      </c>
      <c r="AC21" s="378"/>
      <c r="AD21" s="378"/>
      <c r="AE21" s="379"/>
    </row>
    <row r="22" spans="1:31" ht="24.95" customHeight="1">
      <c r="A22" s="366">
        <v>14</v>
      </c>
      <c r="B22" s="367" t="s">
        <v>1727</v>
      </c>
      <c r="C22" s="368" t="s">
        <v>1740</v>
      </c>
      <c r="D22" s="366">
        <v>25</v>
      </c>
      <c r="E22" s="366">
        <v>26</v>
      </c>
      <c r="F22" s="366">
        <v>20</v>
      </c>
      <c r="G22" s="366">
        <v>22</v>
      </c>
      <c r="H22" s="366">
        <v>25</v>
      </c>
      <c r="I22" s="366">
        <v>25</v>
      </c>
      <c r="J22" s="366">
        <v>24</v>
      </c>
      <c r="K22" s="366">
        <v>22</v>
      </c>
      <c r="L22" s="366">
        <v>24</v>
      </c>
      <c r="M22" s="370">
        <v>21</v>
      </c>
      <c r="N22" s="370">
        <v>26</v>
      </c>
      <c r="O22" s="371">
        <v>23</v>
      </c>
      <c r="P22" s="372">
        <f t="shared" si="0"/>
        <v>213</v>
      </c>
      <c r="Q22" s="366">
        <f t="shared" si="1"/>
        <v>11</v>
      </c>
      <c r="R22" s="373">
        <f t="shared" si="2"/>
        <v>70</v>
      </c>
      <c r="S22" s="373">
        <f t="shared" si="3"/>
        <v>4</v>
      </c>
      <c r="T22" s="374">
        <f t="shared" si="4"/>
        <v>15</v>
      </c>
      <c r="U22" s="374">
        <f t="shared" si="5"/>
        <v>6720</v>
      </c>
      <c r="V22" s="375">
        <f t="shared" si="6"/>
        <v>2843</v>
      </c>
      <c r="W22" s="376">
        <f t="shared" si="7"/>
        <v>1034</v>
      </c>
      <c r="X22" s="377">
        <f t="shared" si="8"/>
        <v>3877</v>
      </c>
      <c r="AA22" s="230">
        <v>11200</v>
      </c>
      <c r="AC22" s="378"/>
      <c r="AD22" s="378"/>
      <c r="AE22" s="379"/>
    </row>
    <row r="23" spans="1:31" ht="24.95" customHeight="1">
      <c r="A23" s="366">
        <v>15</v>
      </c>
      <c r="B23" s="367" t="s">
        <v>1727</v>
      </c>
      <c r="C23" s="368" t="s">
        <v>1741</v>
      </c>
      <c r="D23" s="369">
        <v>23</v>
      </c>
      <c r="E23" s="369">
        <v>19</v>
      </c>
      <c r="F23" s="369">
        <v>17</v>
      </c>
      <c r="G23" s="369">
        <v>20</v>
      </c>
      <c r="H23" s="369">
        <v>22</v>
      </c>
      <c r="I23" s="369">
        <v>23</v>
      </c>
      <c r="J23" s="369">
        <v>24</v>
      </c>
      <c r="K23" s="369">
        <v>20</v>
      </c>
      <c r="L23" s="369">
        <v>23</v>
      </c>
      <c r="M23" s="370">
        <v>23</v>
      </c>
      <c r="N23" s="370">
        <v>26</v>
      </c>
      <c r="O23" s="371">
        <v>18</v>
      </c>
      <c r="P23" s="372">
        <f t="shared" si="0"/>
        <v>191</v>
      </c>
      <c r="Q23" s="366">
        <f t="shared" si="1"/>
        <v>10</v>
      </c>
      <c r="R23" s="373">
        <f t="shared" si="2"/>
        <v>67</v>
      </c>
      <c r="S23" s="373">
        <f t="shared" si="3"/>
        <v>3</v>
      </c>
      <c r="T23" s="374">
        <f t="shared" si="4"/>
        <v>13</v>
      </c>
      <c r="U23" s="374">
        <f t="shared" si="5"/>
        <v>6300</v>
      </c>
      <c r="V23" s="375">
        <f t="shared" si="6"/>
        <v>2423</v>
      </c>
      <c r="W23" s="376">
        <f t="shared" si="7"/>
        <v>727</v>
      </c>
      <c r="X23" s="377">
        <f t="shared" si="8"/>
        <v>3150</v>
      </c>
      <c r="AA23" s="230">
        <v>10500</v>
      </c>
      <c r="AC23" s="378"/>
      <c r="AD23" s="378"/>
      <c r="AE23" s="379"/>
    </row>
    <row r="24" spans="1:31" ht="24.95" customHeight="1">
      <c r="A24" s="366">
        <v>16</v>
      </c>
      <c r="B24" s="367" t="s">
        <v>1727</v>
      </c>
      <c r="C24" s="380" t="s">
        <v>1742</v>
      </c>
      <c r="D24" s="366">
        <v>20</v>
      </c>
      <c r="E24" s="366">
        <v>22</v>
      </c>
      <c r="F24" s="366">
        <v>21</v>
      </c>
      <c r="G24" s="366">
        <v>25</v>
      </c>
      <c r="H24" s="366">
        <v>12</v>
      </c>
      <c r="I24" s="366">
        <v>0</v>
      </c>
      <c r="J24" s="366">
        <v>0</v>
      </c>
      <c r="K24" s="366">
        <v>0</v>
      </c>
      <c r="L24" s="366">
        <v>0</v>
      </c>
      <c r="M24" s="370">
        <v>0</v>
      </c>
      <c r="N24" s="370">
        <v>0</v>
      </c>
      <c r="O24" s="371">
        <v>0</v>
      </c>
      <c r="P24" s="372">
        <f t="shared" si="0"/>
        <v>100</v>
      </c>
      <c r="Q24" s="366">
        <f t="shared" si="1"/>
        <v>5</v>
      </c>
      <c r="R24" s="373">
        <f t="shared" si="2"/>
        <v>0</v>
      </c>
      <c r="S24" s="373">
        <f t="shared" si="3"/>
        <v>0</v>
      </c>
      <c r="T24" s="374">
        <f t="shared" si="4"/>
        <v>5</v>
      </c>
      <c r="U24" s="374">
        <f t="shared" si="5"/>
        <v>6300</v>
      </c>
      <c r="V24" s="375">
        <f t="shared" si="6"/>
        <v>1212</v>
      </c>
      <c r="W24" s="376">
        <f t="shared" si="7"/>
        <v>0</v>
      </c>
      <c r="X24" s="377">
        <f t="shared" si="8"/>
        <v>1212</v>
      </c>
      <c r="AA24" s="230">
        <v>10500</v>
      </c>
      <c r="AC24" s="378"/>
      <c r="AD24" s="378"/>
      <c r="AE24" s="379"/>
    </row>
    <row r="25" spans="1:31" ht="24.95" customHeight="1">
      <c r="A25" s="366">
        <v>17</v>
      </c>
      <c r="B25" s="367" t="s">
        <v>1727</v>
      </c>
      <c r="C25" s="368" t="s">
        <v>1743</v>
      </c>
      <c r="D25" s="369">
        <v>4</v>
      </c>
      <c r="E25" s="369">
        <v>3</v>
      </c>
      <c r="F25" s="369">
        <v>26</v>
      </c>
      <c r="G25" s="369">
        <v>24</v>
      </c>
      <c r="H25" s="369">
        <v>19</v>
      </c>
      <c r="I25" s="369">
        <v>21</v>
      </c>
      <c r="J25" s="369">
        <v>26</v>
      </c>
      <c r="K25" s="369">
        <v>19</v>
      </c>
      <c r="L25" s="369">
        <v>16</v>
      </c>
      <c r="M25" s="370">
        <v>24</v>
      </c>
      <c r="N25" s="370">
        <v>26</v>
      </c>
      <c r="O25" s="371">
        <v>18</v>
      </c>
      <c r="P25" s="372">
        <f t="shared" si="0"/>
        <v>158</v>
      </c>
      <c r="Q25" s="366">
        <f t="shared" si="1"/>
        <v>8</v>
      </c>
      <c r="R25" s="373">
        <f t="shared" si="2"/>
        <v>68</v>
      </c>
      <c r="S25" s="373">
        <f t="shared" si="3"/>
        <v>3</v>
      </c>
      <c r="T25" s="374">
        <f t="shared" si="4"/>
        <v>11</v>
      </c>
      <c r="U25" s="374">
        <f t="shared" si="5"/>
        <v>9960</v>
      </c>
      <c r="V25" s="375">
        <f t="shared" si="6"/>
        <v>3065</v>
      </c>
      <c r="W25" s="376">
        <f t="shared" si="7"/>
        <v>1149</v>
      </c>
      <c r="X25" s="377">
        <f t="shared" si="8"/>
        <v>4214</v>
      </c>
      <c r="AA25" s="230">
        <v>16600</v>
      </c>
      <c r="AC25" s="378"/>
      <c r="AD25" s="378"/>
      <c r="AE25" s="379"/>
    </row>
    <row r="26" spans="1:31" ht="24.95" customHeight="1">
      <c r="A26" s="366">
        <v>18</v>
      </c>
      <c r="B26" s="367" t="s">
        <v>1727</v>
      </c>
      <c r="C26" s="368" t="s">
        <v>1744</v>
      </c>
      <c r="D26" s="366">
        <v>14</v>
      </c>
      <c r="E26" s="366">
        <v>15</v>
      </c>
      <c r="F26" s="366">
        <v>20</v>
      </c>
      <c r="G26" s="366">
        <v>19</v>
      </c>
      <c r="H26" s="366">
        <v>18</v>
      </c>
      <c r="I26" s="366">
        <v>17</v>
      </c>
      <c r="J26" s="366">
        <v>21</v>
      </c>
      <c r="K26" s="366">
        <v>16</v>
      </c>
      <c r="L26" s="366">
        <v>20</v>
      </c>
      <c r="M26" s="370">
        <v>17</v>
      </c>
      <c r="N26" s="370">
        <v>17</v>
      </c>
      <c r="O26" s="371">
        <v>23</v>
      </c>
      <c r="P26" s="372">
        <f t="shared" si="0"/>
        <v>160</v>
      </c>
      <c r="Q26" s="366">
        <f t="shared" si="1"/>
        <v>8</v>
      </c>
      <c r="R26" s="373">
        <f t="shared" si="2"/>
        <v>57</v>
      </c>
      <c r="S26" s="373">
        <f t="shared" si="3"/>
        <v>3</v>
      </c>
      <c r="T26" s="374">
        <f t="shared" si="4"/>
        <v>11</v>
      </c>
      <c r="U26" s="374">
        <f t="shared" si="5"/>
        <v>9240</v>
      </c>
      <c r="V26" s="375">
        <f t="shared" si="6"/>
        <v>2843</v>
      </c>
      <c r="W26" s="376">
        <f t="shared" si="7"/>
        <v>1066</v>
      </c>
      <c r="X26" s="377">
        <f t="shared" si="8"/>
        <v>3909</v>
      </c>
      <c r="AA26" s="230">
        <v>15400</v>
      </c>
      <c r="AC26" s="378"/>
      <c r="AD26" s="378"/>
      <c r="AE26" s="379"/>
    </row>
    <row r="27" spans="1:31" ht="24.95" customHeight="1">
      <c r="A27" s="366">
        <v>19</v>
      </c>
      <c r="B27" s="367" t="s">
        <v>1727</v>
      </c>
      <c r="C27" s="368" t="s">
        <v>1745</v>
      </c>
      <c r="D27" s="369">
        <v>21</v>
      </c>
      <c r="E27" s="369">
        <v>22</v>
      </c>
      <c r="F27" s="369">
        <v>26</v>
      </c>
      <c r="G27" s="369">
        <v>24</v>
      </c>
      <c r="H27" s="369">
        <v>20</v>
      </c>
      <c r="I27" s="369">
        <v>20</v>
      </c>
      <c r="J27" s="369">
        <v>27</v>
      </c>
      <c r="K27" s="369">
        <v>22</v>
      </c>
      <c r="L27" s="369">
        <v>26</v>
      </c>
      <c r="M27" s="370">
        <v>16</v>
      </c>
      <c r="N27" s="370">
        <v>26</v>
      </c>
      <c r="O27" s="371">
        <v>25</v>
      </c>
      <c r="P27" s="372">
        <f t="shared" si="0"/>
        <v>208</v>
      </c>
      <c r="Q27" s="366">
        <f t="shared" si="1"/>
        <v>10</v>
      </c>
      <c r="R27" s="373">
        <f t="shared" si="2"/>
        <v>67</v>
      </c>
      <c r="S27" s="373">
        <f t="shared" si="3"/>
        <v>3</v>
      </c>
      <c r="T27" s="374">
        <f t="shared" si="4"/>
        <v>13</v>
      </c>
      <c r="U27" s="374">
        <f t="shared" si="5"/>
        <v>9300</v>
      </c>
      <c r="V27" s="375">
        <f t="shared" si="6"/>
        <v>3577</v>
      </c>
      <c r="W27" s="376">
        <f t="shared" si="7"/>
        <v>1073</v>
      </c>
      <c r="X27" s="377">
        <f t="shared" si="8"/>
        <v>4650</v>
      </c>
      <c r="AA27" s="230">
        <v>15500</v>
      </c>
      <c r="AC27" s="378"/>
      <c r="AD27" s="378"/>
      <c r="AE27" s="379"/>
    </row>
    <row r="28" spans="1:31" ht="24.95" customHeight="1">
      <c r="A28" s="366">
        <v>20</v>
      </c>
      <c r="B28" s="367" t="s">
        <v>1727</v>
      </c>
      <c r="C28" s="368" t="s">
        <v>1746</v>
      </c>
      <c r="D28" s="366">
        <v>25</v>
      </c>
      <c r="E28" s="366">
        <v>27</v>
      </c>
      <c r="F28" s="366">
        <v>25</v>
      </c>
      <c r="G28" s="366">
        <v>3</v>
      </c>
      <c r="H28" s="366">
        <v>0</v>
      </c>
      <c r="I28" s="366">
        <v>0</v>
      </c>
      <c r="J28" s="366">
        <v>0</v>
      </c>
      <c r="K28" s="366">
        <v>0</v>
      </c>
      <c r="L28" s="366">
        <v>0</v>
      </c>
      <c r="M28" s="370">
        <v>0</v>
      </c>
      <c r="N28" s="370">
        <v>0</v>
      </c>
      <c r="O28" s="371">
        <v>0</v>
      </c>
      <c r="P28" s="372">
        <f t="shared" si="0"/>
        <v>80</v>
      </c>
      <c r="Q28" s="366">
        <f t="shared" si="1"/>
        <v>4</v>
      </c>
      <c r="R28" s="373">
        <f t="shared" si="2"/>
        <v>0</v>
      </c>
      <c r="S28" s="373">
        <f t="shared" si="3"/>
        <v>0</v>
      </c>
      <c r="T28" s="374">
        <f t="shared" si="4"/>
        <v>4</v>
      </c>
      <c r="U28" s="374">
        <f t="shared" si="5"/>
        <v>9300</v>
      </c>
      <c r="V28" s="375">
        <f t="shared" si="6"/>
        <v>1431</v>
      </c>
      <c r="W28" s="376">
        <f t="shared" si="7"/>
        <v>0</v>
      </c>
      <c r="X28" s="377">
        <f t="shared" si="8"/>
        <v>1431</v>
      </c>
      <c r="AA28" s="230">
        <v>15500</v>
      </c>
      <c r="AC28" s="378"/>
      <c r="AD28" s="378"/>
      <c r="AE28" s="379"/>
    </row>
    <row r="29" spans="1:31" ht="24.95" customHeight="1">
      <c r="A29" s="366">
        <v>21</v>
      </c>
      <c r="B29" s="381" t="s">
        <v>1727</v>
      </c>
      <c r="C29" s="368" t="s">
        <v>1747</v>
      </c>
      <c r="D29" s="382">
        <v>21</v>
      </c>
      <c r="E29" s="382">
        <v>23</v>
      </c>
      <c r="F29" s="382">
        <v>23</v>
      </c>
      <c r="G29" s="382">
        <v>25</v>
      </c>
      <c r="H29" s="382">
        <v>19</v>
      </c>
      <c r="I29" s="382">
        <v>23</v>
      </c>
      <c r="J29" s="382">
        <v>23</v>
      </c>
      <c r="K29" s="382">
        <v>21</v>
      </c>
      <c r="L29" s="382">
        <v>24</v>
      </c>
      <c r="M29" s="383">
        <v>25</v>
      </c>
      <c r="N29" s="383">
        <v>26</v>
      </c>
      <c r="O29" s="384">
        <v>26</v>
      </c>
      <c r="P29" s="372">
        <f t="shared" si="0"/>
        <v>202</v>
      </c>
      <c r="Q29" s="366">
        <f t="shared" si="1"/>
        <v>10</v>
      </c>
      <c r="R29" s="373">
        <f t="shared" si="2"/>
        <v>77</v>
      </c>
      <c r="S29" s="373">
        <f t="shared" si="3"/>
        <v>4</v>
      </c>
      <c r="T29" s="374">
        <f t="shared" si="4"/>
        <v>14</v>
      </c>
      <c r="U29" s="374">
        <f t="shared" si="5"/>
        <v>8880</v>
      </c>
      <c r="V29" s="375">
        <f t="shared" si="6"/>
        <v>3415</v>
      </c>
      <c r="W29" s="376">
        <f t="shared" si="7"/>
        <v>1366</v>
      </c>
      <c r="X29" s="377">
        <f t="shared" si="8"/>
        <v>4781</v>
      </c>
      <c r="AA29" s="230">
        <v>14800</v>
      </c>
      <c r="AC29" s="378"/>
      <c r="AD29" s="378"/>
      <c r="AE29" s="379"/>
    </row>
    <row r="30" spans="1:31" ht="24.95" customHeight="1">
      <c r="A30" s="366">
        <v>22</v>
      </c>
      <c r="B30" s="367" t="s">
        <v>1727</v>
      </c>
      <c r="C30" s="385" t="s">
        <v>616</v>
      </c>
      <c r="D30" s="366">
        <v>21</v>
      </c>
      <c r="E30" s="366">
        <v>23</v>
      </c>
      <c r="F30" s="366">
        <v>24</v>
      </c>
      <c r="G30" s="366">
        <v>25</v>
      </c>
      <c r="H30" s="366">
        <v>22</v>
      </c>
      <c r="I30" s="366">
        <v>15</v>
      </c>
      <c r="J30" s="366">
        <v>26</v>
      </c>
      <c r="K30" s="366">
        <v>20</v>
      </c>
      <c r="L30" s="366">
        <v>21</v>
      </c>
      <c r="M30" s="370">
        <v>23</v>
      </c>
      <c r="N30" s="370">
        <v>26</v>
      </c>
      <c r="O30" s="371">
        <v>25</v>
      </c>
      <c r="P30" s="372">
        <f t="shared" si="0"/>
        <v>197</v>
      </c>
      <c r="Q30" s="366">
        <f t="shared" si="1"/>
        <v>10</v>
      </c>
      <c r="R30" s="373">
        <f t="shared" si="2"/>
        <v>74</v>
      </c>
      <c r="S30" s="373">
        <f t="shared" si="3"/>
        <v>4</v>
      </c>
      <c r="T30" s="374">
        <f t="shared" si="4"/>
        <v>14</v>
      </c>
      <c r="U30" s="374">
        <f t="shared" si="5"/>
        <v>7800</v>
      </c>
      <c r="V30" s="375">
        <f t="shared" si="6"/>
        <v>3000</v>
      </c>
      <c r="W30" s="376">
        <f t="shared" si="7"/>
        <v>1200</v>
      </c>
      <c r="X30" s="377">
        <f t="shared" si="8"/>
        <v>4200</v>
      </c>
      <c r="AA30" s="230">
        <v>13000</v>
      </c>
      <c r="AC30" s="378"/>
      <c r="AD30" s="378"/>
      <c r="AE30" s="379"/>
    </row>
    <row r="31" spans="1:31" ht="24.95" customHeight="1">
      <c r="A31" s="386">
        <v>23</v>
      </c>
      <c r="B31" s="367" t="s">
        <v>1727</v>
      </c>
      <c r="C31" s="368" t="s">
        <v>1748</v>
      </c>
      <c r="D31" s="369">
        <v>20</v>
      </c>
      <c r="E31" s="369">
        <v>25</v>
      </c>
      <c r="F31" s="369">
        <v>23</v>
      </c>
      <c r="G31" s="369">
        <v>25</v>
      </c>
      <c r="H31" s="369">
        <v>25</v>
      </c>
      <c r="I31" s="369">
        <v>22</v>
      </c>
      <c r="J31" s="369">
        <v>26</v>
      </c>
      <c r="K31" s="369">
        <v>25</v>
      </c>
      <c r="L31" s="369">
        <v>20</v>
      </c>
      <c r="M31" s="370">
        <v>23</v>
      </c>
      <c r="N31" s="370">
        <v>21</v>
      </c>
      <c r="O31" s="371">
        <v>22</v>
      </c>
      <c r="P31" s="372">
        <f t="shared" si="0"/>
        <v>211</v>
      </c>
      <c r="Q31" s="366">
        <f t="shared" si="1"/>
        <v>11</v>
      </c>
      <c r="R31" s="373">
        <f t="shared" si="2"/>
        <v>66</v>
      </c>
      <c r="S31" s="373">
        <f t="shared" si="3"/>
        <v>3</v>
      </c>
      <c r="T31" s="374">
        <f t="shared" si="4"/>
        <v>14</v>
      </c>
      <c r="U31" s="374">
        <f t="shared" si="5"/>
        <v>18300</v>
      </c>
      <c r="V31" s="375">
        <f t="shared" si="6"/>
        <v>7742</v>
      </c>
      <c r="W31" s="376">
        <f t="shared" si="7"/>
        <v>2112</v>
      </c>
      <c r="X31" s="377">
        <f t="shared" si="8"/>
        <v>9854</v>
      </c>
      <c r="AA31" s="230">
        <v>30500</v>
      </c>
      <c r="AC31" s="378"/>
      <c r="AD31" s="378"/>
      <c r="AE31" s="379"/>
    </row>
    <row r="32" spans="1:31" ht="24.95" customHeight="1">
      <c r="A32" s="386">
        <v>24</v>
      </c>
      <c r="B32" s="367" t="s">
        <v>1727</v>
      </c>
      <c r="C32" s="368" t="s">
        <v>1749</v>
      </c>
      <c r="D32" s="366">
        <v>26</v>
      </c>
      <c r="E32" s="366">
        <v>26</v>
      </c>
      <c r="F32" s="366">
        <v>26</v>
      </c>
      <c r="G32" s="366">
        <v>26</v>
      </c>
      <c r="H32" s="366">
        <v>25</v>
      </c>
      <c r="I32" s="366">
        <v>25</v>
      </c>
      <c r="J32" s="366">
        <v>26</v>
      </c>
      <c r="K32" s="366">
        <v>19</v>
      </c>
      <c r="L32" s="366">
        <v>24</v>
      </c>
      <c r="M32" s="370">
        <v>27</v>
      </c>
      <c r="N32" s="370">
        <v>26</v>
      </c>
      <c r="O32" s="371">
        <v>20</v>
      </c>
      <c r="P32" s="372">
        <f t="shared" si="0"/>
        <v>223</v>
      </c>
      <c r="Q32" s="366">
        <f t="shared" si="1"/>
        <v>11</v>
      </c>
      <c r="R32" s="373">
        <f t="shared" si="2"/>
        <v>73</v>
      </c>
      <c r="S32" s="373">
        <f t="shared" si="3"/>
        <v>4</v>
      </c>
      <c r="T32" s="374">
        <f t="shared" si="4"/>
        <v>15</v>
      </c>
      <c r="U32" s="374">
        <f t="shared" si="5"/>
        <v>8040</v>
      </c>
      <c r="V32" s="375">
        <f t="shared" si="6"/>
        <v>3402</v>
      </c>
      <c r="W32" s="376">
        <f t="shared" si="7"/>
        <v>1237</v>
      </c>
      <c r="X32" s="377">
        <f t="shared" si="8"/>
        <v>4639</v>
      </c>
      <c r="AA32" s="230">
        <v>13400</v>
      </c>
      <c r="AC32" s="378"/>
      <c r="AD32" s="378"/>
      <c r="AE32" s="379"/>
    </row>
    <row r="33" spans="1:31" ht="24.95" customHeight="1">
      <c r="A33" s="386">
        <v>25</v>
      </c>
      <c r="B33" s="367" t="s">
        <v>1727</v>
      </c>
      <c r="C33" s="368" t="s">
        <v>1750</v>
      </c>
      <c r="D33" s="369">
        <v>26</v>
      </c>
      <c r="E33" s="369">
        <v>26</v>
      </c>
      <c r="F33" s="369">
        <v>25</v>
      </c>
      <c r="G33" s="369">
        <v>27</v>
      </c>
      <c r="H33" s="369">
        <v>26</v>
      </c>
      <c r="I33" s="369">
        <v>26</v>
      </c>
      <c r="J33" s="369">
        <v>27</v>
      </c>
      <c r="K33" s="369">
        <v>20</v>
      </c>
      <c r="L33" s="369">
        <v>26</v>
      </c>
      <c r="M33" s="370">
        <v>26</v>
      </c>
      <c r="N33" s="370">
        <v>26</v>
      </c>
      <c r="O33" s="371">
        <v>26</v>
      </c>
      <c r="P33" s="372">
        <f t="shared" si="0"/>
        <v>229</v>
      </c>
      <c r="Q33" s="366">
        <f t="shared" si="1"/>
        <v>11</v>
      </c>
      <c r="R33" s="373">
        <f t="shared" si="2"/>
        <v>78</v>
      </c>
      <c r="S33" s="373">
        <f t="shared" si="3"/>
        <v>4</v>
      </c>
      <c r="T33" s="374">
        <f t="shared" si="4"/>
        <v>15</v>
      </c>
      <c r="U33" s="374">
        <f t="shared" si="5"/>
        <v>8040</v>
      </c>
      <c r="V33" s="375">
        <f t="shared" si="6"/>
        <v>3402</v>
      </c>
      <c r="W33" s="376">
        <f t="shared" si="7"/>
        <v>1237</v>
      </c>
      <c r="X33" s="377">
        <f t="shared" si="8"/>
        <v>4639</v>
      </c>
      <c r="AA33" s="230">
        <v>13400</v>
      </c>
      <c r="AC33" s="378"/>
      <c r="AD33" s="378"/>
      <c r="AE33" s="379"/>
    </row>
    <row r="34" spans="1:31" ht="15.95" customHeight="1">
      <c r="A34" s="357" t="s">
        <v>1807</v>
      </c>
      <c r="B34" s="358"/>
      <c r="C34" s="357" t="s">
        <v>1808</v>
      </c>
      <c r="D34" s="2400" t="str">
        <f>+D5</f>
        <v>MONTHS</v>
      </c>
      <c r="E34" s="2401"/>
      <c r="F34" s="2401"/>
      <c r="G34" s="2401"/>
      <c r="H34" s="2401"/>
      <c r="I34" s="2401"/>
      <c r="J34" s="2401"/>
      <c r="K34" s="2401"/>
      <c r="L34" s="2401"/>
      <c r="M34" s="2401"/>
      <c r="N34" s="2401"/>
      <c r="O34" s="2402"/>
      <c r="P34" s="2403" t="s">
        <v>1810</v>
      </c>
      <c r="Q34" s="2404"/>
      <c r="R34" s="2403" t="s">
        <v>1810</v>
      </c>
      <c r="S34" s="2404"/>
      <c r="T34" s="359" t="s">
        <v>1724</v>
      </c>
      <c r="U34" s="359" t="s">
        <v>1811</v>
      </c>
      <c r="V34" s="359" t="s">
        <v>1812</v>
      </c>
      <c r="W34" s="359" t="s">
        <v>1812</v>
      </c>
      <c r="X34" s="359" t="s">
        <v>1724</v>
      </c>
      <c r="AC34" s="361"/>
      <c r="AD34" s="361"/>
      <c r="AE34" s="361"/>
    </row>
    <row r="35" spans="1:31" ht="15.95" customHeight="1">
      <c r="A35" s="360"/>
      <c r="B35" s="361"/>
      <c r="C35" s="360"/>
      <c r="D35" s="360"/>
      <c r="E35" s="360"/>
      <c r="F35" s="360"/>
      <c r="G35" s="360"/>
      <c r="H35" s="360"/>
      <c r="I35" s="360"/>
      <c r="J35" s="360"/>
      <c r="K35" s="360"/>
      <c r="L35" s="360"/>
      <c r="M35" s="360"/>
      <c r="N35" s="360"/>
      <c r="O35" s="360"/>
      <c r="P35" s="2396" t="s">
        <v>1813</v>
      </c>
      <c r="Q35" s="2397"/>
      <c r="R35" s="2396" t="s">
        <v>1814</v>
      </c>
      <c r="S35" s="2397"/>
      <c r="T35" s="362" t="s">
        <v>1810</v>
      </c>
      <c r="U35" s="362" t="s">
        <v>1815</v>
      </c>
      <c r="V35" s="362" t="s">
        <v>1816</v>
      </c>
      <c r="W35" s="362" t="s">
        <v>1814</v>
      </c>
      <c r="X35" s="362" t="s">
        <v>1795</v>
      </c>
      <c r="AC35" s="361"/>
      <c r="AD35" s="361"/>
      <c r="AE35" s="361"/>
    </row>
    <row r="36" spans="1:31" ht="15.95" customHeight="1">
      <c r="A36" s="360"/>
      <c r="B36" s="361"/>
      <c r="C36" s="360"/>
      <c r="D36" s="360">
        <v>4</v>
      </c>
      <c r="E36" s="360">
        <v>5</v>
      </c>
      <c r="F36" s="360">
        <v>6</v>
      </c>
      <c r="G36" s="360">
        <v>7</v>
      </c>
      <c r="H36" s="360">
        <v>8</v>
      </c>
      <c r="I36" s="360">
        <v>9</v>
      </c>
      <c r="J36" s="360">
        <v>10</v>
      </c>
      <c r="K36" s="360">
        <v>11</v>
      </c>
      <c r="L36" s="360">
        <v>12</v>
      </c>
      <c r="M36" s="360">
        <v>1</v>
      </c>
      <c r="N36" s="360">
        <v>2</v>
      </c>
      <c r="O36" s="360">
        <v>3</v>
      </c>
      <c r="P36" s="2396" t="s">
        <v>1817</v>
      </c>
      <c r="Q36" s="2397"/>
      <c r="R36" s="2396" t="s">
        <v>1817</v>
      </c>
      <c r="S36" s="2397"/>
      <c r="T36" s="362"/>
      <c r="U36" s="362" t="s">
        <v>1818</v>
      </c>
      <c r="V36" s="362" t="s">
        <v>1817</v>
      </c>
      <c r="W36" s="362" t="s">
        <v>1817</v>
      </c>
      <c r="X36" s="362" t="s">
        <v>1818</v>
      </c>
      <c r="AC36" s="361"/>
      <c r="AD36" s="361"/>
      <c r="AE36" s="361"/>
    </row>
    <row r="37" spans="1:31" ht="15.95" customHeight="1" thickBot="1">
      <c r="A37" s="363"/>
      <c r="B37" s="364"/>
      <c r="C37" s="363"/>
      <c r="D37" s="363"/>
      <c r="E37" s="363"/>
      <c r="F37" s="363"/>
      <c r="G37" s="363"/>
      <c r="H37" s="363"/>
      <c r="I37" s="363"/>
      <c r="J37" s="363"/>
      <c r="K37" s="363"/>
      <c r="L37" s="363"/>
      <c r="M37" s="363"/>
      <c r="N37" s="363"/>
      <c r="O37" s="363"/>
      <c r="P37" s="2405" t="s">
        <v>1819</v>
      </c>
      <c r="Q37" s="2406"/>
      <c r="R37" s="2405" t="s">
        <v>1820</v>
      </c>
      <c r="S37" s="2406"/>
      <c r="T37" s="365"/>
      <c r="U37" s="365"/>
      <c r="V37" s="365" t="s">
        <v>1819</v>
      </c>
      <c r="W37" s="365" t="s">
        <v>1820</v>
      </c>
      <c r="X37" s="365"/>
      <c r="AC37" s="361"/>
      <c r="AD37" s="361"/>
      <c r="AE37" s="361"/>
    </row>
    <row r="38" spans="1:31" ht="24.95" customHeight="1" thickTop="1">
      <c r="A38" s="386">
        <v>26</v>
      </c>
      <c r="B38" s="367" t="s">
        <v>1727</v>
      </c>
      <c r="C38" s="368" t="s">
        <v>1751</v>
      </c>
      <c r="D38" s="369">
        <v>25</v>
      </c>
      <c r="E38" s="369">
        <v>23</v>
      </c>
      <c r="F38" s="369">
        <v>25</v>
      </c>
      <c r="G38" s="369">
        <v>14</v>
      </c>
      <c r="H38" s="369">
        <v>25</v>
      </c>
      <c r="I38" s="369">
        <v>25</v>
      </c>
      <c r="J38" s="369">
        <v>25</v>
      </c>
      <c r="K38" s="369">
        <v>23</v>
      </c>
      <c r="L38" s="369">
        <v>27</v>
      </c>
      <c r="M38" s="370">
        <v>24</v>
      </c>
      <c r="N38" s="370">
        <v>26</v>
      </c>
      <c r="O38" s="371">
        <v>23</v>
      </c>
      <c r="P38" s="372">
        <f t="shared" ref="P38:P57" si="9">SUM(D38:L38)</f>
        <v>212</v>
      </c>
      <c r="Q38" s="366">
        <f t="shared" ref="Q38:Q57" si="10">ROUND(P38/20,0)</f>
        <v>11</v>
      </c>
      <c r="R38" s="373">
        <f t="shared" ref="R38:R57" si="11">SUM(M38:O38)</f>
        <v>73</v>
      </c>
      <c r="S38" s="373">
        <f t="shared" ref="S38:S57" si="12">ROUND(R38/20,0)</f>
        <v>4</v>
      </c>
      <c r="T38" s="374">
        <f t="shared" ref="T38:T57" si="13">SUM(Q38+S38)</f>
        <v>15</v>
      </c>
      <c r="U38" s="374">
        <f t="shared" ref="U38:U57" si="14">ROUND(AA38*60%,0)</f>
        <v>7680</v>
      </c>
      <c r="V38" s="375">
        <f t="shared" ref="V38:V57" si="15">ROUND(U38/26*Q38,0)</f>
        <v>3249</v>
      </c>
      <c r="W38" s="376">
        <f t="shared" ref="W38:W57" si="16">ROUND(U38/26*S38,0)</f>
        <v>1182</v>
      </c>
      <c r="X38" s="377">
        <f t="shared" ref="X38:X57" si="17">SUM(V38:W38)</f>
        <v>4431</v>
      </c>
      <c r="AA38" s="230">
        <v>12800</v>
      </c>
      <c r="AC38" s="378"/>
      <c r="AD38" s="378"/>
      <c r="AE38" s="379"/>
    </row>
    <row r="39" spans="1:31" ht="24.95" customHeight="1">
      <c r="A39" s="386">
        <v>27</v>
      </c>
      <c r="B39" s="367" t="s">
        <v>1727</v>
      </c>
      <c r="C39" s="368" t="s">
        <v>1752</v>
      </c>
      <c r="D39" s="366">
        <v>22</v>
      </c>
      <c r="E39" s="366">
        <v>22</v>
      </c>
      <c r="F39" s="366">
        <v>18</v>
      </c>
      <c r="G39" s="366">
        <v>22</v>
      </c>
      <c r="H39" s="366">
        <v>5</v>
      </c>
      <c r="I39" s="366">
        <v>14</v>
      </c>
      <c r="J39" s="366">
        <v>23</v>
      </c>
      <c r="K39" s="366">
        <v>9</v>
      </c>
      <c r="L39" s="366">
        <v>0</v>
      </c>
      <c r="M39" s="370">
        <v>0</v>
      </c>
      <c r="N39" s="370">
        <v>0</v>
      </c>
      <c r="O39" s="371">
        <v>0</v>
      </c>
      <c r="P39" s="372">
        <f t="shared" si="9"/>
        <v>135</v>
      </c>
      <c r="Q39" s="366">
        <f t="shared" si="10"/>
        <v>7</v>
      </c>
      <c r="R39" s="373">
        <f t="shared" si="11"/>
        <v>0</v>
      </c>
      <c r="S39" s="373">
        <f t="shared" si="12"/>
        <v>0</v>
      </c>
      <c r="T39" s="374">
        <f t="shared" si="13"/>
        <v>7</v>
      </c>
      <c r="U39" s="374">
        <f t="shared" si="14"/>
        <v>9300</v>
      </c>
      <c r="V39" s="375">
        <f t="shared" si="15"/>
        <v>2504</v>
      </c>
      <c r="W39" s="376">
        <f t="shared" si="16"/>
        <v>0</v>
      </c>
      <c r="X39" s="377">
        <f t="shared" si="17"/>
        <v>2504</v>
      </c>
      <c r="AA39" s="230">
        <v>15500</v>
      </c>
      <c r="AC39" s="378"/>
      <c r="AD39" s="378"/>
      <c r="AE39" s="379"/>
    </row>
    <row r="40" spans="1:31" ht="24.95" customHeight="1">
      <c r="A40" s="386">
        <v>28</v>
      </c>
      <c r="B40" s="367" t="s">
        <v>1727</v>
      </c>
      <c r="C40" s="368" t="s">
        <v>1753</v>
      </c>
      <c r="D40" s="369">
        <v>24</v>
      </c>
      <c r="E40" s="369">
        <v>26</v>
      </c>
      <c r="F40" s="369">
        <v>26</v>
      </c>
      <c r="G40" s="369">
        <v>26</v>
      </c>
      <c r="H40" s="369">
        <v>25</v>
      </c>
      <c r="I40" s="369">
        <v>25</v>
      </c>
      <c r="J40" s="369">
        <v>26</v>
      </c>
      <c r="K40" s="369">
        <v>16</v>
      </c>
      <c r="L40" s="369">
        <v>20</v>
      </c>
      <c r="M40" s="370">
        <v>27</v>
      </c>
      <c r="N40" s="370">
        <v>11</v>
      </c>
      <c r="O40" s="371">
        <v>12</v>
      </c>
      <c r="P40" s="372">
        <f t="shared" si="9"/>
        <v>214</v>
      </c>
      <c r="Q40" s="366">
        <f t="shared" si="10"/>
        <v>11</v>
      </c>
      <c r="R40" s="373">
        <f t="shared" si="11"/>
        <v>50</v>
      </c>
      <c r="S40" s="373">
        <f t="shared" si="12"/>
        <v>3</v>
      </c>
      <c r="T40" s="374">
        <f t="shared" si="13"/>
        <v>14</v>
      </c>
      <c r="U40" s="374">
        <f t="shared" si="14"/>
        <v>20100</v>
      </c>
      <c r="V40" s="375">
        <f t="shared" si="15"/>
        <v>8504</v>
      </c>
      <c r="W40" s="376">
        <f t="shared" si="16"/>
        <v>2319</v>
      </c>
      <c r="X40" s="377">
        <f t="shared" si="17"/>
        <v>10823</v>
      </c>
      <c r="AA40" s="230">
        <v>33500</v>
      </c>
      <c r="AC40" s="378"/>
      <c r="AD40" s="378"/>
      <c r="AE40" s="379"/>
    </row>
    <row r="41" spans="1:31" ht="24.95" customHeight="1">
      <c r="A41" s="386">
        <v>29</v>
      </c>
      <c r="B41" s="367" t="s">
        <v>1727</v>
      </c>
      <c r="C41" s="368" t="s">
        <v>1754</v>
      </c>
      <c r="D41" s="366">
        <v>24</v>
      </c>
      <c r="E41" s="366">
        <v>22</v>
      </c>
      <c r="F41" s="366">
        <v>24</v>
      </c>
      <c r="G41" s="366">
        <v>5</v>
      </c>
      <c r="H41" s="366">
        <v>9</v>
      </c>
      <c r="I41" s="366">
        <v>19</v>
      </c>
      <c r="J41" s="366">
        <v>27</v>
      </c>
      <c r="K41" s="366">
        <v>19</v>
      </c>
      <c r="L41" s="366">
        <v>27</v>
      </c>
      <c r="M41" s="370">
        <v>23</v>
      </c>
      <c r="N41" s="370">
        <v>16</v>
      </c>
      <c r="O41" s="371">
        <v>25</v>
      </c>
      <c r="P41" s="372">
        <f t="shared" si="9"/>
        <v>176</v>
      </c>
      <c r="Q41" s="366">
        <f t="shared" si="10"/>
        <v>9</v>
      </c>
      <c r="R41" s="373">
        <f t="shared" si="11"/>
        <v>64</v>
      </c>
      <c r="S41" s="373">
        <f t="shared" si="12"/>
        <v>3</v>
      </c>
      <c r="T41" s="374">
        <f t="shared" si="13"/>
        <v>12</v>
      </c>
      <c r="U41" s="374">
        <f t="shared" si="14"/>
        <v>11220</v>
      </c>
      <c r="V41" s="375">
        <f t="shared" si="15"/>
        <v>3884</v>
      </c>
      <c r="W41" s="376">
        <f t="shared" si="16"/>
        <v>1295</v>
      </c>
      <c r="X41" s="377">
        <f t="shared" si="17"/>
        <v>5179</v>
      </c>
      <c r="AA41" s="230">
        <v>18700</v>
      </c>
      <c r="AC41" s="378"/>
      <c r="AD41" s="378"/>
      <c r="AE41" s="379"/>
    </row>
    <row r="42" spans="1:31" ht="24.95" customHeight="1">
      <c r="A42" s="386">
        <v>30</v>
      </c>
      <c r="B42" s="367" t="s">
        <v>1727</v>
      </c>
      <c r="C42" s="368" t="s">
        <v>1755</v>
      </c>
      <c r="D42" s="369">
        <v>25</v>
      </c>
      <c r="E42" s="369">
        <v>26</v>
      </c>
      <c r="F42" s="369">
        <v>17</v>
      </c>
      <c r="G42" s="369">
        <v>26</v>
      </c>
      <c r="H42" s="369">
        <v>22</v>
      </c>
      <c r="I42" s="369">
        <v>21</v>
      </c>
      <c r="J42" s="369">
        <v>27</v>
      </c>
      <c r="K42" s="369">
        <v>22</v>
      </c>
      <c r="L42" s="369">
        <v>0</v>
      </c>
      <c r="M42" s="370">
        <v>0</v>
      </c>
      <c r="N42" s="370">
        <v>0</v>
      </c>
      <c r="O42" s="371">
        <v>0</v>
      </c>
      <c r="P42" s="372">
        <f t="shared" si="9"/>
        <v>186</v>
      </c>
      <c r="Q42" s="366">
        <f t="shared" si="10"/>
        <v>9</v>
      </c>
      <c r="R42" s="373">
        <f t="shared" si="11"/>
        <v>0</v>
      </c>
      <c r="S42" s="373">
        <f t="shared" si="12"/>
        <v>0</v>
      </c>
      <c r="T42" s="374">
        <f t="shared" si="13"/>
        <v>9</v>
      </c>
      <c r="U42" s="374">
        <f t="shared" si="14"/>
        <v>9240</v>
      </c>
      <c r="V42" s="375">
        <f t="shared" si="15"/>
        <v>3198</v>
      </c>
      <c r="W42" s="376">
        <f t="shared" si="16"/>
        <v>0</v>
      </c>
      <c r="X42" s="377">
        <f t="shared" si="17"/>
        <v>3198</v>
      </c>
      <c r="AA42" s="230">
        <v>15400</v>
      </c>
      <c r="AC42" s="378"/>
      <c r="AD42" s="378"/>
      <c r="AE42" s="379"/>
    </row>
    <row r="43" spans="1:31" ht="24.95" customHeight="1">
      <c r="A43" s="386">
        <v>31</v>
      </c>
      <c r="B43" s="367" t="s">
        <v>1727</v>
      </c>
      <c r="C43" s="368" t="s">
        <v>1822</v>
      </c>
      <c r="D43" s="366">
        <v>25</v>
      </c>
      <c r="E43" s="366">
        <v>27</v>
      </c>
      <c r="F43" s="366">
        <v>26</v>
      </c>
      <c r="G43" s="366">
        <v>25</v>
      </c>
      <c r="H43" s="366">
        <v>23</v>
      </c>
      <c r="I43" s="366">
        <v>26</v>
      </c>
      <c r="J43" s="366">
        <v>24</v>
      </c>
      <c r="K43" s="366">
        <v>21</v>
      </c>
      <c r="L43" s="366">
        <v>26</v>
      </c>
      <c r="M43" s="370">
        <v>27</v>
      </c>
      <c r="N43" s="370">
        <v>26</v>
      </c>
      <c r="O43" s="371">
        <v>27</v>
      </c>
      <c r="P43" s="372">
        <f t="shared" si="9"/>
        <v>223</v>
      </c>
      <c r="Q43" s="366">
        <f t="shared" si="10"/>
        <v>11</v>
      </c>
      <c r="R43" s="373">
        <f t="shared" si="11"/>
        <v>80</v>
      </c>
      <c r="S43" s="373">
        <f t="shared" si="12"/>
        <v>4</v>
      </c>
      <c r="T43" s="374">
        <f t="shared" si="13"/>
        <v>15</v>
      </c>
      <c r="U43" s="374">
        <f t="shared" si="14"/>
        <v>9780</v>
      </c>
      <c r="V43" s="375">
        <f t="shared" si="15"/>
        <v>4138</v>
      </c>
      <c r="W43" s="376">
        <f t="shared" si="16"/>
        <v>1505</v>
      </c>
      <c r="X43" s="377">
        <f t="shared" si="17"/>
        <v>5643</v>
      </c>
      <c r="AA43" s="230">
        <v>16300</v>
      </c>
      <c r="AC43" s="378"/>
      <c r="AD43" s="378"/>
      <c r="AE43" s="379"/>
    </row>
    <row r="44" spans="1:31" ht="24.95" customHeight="1">
      <c r="A44" s="386">
        <v>32</v>
      </c>
      <c r="B44" s="367" t="s">
        <v>1727</v>
      </c>
      <c r="C44" s="368" t="s">
        <v>1756</v>
      </c>
      <c r="D44" s="369">
        <v>11</v>
      </c>
      <c r="E44" s="369">
        <v>0</v>
      </c>
      <c r="F44" s="369">
        <v>18</v>
      </c>
      <c r="G44" s="369">
        <v>27</v>
      </c>
      <c r="H44" s="369">
        <v>27</v>
      </c>
      <c r="I44" s="369">
        <v>25</v>
      </c>
      <c r="J44" s="369">
        <v>27</v>
      </c>
      <c r="K44" s="369">
        <v>26</v>
      </c>
      <c r="L44" s="369">
        <v>26</v>
      </c>
      <c r="M44" s="370">
        <v>27</v>
      </c>
      <c r="N44" s="370">
        <v>26</v>
      </c>
      <c r="O44" s="371">
        <v>12</v>
      </c>
      <c r="P44" s="372">
        <f t="shared" si="9"/>
        <v>187</v>
      </c>
      <c r="Q44" s="366">
        <f t="shared" si="10"/>
        <v>9</v>
      </c>
      <c r="R44" s="373">
        <f t="shared" si="11"/>
        <v>65</v>
      </c>
      <c r="S44" s="373">
        <f t="shared" si="12"/>
        <v>3</v>
      </c>
      <c r="T44" s="374">
        <f t="shared" si="13"/>
        <v>12</v>
      </c>
      <c r="U44" s="374">
        <f t="shared" si="14"/>
        <v>11100</v>
      </c>
      <c r="V44" s="375">
        <f t="shared" si="15"/>
        <v>3842</v>
      </c>
      <c r="W44" s="376">
        <f t="shared" si="16"/>
        <v>1281</v>
      </c>
      <c r="X44" s="377">
        <f t="shared" si="17"/>
        <v>5123</v>
      </c>
      <c r="AA44" s="230">
        <v>18500</v>
      </c>
      <c r="AC44" s="378"/>
      <c r="AD44" s="378"/>
      <c r="AE44" s="379"/>
    </row>
    <row r="45" spans="1:31" ht="24.95" customHeight="1">
      <c r="A45" s="386">
        <v>33</v>
      </c>
      <c r="B45" s="367" t="s">
        <v>1727</v>
      </c>
      <c r="C45" s="368" t="s">
        <v>1823</v>
      </c>
      <c r="D45" s="366">
        <v>23</v>
      </c>
      <c r="E45" s="366">
        <v>26</v>
      </c>
      <c r="F45" s="366">
        <v>20</v>
      </c>
      <c r="G45" s="366">
        <v>27</v>
      </c>
      <c r="H45" s="366">
        <v>25</v>
      </c>
      <c r="I45" s="366">
        <v>20</v>
      </c>
      <c r="J45" s="366">
        <v>25</v>
      </c>
      <c r="K45" s="366">
        <v>23</v>
      </c>
      <c r="L45" s="366">
        <v>27</v>
      </c>
      <c r="M45" s="370">
        <v>22</v>
      </c>
      <c r="N45" s="370">
        <v>26</v>
      </c>
      <c r="O45" s="371">
        <v>22</v>
      </c>
      <c r="P45" s="372">
        <f t="shared" si="9"/>
        <v>216</v>
      </c>
      <c r="Q45" s="366">
        <f t="shared" si="10"/>
        <v>11</v>
      </c>
      <c r="R45" s="373">
        <f t="shared" si="11"/>
        <v>70</v>
      </c>
      <c r="S45" s="373">
        <f t="shared" si="12"/>
        <v>4</v>
      </c>
      <c r="T45" s="374">
        <f t="shared" si="13"/>
        <v>15</v>
      </c>
      <c r="U45" s="374">
        <f t="shared" si="14"/>
        <v>10080</v>
      </c>
      <c r="V45" s="375">
        <f t="shared" si="15"/>
        <v>4265</v>
      </c>
      <c r="W45" s="376">
        <f t="shared" si="16"/>
        <v>1551</v>
      </c>
      <c r="X45" s="377">
        <f t="shared" si="17"/>
        <v>5816</v>
      </c>
      <c r="AA45" s="230">
        <v>16800</v>
      </c>
      <c r="AC45" s="378"/>
      <c r="AD45" s="378"/>
      <c r="AE45" s="379"/>
    </row>
    <row r="46" spans="1:31" ht="24.95" customHeight="1">
      <c r="A46" s="386">
        <v>34</v>
      </c>
      <c r="B46" s="367" t="s">
        <v>1727</v>
      </c>
      <c r="C46" s="368" t="s">
        <v>1824</v>
      </c>
      <c r="D46" s="369">
        <v>26</v>
      </c>
      <c r="E46" s="369">
        <v>23</v>
      </c>
      <c r="F46" s="369">
        <v>26</v>
      </c>
      <c r="G46" s="369">
        <v>27</v>
      </c>
      <c r="H46" s="369">
        <v>26</v>
      </c>
      <c r="I46" s="369">
        <v>21</v>
      </c>
      <c r="J46" s="369">
        <v>27</v>
      </c>
      <c r="K46" s="369">
        <v>22</v>
      </c>
      <c r="L46" s="369">
        <v>27</v>
      </c>
      <c r="M46" s="370">
        <v>22</v>
      </c>
      <c r="N46" s="370">
        <v>26</v>
      </c>
      <c r="O46" s="371">
        <v>23</v>
      </c>
      <c r="P46" s="372">
        <f t="shared" si="9"/>
        <v>225</v>
      </c>
      <c r="Q46" s="366">
        <f t="shared" si="10"/>
        <v>11</v>
      </c>
      <c r="R46" s="373">
        <f t="shared" si="11"/>
        <v>71</v>
      </c>
      <c r="S46" s="373">
        <f t="shared" si="12"/>
        <v>4</v>
      </c>
      <c r="T46" s="374">
        <f t="shared" si="13"/>
        <v>15</v>
      </c>
      <c r="U46" s="374">
        <f t="shared" si="14"/>
        <v>9720</v>
      </c>
      <c r="V46" s="375">
        <f t="shared" si="15"/>
        <v>4112</v>
      </c>
      <c r="W46" s="376">
        <f t="shared" si="16"/>
        <v>1495</v>
      </c>
      <c r="X46" s="377">
        <f t="shared" si="17"/>
        <v>5607</v>
      </c>
      <c r="AA46" s="230">
        <v>16200</v>
      </c>
      <c r="AC46" s="378"/>
      <c r="AD46" s="378"/>
      <c r="AE46" s="379"/>
    </row>
    <row r="47" spans="1:31" ht="24.95" customHeight="1">
      <c r="A47" s="386">
        <v>35</v>
      </c>
      <c r="B47" s="367" t="s">
        <v>1727</v>
      </c>
      <c r="C47" s="368" t="s">
        <v>1759</v>
      </c>
      <c r="D47" s="366">
        <v>8</v>
      </c>
      <c r="E47" s="366">
        <v>22</v>
      </c>
      <c r="F47" s="366">
        <v>24</v>
      </c>
      <c r="G47" s="366">
        <v>26</v>
      </c>
      <c r="H47" s="366">
        <v>26</v>
      </c>
      <c r="I47" s="366">
        <v>25</v>
      </c>
      <c r="J47" s="366">
        <v>26</v>
      </c>
      <c r="K47" s="366">
        <v>12</v>
      </c>
      <c r="L47" s="366">
        <v>26</v>
      </c>
      <c r="M47" s="370">
        <v>24</v>
      </c>
      <c r="N47" s="370">
        <v>22</v>
      </c>
      <c r="O47" s="371">
        <v>26</v>
      </c>
      <c r="P47" s="372">
        <f t="shared" si="9"/>
        <v>195</v>
      </c>
      <c r="Q47" s="366">
        <f t="shared" si="10"/>
        <v>10</v>
      </c>
      <c r="R47" s="373">
        <f t="shared" si="11"/>
        <v>72</v>
      </c>
      <c r="S47" s="373">
        <f t="shared" si="12"/>
        <v>4</v>
      </c>
      <c r="T47" s="374">
        <f t="shared" si="13"/>
        <v>14</v>
      </c>
      <c r="U47" s="374">
        <f t="shared" si="14"/>
        <v>10200</v>
      </c>
      <c r="V47" s="375">
        <f t="shared" si="15"/>
        <v>3923</v>
      </c>
      <c r="W47" s="376">
        <f t="shared" si="16"/>
        <v>1569</v>
      </c>
      <c r="X47" s="377">
        <f t="shared" si="17"/>
        <v>5492</v>
      </c>
      <c r="AA47" s="230">
        <v>17000</v>
      </c>
      <c r="AC47" s="378"/>
      <c r="AD47" s="378"/>
      <c r="AE47" s="379"/>
    </row>
    <row r="48" spans="1:31" ht="24.95" customHeight="1">
      <c r="A48" s="386">
        <v>36</v>
      </c>
      <c r="B48" s="367" t="s">
        <v>1727</v>
      </c>
      <c r="C48" s="368" t="s">
        <v>1760</v>
      </c>
      <c r="D48" s="369">
        <v>25</v>
      </c>
      <c r="E48" s="369">
        <v>26</v>
      </c>
      <c r="F48" s="369">
        <v>22</v>
      </c>
      <c r="G48" s="369">
        <v>24</v>
      </c>
      <c r="H48" s="369">
        <v>25</v>
      </c>
      <c r="I48" s="369">
        <v>20</v>
      </c>
      <c r="J48" s="369">
        <v>23</v>
      </c>
      <c r="K48" s="369">
        <v>23</v>
      </c>
      <c r="L48" s="369">
        <v>25</v>
      </c>
      <c r="M48" s="370">
        <v>26</v>
      </c>
      <c r="N48" s="370">
        <v>22</v>
      </c>
      <c r="O48" s="371">
        <v>23</v>
      </c>
      <c r="P48" s="372">
        <f t="shared" si="9"/>
        <v>213</v>
      </c>
      <c r="Q48" s="366">
        <f t="shared" si="10"/>
        <v>11</v>
      </c>
      <c r="R48" s="373">
        <f t="shared" si="11"/>
        <v>71</v>
      </c>
      <c r="S48" s="373">
        <f t="shared" si="12"/>
        <v>4</v>
      </c>
      <c r="T48" s="374">
        <f t="shared" si="13"/>
        <v>15</v>
      </c>
      <c r="U48" s="374">
        <f t="shared" si="14"/>
        <v>8520</v>
      </c>
      <c r="V48" s="375">
        <f t="shared" si="15"/>
        <v>3605</v>
      </c>
      <c r="W48" s="376">
        <f t="shared" si="16"/>
        <v>1311</v>
      </c>
      <c r="X48" s="377">
        <f t="shared" si="17"/>
        <v>4916</v>
      </c>
      <c r="AA48" s="230">
        <v>14200</v>
      </c>
      <c r="AC48" s="378"/>
      <c r="AD48" s="378"/>
      <c r="AE48" s="379"/>
    </row>
    <row r="49" spans="1:31" ht="24.95" customHeight="1">
      <c r="A49" s="386">
        <v>37</v>
      </c>
      <c r="B49" s="367" t="s">
        <v>1727</v>
      </c>
      <c r="C49" s="368" t="s">
        <v>1761</v>
      </c>
      <c r="D49" s="366">
        <v>23</v>
      </c>
      <c r="E49" s="366">
        <v>26</v>
      </c>
      <c r="F49" s="366">
        <v>21</v>
      </c>
      <c r="G49" s="366">
        <v>26</v>
      </c>
      <c r="H49" s="366">
        <v>25</v>
      </c>
      <c r="I49" s="366">
        <v>22</v>
      </c>
      <c r="J49" s="366">
        <v>25</v>
      </c>
      <c r="K49" s="366">
        <v>21</v>
      </c>
      <c r="L49" s="366">
        <v>25</v>
      </c>
      <c r="M49" s="370">
        <v>25</v>
      </c>
      <c r="N49" s="370">
        <v>21</v>
      </c>
      <c r="O49" s="371">
        <v>23</v>
      </c>
      <c r="P49" s="372">
        <f t="shared" si="9"/>
        <v>214</v>
      </c>
      <c r="Q49" s="366">
        <f t="shared" si="10"/>
        <v>11</v>
      </c>
      <c r="R49" s="373">
        <f t="shared" si="11"/>
        <v>69</v>
      </c>
      <c r="S49" s="373">
        <f t="shared" si="12"/>
        <v>3</v>
      </c>
      <c r="T49" s="374">
        <f t="shared" si="13"/>
        <v>14</v>
      </c>
      <c r="U49" s="374">
        <f t="shared" si="14"/>
        <v>8280</v>
      </c>
      <c r="V49" s="375">
        <f t="shared" si="15"/>
        <v>3503</v>
      </c>
      <c r="W49" s="376">
        <f t="shared" si="16"/>
        <v>955</v>
      </c>
      <c r="X49" s="377">
        <f t="shared" si="17"/>
        <v>4458</v>
      </c>
      <c r="AA49" s="230">
        <v>13800</v>
      </c>
      <c r="AC49" s="378"/>
      <c r="AD49" s="378"/>
      <c r="AE49" s="379"/>
    </row>
    <row r="50" spans="1:31" ht="24.95" customHeight="1">
      <c r="A50" s="386">
        <v>38</v>
      </c>
      <c r="B50" s="367" t="s">
        <v>1727</v>
      </c>
      <c r="C50" s="380" t="s">
        <v>1762</v>
      </c>
      <c r="D50" s="369">
        <v>21</v>
      </c>
      <c r="E50" s="369">
        <v>25</v>
      </c>
      <c r="F50" s="369">
        <v>22</v>
      </c>
      <c r="G50" s="369">
        <v>25</v>
      </c>
      <c r="H50" s="369">
        <v>21</v>
      </c>
      <c r="I50" s="369">
        <v>23</v>
      </c>
      <c r="J50" s="369">
        <v>26</v>
      </c>
      <c r="K50" s="369">
        <v>18</v>
      </c>
      <c r="L50" s="369">
        <v>25</v>
      </c>
      <c r="M50" s="370">
        <v>22</v>
      </c>
      <c r="N50" s="370">
        <v>20</v>
      </c>
      <c r="O50" s="371">
        <v>23</v>
      </c>
      <c r="P50" s="372">
        <f t="shared" si="9"/>
        <v>206</v>
      </c>
      <c r="Q50" s="366">
        <f t="shared" si="10"/>
        <v>10</v>
      </c>
      <c r="R50" s="373">
        <f t="shared" si="11"/>
        <v>65</v>
      </c>
      <c r="S50" s="373">
        <f t="shared" si="12"/>
        <v>3</v>
      </c>
      <c r="T50" s="374">
        <f t="shared" si="13"/>
        <v>13</v>
      </c>
      <c r="U50" s="374">
        <f t="shared" si="14"/>
        <v>6780</v>
      </c>
      <c r="V50" s="375">
        <f t="shared" si="15"/>
        <v>2608</v>
      </c>
      <c r="W50" s="376">
        <f t="shared" si="16"/>
        <v>782</v>
      </c>
      <c r="X50" s="377">
        <f t="shared" si="17"/>
        <v>3390</v>
      </c>
      <c r="AA50" s="230">
        <v>11300</v>
      </c>
      <c r="AC50" s="378"/>
      <c r="AD50" s="378"/>
      <c r="AE50" s="379"/>
    </row>
    <row r="51" spans="1:31" ht="24.95" customHeight="1">
      <c r="A51" s="386">
        <v>39</v>
      </c>
      <c r="B51" s="367" t="s">
        <v>1727</v>
      </c>
      <c r="C51" s="368" t="s">
        <v>1763</v>
      </c>
      <c r="D51" s="366">
        <v>25</v>
      </c>
      <c r="E51" s="366">
        <v>27</v>
      </c>
      <c r="F51" s="366">
        <v>23</v>
      </c>
      <c r="G51" s="366">
        <v>27</v>
      </c>
      <c r="H51" s="366">
        <v>26</v>
      </c>
      <c r="I51" s="366">
        <v>25</v>
      </c>
      <c r="J51" s="366">
        <v>26</v>
      </c>
      <c r="K51" s="366">
        <v>24</v>
      </c>
      <c r="L51" s="366">
        <v>25</v>
      </c>
      <c r="M51" s="370">
        <v>26</v>
      </c>
      <c r="N51" s="370">
        <v>26</v>
      </c>
      <c r="O51" s="371">
        <v>24</v>
      </c>
      <c r="P51" s="372">
        <f t="shared" si="9"/>
        <v>228</v>
      </c>
      <c r="Q51" s="366">
        <f t="shared" si="10"/>
        <v>11</v>
      </c>
      <c r="R51" s="373">
        <f t="shared" si="11"/>
        <v>76</v>
      </c>
      <c r="S51" s="373">
        <f t="shared" si="12"/>
        <v>4</v>
      </c>
      <c r="T51" s="374">
        <f t="shared" si="13"/>
        <v>15</v>
      </c>
      <c r="U51" s="374">
        <f t="shared" si="14"/>
        <v>11100</v>
      </c>
      <c r="V51" s="375">
        <f t="shared" si="15"/>
        <v>4696</v>
      </c>
      <c r="W51" s="376">
        <f t="shared" si="16"/>
        <v>1708</v>
      </c>
      <c r="X51" s="377">
        <f t="shared" si="17"/>
        <v>6404</v>
      </c>
      <c r="AA51" s="230">
        <v>18500</v>
      </c>
      <c r="AC51" s="378"/>
      <c r="AD51" s="378"/>
      <c r="AE51" s="379"/>
    </row>
    <row r="52" spans="1:31" ht="24.95" customHeight="1">
      <c r="A52" s="386">
        <v>40</v>
      </c>
      <c r="B52" s="367" t="s">
        <v>1727</v>
      </c>
      <c r="C52" s="368" t="s">
        <v>1764</v>
      </c>
      <c r="D52" s="369">
        <v>25</v>
      </c>
      <c r="E52" s="369">
        <v>27</v>
      </c>
      <c r="F52" s="369">
        <v>7</v>
      </c>
      <c r="G52" s="369">
        <v>24</v>
      </c>
      <c r="H52" s="369">
        <v>19</v>
      </c>
      <c r="I52" s="369">
        <v>24</v>
      </c>
      <c r="J52" s="369">
        <v>26</v>
      </c>
      <c r="K52" s="369">
        <v>14</v>
      </c>
      <c r="L52" s="369">
        <v>26</v>
      </c>
      <c r="M52" s="370">
        <v>27</v>
      </c>
      <c r="N52" s="370">
        <v>26</v>
      </c>
      <c r="O52" s="371">
        <v>14</v>
      </c>
      <c r="P52" s="372">
        <f t="shared" si="9"/>
        <v>192</v>
      </c>
      <c r="Q52" s="366">
        <f t="shared" si="10"/>
        <v>10</v>
      </c>
      <c r="R52" s="373">
        <f t="shared" si="11"/>
        <v>67</v>
      </c>
      <c r="S52" s="373">
        <f t="shared" si="12"/>
        <v>3</v>
      </c>
      <c r="T52" s="374">
        <f t="shared" si="13"/>
        <v>13</v>
      </c>
      <c r="U52" s="374">
        <f t="shared" si="14"/>
        <v>8880</v>
      </c>
      <c r="V52" s="375">
        <f t="shared" si="15"/>
        <v>3415</v>
      </c>
      <c r="W52" s="376">
        <f t="shared" si="16"/>
        <v>1025</v>
      </c>
      <c r="X52" s="377">
        <f t="shared" si="17"/>
        <v>4440</v>
      </c>
      <c r="AA52" s="230">
        <v>14800</v>
      </c>
      <c r="AC52" s="378"/>
      <c r="AD52" s="378"/>
      <c r="AE52" s="379"/>
    </row>
    <row r="53" spans="1:31" ht="24.95" customHeight="1">
      <c r="A53" s="386">
        <v>41</v>
      </c>
      <c r="B53" s="381" t="s">
        <v>1727</v>
      </c>
      <c r="C53" s="368" t="s">
        <v>1765</v>
      </c>
      <c r="D53" s="386">
        <v>21</v>
      </c>
      <c r="E53" s="386">
        <v>27</v>
      </c>
      <c r="F53" s="386">
        <v>21</v>
      </c>
      <c r="G53" s="386">
        <v>20</v>
      </c>
      <c r="H53" s="386">
        <v>20</v>
      </c>
      <c r="I53" s="386">
        <v>13</v>
      </c>
      <c r="J53" s="386">
        <v>20</v>
      </c>
      <c r="K53" s="386">
        <v>17</v>
      </c>
      <c r="L53" s="386">
        <v>21</v>
      </c>
      <c r="M53" s="383">
        <v>18</v>
      </c>
      <c r="N53" s="383">
        <v>16</v>
      </c>
      <c r="O53" s="384">
        <v>22</v>
      </c>
      <c r="P53" s="372">
        <f t="shared" si="9"/>
        <v>180</v>
      </c>
      <c r="Q53" s="366">
        <f t="shared" si="10"/>
        <v>9</v>
      </c>
      <c r="R53" s="373">
        <f t="shared" si="11"/>
        <v>56</v>
      </c>
      <c r="S53" s="373">
        <f t="shared" si="12"/>
        <v>3</v>
      </c>
      <c r="T53" s="374">
        <f t="shared" si="13"/>
        <v>12</v>
      </c>
      <c r="U53" s="374">
        <f t="shared" si="14"/>
        <v>8280</v>
      </c>
      <c r="V53" s="375">
        <f t="shared" si="15"/>
        <v>2866</v>
      </c>
      <c r="W53" s="376">
        <f t="shared" si="16"/>
        <v>955</v>
      </c>
      <c r="X53" s="377">
        <f t="shared" si="17"/>
        <v>3821</v>
      </c>
      <c r="AA53" s="230">
        <v>13800</v>
      </c>
      <c r="AC53" s="378"/>
      <c r="AD53" s="378"/>
      <c r="AE53" s="379"/>
    </row>
    <row r="54" spans="1:31" ht="24.95" customHeight="1">
      <c r="A54" s="386">
        <v>42</v>
      </c>
      <c r="B54" s="381" t="s">
        <v>1727</v>
      </c>
      <c r="C54" s="368" t="s">
        <v>1766</v>
      </c>
      <c r="D54" s="382">
        <v>19</v>
      </c>
      <c r="E54" s="382">
        <v>27</v>
      </c>
      <c r="F54" s="382">
        <v>26</v>
      </c>
      <c r="G54" s="382">
        <v>25</v>
      </c>
      <c r="H54" s="382">
        <v>15</v>
      </c>
      <c r="I54" s="382">
        <v>24</v>
      </c>
      <c r="J54" s="382">
        <v>23</v>
      </c>
      <c r="K54" s="382">
        <v>21</v>
      </c>
      <c r="L54" s="382">
        <v>25</v>
      </c>
      <c r="M54" s="383">
        <v>26</v>
      </c>
      <c r="N54" s="383">
        <v>26</v>
      </c>
      <c r="O54" s="384">
        <v>23</v>
      </c>
      <c r="P54" s="372">
        <f t="shared" si="9"/>
        <v>205</v>
      </c>
      <c r="Q54" s="366">
        <f t="shared" si="10"/>
        <v>10</v>
      </c>
      <c r="R54" s="373">
        <f t="shared" si="11"/>
        <v>75</v>
      </c>
      <c r="S54" s="373">
        <f t="shared" si="12"/>
        <v>4</v>
      </c>
      <c r="T54" s="374">
        <f t="shared" si="13"/>
        <v>14</v>
      </c>
      <c r="U54" s="374">
        <f t="shared" si="14"/>
        <v>8520</v>
      </c>
      <c r="V54" s="375">
        <f t="shared" si="15"/>
        <v>3277</v>
      </c>
      <c r="W54" s="376">
        <f t="shared" si="16"/>
        <v>1311</v>
      </c>
      <c r="X54" s="377">
        <f t="shared" si="17"/>
        <v>4588</v>
      </c>
      <c r="AA54" s="230">
        <v>14200</v>
      </c>
      <c r="AC54" s="378"/>
      <c r="AD54" s="378"/>
      <c r="AE54" s="379"/>
    </row>
    <row r="55" spans="1:31" ht="24.95" customHeight="1">
      <c r="A55" s="386">
        <v>43</v>
      </c>
      <c r="B55" s="381" t="s">
        <v>1727</v>
      </c>
      <c r="C55" s="380" t="s">
        <v>1767</v>
      </c>
      <c r="D55" s="386">
        <v>25</v>
      </c>
      <c r="E55" s="386">
        <v>26</v>
      </c>
      <c r="F55" s="386">
        <v>21</v>
      </c>
      <c r="G55" s="386">
        <v>21</v>
      </c>
      <c r="H55" s="386">
        <v>22</v>
      </c>
      <c r="I55" s="386">
        <v>20</v>
      </c>
      <c r="J55" s="386">
        <v>16</v>
      </c>
      <c r="K55" s="386">
        <v>20</v>
      </c>
      <c r="L55" s="386">
        <v>16</v>
      </c>
      <c r="M55" s="383">
        <v>17</v>
      </c>
      <c r="N55" s="383">
        <v>19</v>
      </c>
      <c r="O55" s="384">
        <v>17</v>
      </c>
      <c r="P55" s="372">
        <f t="shared" si="9"/>
        <v>187</v>
      </c>
      <c r="Q55" s="366">
        <f t="shared" si="10"/>
        <v>9</v>
      </c>
      <c r="R55" s="373">
        <f t="shared" si="11"/>
        <v>53</v>
      </c>
      <c r="S55" s="373">
        <f t="shared" si="12"/>
        <v>3</v>
      </c>
      <c r="T55" s="374">
        <f t="shared" si="13"/>
        <v>12</v>
      </c>
      <c r="U55" s="374">
        <f t="shared" si="14"/>
        <v>6000</v>
      </c>
      <c r="V55" s="375">
        <f t="shared" si="15"/>
        <v>2077</v>
      </c>
      <c r="W55" s="376">
        <f t="shared" si="16"/>
        <v>692</v>
      </c>
      <c r="X55" s="377">
        <f t="shared" si="17"/>
        <v>2769</v>
      </c>
      <c r="AA55" s="230">
        <v>10000</v>
      </c>
      <c r="AC55" s="378"/>
      <c r="AD55" s="378"/>
      <c r="AE55" s="379"/>
    </row>
    <row r="56" spans="1:31" ht="24.95" customHeight="1">
      <c r="A56" s="386">
        <v>44</v>
      </c>
      <c r="B56" s="381" t="s">
        <v>1727</v>
      </c>
      <c r="C56" s="380" t="s">
        <v>1768</v>
      </c>
      <c r="D56" s="382">
        <v>24</v>
      </c>
      <c r="E56" s="382">
        <v>24</v>
      </c>
      <c r="F56" s="382">
        <v>26</v>
      </c>
      <c r="G56" s="382">
        <v>25</v>
      </c>
      <c r="H56" s="382">
        <v>25</v>
      </c>
      <c r="I56" s="382">
        <v>23</v>
      </c>
      <c r="J56" s="382">
        <v>20</v>
      </c>
      <c r="K56" s="382">
        <v>6</v>
      </c>
      <c r="L56" s="382">
        <v>0</v>
      </c>
      <c r="M56" s="383">
        <v>0</v>
      </c>
      <c r="N56" s="383">
        <v>0</v>
      </c>
      <c r="O56" s="384">
        <v>0</v>
      </c>
      <c r="P56" s="372">
        <f t="shared" si="9"/>
        <v>173</v>
      </c>
      <c r="Q56" s="366">
        <f t="shared" si="10"/>
        <v>9</v>
      </c>
      <c r="R56" s="373">
        <f t="shared" si="11"/>
        <v>0</v>
      </c>
      <c r="S56" s="373">
        <f t="shared" si="12"/>
        <v>0</v>
      </c>
      <c r="T56" s="374">
        <f t="shared" si="13"/>
        <v>9</v>
      </c>
      <c r="U56" s="374">
        <f t="shared" si="14"/>
        <v>7200</v>
      </c>
      <c r="V56" s="375">
        <f t="shared" si="15"/>
        <v>2492</v>
      </c>
      <c r="W56" s="376">
        <f t="shared" si="16"/>
        <v>0</v>
      </c>
      <c r="X56" s="377">
        <f t="shared" si="17"/>
        <v>2492</v>
      </c>
      <c r="AA56" s="230">
        <v>12000</v>
      </c>
      <c r="AC56" s="378"/>
      <c r="AD56" s="378"/>
      <c r="AE56" s="379"/>
    </row>
    <row r="57" spans="1:31" ht="24.95" customHeight="1">
      <c r="A57" s="386">
        <v>45</v>
      </c>
      <c r="B57" s="381" t="s">
        <v>1727</v>
      </c>
      <c r="C57" s="380" t="s">
        <v>1769</v>
      </c>
      <c r="D57" s="386"/>
      <c r="E57" s="386"/>
      <c r="F57" s="386"/>
      <c r="G57" s="386"/>
      <c r="H57" s="386">
        <v>17</v>
      </c>
      <c r="I57" s="386">
        <v>19</v>
      </c>
      <c r="J57" s="386">
        <v>24</v>
      </c>
      <c r="K57" s="386">
        <v>6</v>
      </c>
      <c r="L57" s="386">
        <v>0</v>
      </c>
      <c r="M57" s="383">
        <v>0</v>
      </c>
      <c r="N57" s="383">
        <v>0</v>
      </c>
      <c r="O57" s="384">
        <v>0</v>
      </c>
      <c r="P57" s="372">
        <f t="shared" si="9"/>
        <v>66</v>
      </c>
      <c r="Q57" s="366">
        <f t="shared" si="10"/>
        <v>3</v>
      </c>
      <c r="R57" s="373">
        <f t="shared" si="11"/>
        <v>0</v>
      </c>
      <c r="S57" s="373">
        <f t="shared" si="12"/>
        <v>0</v>
      </c>
      <c r="T57" s="374">
        <f t="shared" si="13"/>
        <v>3</v>
      </c>
      <c r="U57" s="374">
        <f t="shared" si="14"/>
        <v>9000</v>
      </c>
      <c r="V57" s="375">
        <f t="shared" si="15"/>
        <v>1038</v>
      </c>
      <c r="W57" s="376">
        <f t="shared" si="16"/>
        <v>0</v>
      </c>
      <c r="X57" s="377">
        <f t="shared" si="17"/>
        <v>1038</v>
      </c>
      <c r="AA57" s="230">
        <v>15000</v>
      </c>
      <c r="AC57" s="378"/>
      <c r="AD57" s="378"/>
      <c r="AE57" s="379"/>
    </row>
    <row r="58" spans="1:31" ht="20.100000000000001" customHeight="1" thickBot="1">
      <c r="A58" s="387"/>
      <c r="B58" s="2407" t="s">
        <v>1825</v>
      </c>
      <c r="C58" s="2408"/>
      <c r="D58" s="2408"/>
      <c r="E58" s="2408"/>
      <c r="F58" s="2408"/>
      <c r="G58" s="2408"/>
      <c r="H58" s="2408"/>
      <c r="I58" s="2408"/>
      <c r="J58" s="2408"/>
      <c r="K58" s="2408"/>
      <c r="L58" s="2408"/>
      <c r="M58" s="2408"/>
      <c r="N58" s="2408"/>
      <c r="O58" s="2408"/>
      <c r="P58" s="2408"/>
      <c r="Q58" s="2408"/>
      <c r="R58" s="2408"/>
      <c r="S58" s="2408"/>
      <c r="T58" s="2408"/>
      <c r="U58" s="2409"/>
      <c r="V58" s="388">
        <f>SUM(V9:V57)</f>
        <v>168261</v>
      </c>
      <c r="W58" s="388">
        <f>SUM(W9:W57)</f>
        <v>53546</v>
      </c>
      <c r="X58" s="388">
        <f>SUM(X9:X57)</f>
        <v>221807</v>
      </c>
    </row>
    <row r="59" spans="1:31" ht="15.75" thickTop="1"/>
  </sheetData>
  <mergeCells count="21">
    <mergeCell ref="B58:U58"/>
    <mergeCell ref="P35:Q35"/>
    <mergeCell ref="R35:S35"/>
    <mergeCell ref="P36:Q36"/>
    <mergeCell ref="R36:S36"/>
    <mergeCell ref="P37:Q37"/>
    <mergeCell ref="R37:S37"/>
    <mergeCell ref="P7:Q7"/>
    <mergeCell ref="R7:S7"/>
    <mergeCell ref="P8:Q8"/>
    <mergeCell ref="R8:S8"/>
    <mergeCell ref="D34:O34"/>
    <mergeCell ref="P34:Q34"/>
    <mergeCell ref="R34:S34"/>
    <mergeCell ref="P6:Q6"/>
    <mergeCell ref="R6:S6"/>
    <mergeCell ref="A2:X2"/>
    <mergeCell ref="A3:X3"/>
    <mergeCell ref="D5:O5"/>
    <mergeCell ref="P5:Q5"/>
    <mergeCell ref="R5:S5"/>
  </mergeCells>
  <pageMargins left="0.19685039370078741" right="0.19685039370078741" top="0.19685039370078741" bottom="0.19685039370078741" header="0.31496062992125984" footer="0.31496062992125984"/>
  <pageSetup scale="75" orientation="landscape" r:id="rId1"/>
  <rowBreaks count="1" manualBreakCount="1">
    <brk id="33" max="23" man="1"/>
  </rowBreaks>
  <colBreaks count="1" manualBreakCount="1">
    <brk id="24"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54"/>
  <sheetViews>
    <sheetView workbookViewId="0">
      <selection activeCell="H6" sqref="H6"/>
    </sheetView>
  </sheetViews>
  <sheetFormatPr defaultColWidth="8.85546875" defaultRowHeight="15"/>
  <cols>
    <col min="1" max="1" width="24.5703125" style="230" customWidth="1"/>
    <col min="2" max="2" width="15" style="2" bestFit="1" customWidth="1"/>
    <col min="3" max="3" width="13.85546875" style="2" bestFit="1" customWidth="1"/>
    <col min="4" max="4" width="12.5703125" style="2" bestFit="1" customWidth="1"/>
    <col min="5" max="5" width="12.140625" style="2" customWidth="1"/>
    <col min="6" max="6" width="13.28515625" style="14" customWidth="1"/>
    <col min="7" max="7" width="13.85546875" style="230" bestFit="1" customWidth="1"/>
    <col min="8" max="8" width="14.28515625" style="230" customWidth="1"/>
    <col min="9" max="9" width="15" style="230" customWidth="1"/>
    <col min="10" max="10" width="27.5703125" style="2" customWidth="1"/>
    <col min="11" max="11" width="20.85546875" style="2" bestFit="1" customWidth="1"/>
    <col min="12" max="12" width="19.7109375" style="2" bestFit="1" customWidth="1"/>
    <col min="13" max="13" width="13.7109375" style="2" bestFit="1" customWidth="1"/>
    <col min="14" max="14" width="14.85546875" style="2" bestFit="1" customWidth="1"/>
    <col min="15" max="15" width="12.28515625" style="230" bestFit="1" customWidth="1"/>
    <col min="16" max="16384" width="8.85546875" style="230"/>
  </cols>
  <sheetData>
    <row r="1" spans="1:15" ht="19.5">
      <c r="A1" s="258" t="s">
        <v>1065</v>
      </c>
      <c r="B1" s="247"/>
      <c r="C1" s="247"/>
      <c r="D1" s="247"/>
      <c r="E1" s="247"/>
      <c r="F1" s="259"/>
      <c r="G1" s="244"/>
      <c r="H1" s="244"/>
      <c r="I1" s="244"/>
      <c r="J1" s="247"/>
    </row>
    <row r="2" spans="1:15">
      <c r="A2" s="260" t="s">
        <v>1667</v>
      </c>
      <c r="B2" s="247"/>
      <c r="C2" s="247"/>
      <c r="D2" s="247"/>
      <c r="E2" s="247"/>
      <c r="F2" s="259"/>
      <c r="G2" s="244"/>
      <c r="H2" s="244"/>
      <c r="I2" s="244"/>
      <c r="J2" s="247"/>
    </row>
    <row r="3" spans="1:15">
      <c r="A3" s="244"/>
      <c r="B3" s="247"/>
      <c r="C3" s="247"/>
      <c r="D3" s="247"/>
      <c r="E3" s="247"/>
      <c r="F3" s="259"/>
      <c r="G3" s="244"/>
      <c r="H3" s="244"/>
      <c r="I3" s="244"/>
      <c r="J3" s="247"/>
    </row>
    <row r="4" spans="1:15" s="14" customFormat="1" ht="45">
      <c r="A4" s="261" t="s">
        <v>9</v>
      </c>
      <c r="B4" s="262" t="s">
        <v>1668</v>
      </c>
      <c r="C4" s="262" t="s">
        <v>1669</v>
      </c>
      <c r="D4" s="262" t="s">
        <v>1670</v>
      </c>
      <c r="E4" s="262" t="s">
        <v>702</v>
      </c>
      <c r="F4" s="261" t="s">
        <v>1671</v>
      </c>
      <c r="G4" s="261" t="s">
        <v>1683</v>
      </c>
      <c r="H4" s="261" t="s">
        <v>1672</v>
      </c>
      <c r="I4" s="261" t="s">
        <v>1673</v>
      </c>
      <c r="J4" s="262" t="s">
        <v>1674</v>
      </c>
      <c r="K4" s="239"/>
      <c r="L4" s="239"/>
      <c r="M4" s="239"/>
      <c r="N4" s="239"/>
      <c r="O4" s="239"/>
    </row>
    <row r="5" spans="1:15" s="244" customFormat="1" ht="60">
      <c r="A5" s="243" t="s">
        <v>313</v>
      </c>
      <c r="B5" s="241">
        <v>7300000</v>
      </c>
      <c r="C5" s="241">
        <v>7186632</v>
      </c>
      <c r="D5" s="241">
        <f>+D20</f>
        <v>193329</v>
      </c>
      <c r="E5" s="241">
        <f>45167+82</f>
        <v>45249</v>
      </c>
      <c r="F5" s="242">
        <f>+B5-C5</f>
        <v>113368</v>
      </c>
      <c r="G5" s="242">
        <f>+E20</f>
        <v>267</v>
      </c>
      <c r="H5" s="241">
        <v>0</v>
      </c>
      <c r="I5" s="241">
        <f>+C5-H5</f>
        <v>7186632</v>
      </c>
      <c r="J5" s="243" t="s">
        <v>1675</v>
      </c>
    </row>
    <row r="6" spans="1:15" ht="30">
      <c r="A6" s="243" t="s">
        <v>314</v>
      </c>
      <c r="B6" s="241">
        <f>+B28</f>
        <v>14600000</v>
      </c>
      <c r="C6" s="241">
        <f>+G39</f>
        <v>10481463</v>
      </c>
      <c r="D6" s="241">
        <f>+D40</f>
        <v>948949</v>
      </c>
      <c r="E6" s="241">
        <f>+D39</f>
        <v>65946</v>
      </c>
      <c r="F6" s="242">
        <f>+B6-C6</f>
        <v>4118537</v>
      </c>
      <c r="G6" s="242"/>
      <c r="H6" s="241">
        <f>+C54</f>
        <v>4866672</v>
      </c>
      <c r="I6" s="241">
        <f>+C6-H6</f>
        <v>5614791</v>
      </c>
      <c r="J6" s="243" t="s">
        <v>1676</v>
      </c>
      <c r="O6" s="2"/>
    </row>
    <row r="7" spans="1:15">
      <c r="A7" s="263" t="s">
        <v>1249</v>
      </c>
      <c r="B7" s="241"/>
      <c r="C7" s="264">
        <f>+SUM(C5:C6)</f>
        <v>17668095</v>
      </c>
      <c r="D7" s="264">
        <f t="shared" ref="D7:I7" si="0">+SUM(D5:D6)</f>
        <v>1142278</v>
      </c>
      <c r="E7" s="264">
        <f t="shared" si="0"/>
        <v>111195</v>
      </c>
      <c r="F7" s="264">
        <f t="shared" si="0"/>
        <v>4231905</v>
      </c>
      <c r="G7" s="264">
        <f t="shared" si="0"/>
        <v>267</v>
      </c>
      <c r="H7" s="264">
        <f t="shared" si="0"/>
        <v>4866672</v>
      </c>
      <c r="I7" s="264">
        <f t="shared" si="0"/>
        <v>12801423</v>
      </c>
      <c r="J7" s="243"/>
      <c r="O7" s="2"/>
    </row>
    <row r="8" spans="1:15">
      <c r="A8" s="243"/>
      <c r="B8" s="241"/>
      <c r="C8" s="241"/>
      <c r="D8" s="241"/>
      <c r="E8" s="241"/>
      <c r="F8" s="242"/>
      <c r="G8" s="242"/>
      <c r="H8" s="241"/>
      <c r="I8" s="241"/>
      <c r="J8" s="243"/>
      <c r="O8" s="2"/>
    </row>
    <row r="9" spans="1:15" ht="30">
      <c r="A9" s="243" t="s">
        <v>316</v>
      </c>
      <c r="B9" s="241">
        <v>77500000</v>
      </c>
      <c r="C9" s="241">
        <v>21743710</v>
      </c>
      <c r="D9" s="241">
        <f>+K19</f>
        <v>390312</v>
      </c>
      <c r="E9" s="241">
        <v>147945</v>
      </c>
      <c r="F9" s="265">
        <v>233269</v>
      </c>
      <c r="G9" s="242">
        <f>+L19</f>
        <v>148846</v>
      </c>
      <c r="H9" s="241"/>
      <c r="I9" s="240"/>
      <c r="J9" s="241"/>
    </row>
    <row r="10" spans="1:15">
      <c r="A10" s="257"/>
    </row>
    <row r="13" spans="1:15" ht="17.25">
      <c r="A13" s="246" t="s">
        <v>1677</v>
      </c>
      <c r="F13" s="230"/>
      <c r="H13" s="251" t="s">
        <v>1684</v>
      </c>
      <c r="I13" s="226"/>
      <c r="J13" s="226"/>
      <c r="K13" s="226"/>
      <c r="L13" s="226"/>
      <c r="M13" s="226"/>
      <c r="N13" s="229"/>
    </row>
    <row r="14" spans="1:15">
      <c r="A14" s="240" t="s">
        <v>9</v>
      </c>
      <c r="B14" s="241" t="s">
        <v>1678</v>
      </c>
      <c r="C14" s="241" t="s">
        <v>1685</v>
      </c>
      <c r="D14" s="241" t="s">
        <v>1260</v>
      </c>
      <c r="E14" s="241" t="s">
        <v>1687</v>
      </c>
      <c r="F14" s="240" t="s">
        <v>1680</v>
      </c>
      <c r="G14" s="229"/>
      <c r="H14" s="254" t="s">
        <v>9</v>
      </c>
      <c r="I14" s="241" t="s">
        <v>1678</v>
      </c>
      <c r="J14" s="241" t="s">
        <v>1686</v>
      </c>
      <c r="K14" s="241" t="s">
        <v>1260</v>
      </c>
      <c r="L14" s="241" t="s">
        <v>1687</v>
      </c>
      <c r="M14" s="241" t="s">
        <v>1688</v>
      </c>
      <c r="N14" s="240" t="s">
        <v>1680</v>
      </c>
    </row>
    <row r="15" spans="1:15">
      <c r="A15" s="225">
        <v>44501</v>
      </c>
      <c r="B15" s="226">
        <v>7234839</v>
      </c>
      <c r="C15" s="226"/>
      <c r="D15" s="226">
        <v>16135</v>
      </c>
      <c r="E15" s="226">
        <v>0</v>
      </c>
      <c r="F15" s="252">
        <f>+B15-C15</f>
        <v>7234839</v>
      </c>
      <c r="G15" s="229"/>
      <c r="H15" s="255">
        <v>44531</v>
      </c>
      <c r="I15" s="226">
        <v>0</v>
      </c>
      <c r="J15" s="226">
        <f>1960000+1437594+4809186+2985012</f>
        <v>11191792</v>
      </c>
      <c r="K15" s="226">
        <v>7577</v>
      </c>
      <c r="L15" s="226">
        <v>0</v>
      </c>
      <c r="M15" s="226"/>
      <c r="N15" s="252">
        <f>+I15+J15+K15+L15-M15</f>
        <v>11199369</v>
      </c>
    </row>
    <row r="16" spans="1:15">
      <c r="A16" s="225">
        <v>44531</v>
      </c>
      <c r="B16" s="226">
        <f>+F15</f>
        <v>7234839</v>
      </c>
      <c r="C16" s="226"/>
      <c r="D16" s="226">
        <v>45487</v>
      </c>
      <c r="E16" s="226">
        <v>29</v>
      </c>
      <c r="F16" s="252">
        <f t="shared" ref="F16:F19" si="1">+B16-C16</f>
        <v>7234839</v>
      </c>
      <c r="G16" s="229"/>
      <c r="H16" s="255">
        <v>44562</v>
      </c>
      <c r="I16" s="226">
        <f>+N15</f>
        <v>11199369</v>
      </c>
      <c r="J16" s="226">
        <f>2322000+1420962+3135000+1989302</f>
        <v>8867264</v>
      </c>
      <c r="K16" s="226">
        <f>103383</f>
        <v>103383</v>
      </c>
      <c r="L16" s="226">
        <v>12435</v>
      </c>
      <c r="M16" s="226"/>
      <c r="N16" s="252">
        <f t="shared" ref="N16:N18" si="2">+I16+J16+K16+L16-M16</f>
        <v>20182451</v>
      </c>
    </row>
    <row r="17" spans="1:15">
      <c r="A17" s="225">
        <v>44562</v>
      </c>
      <c r="B17" s="226">
        <f t="shared" ref="B17" si="3">+F16+C17</f>
        <v>7234839</v>
      </c>
      <c r="C17" s="226"/>
      <c r="D17" s="226">
        <v>45487</v>
      </c>
      <c r="E17" s="226">
        <v>82</v>
      </c>
      <c r="F17" s="252">
        <f t="shared" si="1"/>
        <v>7234839</v>
      </c>
      <c r="G17" s="229"/>
      <c r="H17" s="255">
        <v>44593</v>
      </c>
      <c r="I17" s="226">
        <f t="shared" ref="I17" si="4">+N16+J17</f>
        <v>20182451</v>
      </c>
      <c r="J17" s="226"/>
      <c r="K17" s="226">
        <v>131407</v>
      </c>
      <c r="L17" s="226">
        <v>64995</v>
      </c>
      <c r="M17" s="226">
        <f>12435+298618</f>
        <v>311053</v>
      </c>
      <c r="N17" s="252">
        <f t="shared" si="2"/>
        <v>20067800</v>
      </c>
    </row>
    <row r="18" spans="1:15">
      <c r="A18" s="225">
        <v>44593</v>
      </c>
      <c r="B18" s="226">
        <f>+F17</f>
        <v>7234839</v>
      </c>
      <c r="C18" s="226">
        <v>87855</v>
      </c>
      <c r="D18" s="226">
        <v>41053</v>
      </c>
      <c r="E18" s="226">
        <v>74</v>
      </c>
      <c r="F18" s="252">
        <f t="shared" si="1"/>
        <v>7146984</v>
      </c>
      <c r="G18" s="229"/>
      <c r="H18" s="255">
        <v>44621</v>
      </c>
      <c r="I18" s="226">
        <f>+N17</f>
        <v>20067800</v>
      </c>
      <c r="J18" s="226">
        <f>252071+700000+737393+118+118+118</f>
        <v>1689818</v>
      </c>
      <c r="K18" s="226">
        <v>147945</v>
      </c>
      <c r="L18" s="226">
        <v>71416</v>
      </c>
      <c r="M18" s="226">
        <v>233269</v>
      </c>
      <c r="N18" s="253">
        <f t="shared" si="2"/>
        <v>21743710</v>
      </c>
    </row>
    <row r="19" spans="1:15">
      <c r="A19" s="225">
        <v>44621</v>
      </c>
      <c r="B19" s="226">
        <f>+F18+C19</f>
        <v>7146984</v>
      </c>
      <c r="C19" s="226">
        <v>0</v>
      </c>
      <c r="D19" s="226">
        <v>45167</v>
      </c>
      <c r="E19" s="226">
        <v>82</v>
      </c>
      <c r="F19" s="253">
        <f t="shared" si="1"/>
        <v>7146984</v>
      </c>
      <c r="G19" s="229"/>
      <c r="H19" s="255"/>
      <c r="I19" s="226"/>
      <c r="J19" s="226"/>
      <c r="K19" s="228">
        <f>+SUM(K15:K18)</f>
        <v>390312</v>
      </c>
      <c r="L19" s="228">
        <f>+SUM(L15:L18)</f>
        <v>148846</v>
      </c>
      <c r="M19" s="226"/>
      <c r="N19" s="252"/>
    </row>
    <row r="20" spans="1:15">
      <c r="A20" s="225"/>
      <c r="B20" s="226"/>
      <c r="C20" s="226"/>
      <c r="D20" s="228">
        <f>+SUM(D15:D19)</f>
        <v>193329</v>
      </c>
      <c r="E20" s="228">
        <f>+SUM(E15:E19)</f>
        <v>267</v>
      </c>
      <c r="F20" s="252"/>
      <c r="G20" s="229"/>
      <c r="H20" s="248"/>
      <c r="I20" s="2"/>
      <c r="K20" s="1"/>
      <c r="N20" s="249"/>
    </row>
    <row r="21" spans="1:15">
      <c r="A21" s="229"/>
      <c r="B21" s="226"/>
      <c r="C21" s="226"/>
      <c r="D21" s="226"/>
      <c r="E21" s="226"/>
      <c r="F21" s="229"/>
      <c r="G21" s="229"/>
      <c r="H21" s="248">
        <v>44673</v>
      </c>
      <c r="I21" s="2">
        <f>+N18</f>
        <v>21743710</v>
      </c>
      <c r="M21" s="2">
        <v>3875000</v>
      </c>
      <c r="N21" s="1523">
        <f>+I21+J21-M21</f>
        <v>17868710</v>
      </c>
    </row>
    <row r="22" spans="1:15">
      <c r="A22" s="225">
        <v>44986</v>
      </c>
      <c r="B22" s="226">
        <f>+F19</f>
        <v>7146984</v>
      </c>
      <c r="C22" s="226">
        <v>0</v>
      </c>
      <c r="D22" s="226">
        <f>+B22*7.4%</f>
        <v>528876.81600000011</v>
      </c>
      <c r="E22" s="226">
        <v>0</v>
      </c>
      <c r="F22" s="252">
        <f>+B22</f>
        <v>7146984</v>
      </c>
      <c r="G22" s="229"/>
      <c r="H22" s="248">
        <v>44743</v>
      </c>
      <c r="I22" s="2">
        <f>+N21</f>
        <v>17868710</v>
      </c>
      <c r="M22" s="2">
        <v>3875000</v>
      </c>
      <c r="N22" s="1523">
        <f t="shared" ref="N22:N24" si="5">+I22+J22-M22</f>
        <v>13993710</v>
      </c>
    </row>
    <row r="23" spans="1:15">
      <c r="A23" s="225">
        <v>45261</v>
      </c>
      <c r="B23" s="226">
        <f>+F22</f>
        <v>7146984</v>
      </c>
      <c r="C23" s="226"/>
      <c r="D23" s="226"/>
      <c r="E23" s="226"/>
      <c r="F23" s="229"/>
      <c r="G23" s="229"/>
      <c r="H23" s="248">
        <v>44856</v>
      </c>
      <c r="I23" s="2">
        <f t="shared" ref="I23:I24" si="6">+N22</f>
        <v>13993710</v>
      </c>
      <c r="M23" s="2">
        <v>3875000</v>
      </c>
      <c r="N23" s="1523">
        <f t="shared" si="5"/>
        <v>10118710</v>
      </c>
    </row>
    <row r="24" spans="1:15">
      <c r="H24" s="1719">
        <v>44583</v>
      </c>
      <c r="I24" s="2">
        <f t="shared" si="6"/>
        <v>10118710</v>
      </c>
      <c r="M24" s="2">
        <v>3875000</v>
      </c>
      <c r="N24" s="1523">
        <f t="shared" si="5"/>
        <v>6243710</v>
      </c>
    </row>
    <row r="25" spans="1:15">
      <c r="M25" s="1">
        <f>+SUM(M21:M24)</f>
        <v>15500000</v>
      </c>
    </row>
    <row r="26" spans="1:15" ht="17.25">
      <c r="A26" s="251" t="s">
        <v>1681</v>
      </c>
      <c r="B26" s="226"/>
      <c r="C26" s="226"/>
      <c r="D26" s="256">
        <v>7.3999999999999996E-2</v>
      </c>
      <c r="E26" s="226">
        <v>12</v>
      </c>
      <c r="F26" s="229"/>
      <c r="G26" s="229"/>
    </row>
    <row r="27" spans="1:15">
      <c r="A27" s="240" t="s">
        <v>9</v>
      </c>
      <c r="B27" s="241" t="s">
        <v>1678</v>
      </c>
      <c r="C27" s="241" t="s">
        <v>1685</v>
      </c>
      <c r="D27" s="241" t="s">
        <v>1260</v>
      </c>
      <c r="E27" s="241" t="s">
        <v>1682</v>
      </c>
      <c r="F27" s="241" t="s">
        <v>1679</v>
      </c>
      <c r="G27" s="240" t="s">
        <v>1680</v>
      </c>
      <c r="H27" s="244"/>
      <c r="J27" s="230"/>
      <c r="O27" s="2"/>
    </row>
    <row r="28" spans="1:15">
      <c r="A28" s="225">
        <v>44287</v>
      </c>
      <c r="B28" s="226">
        <v>14600000</v>
      </c>
      <c r="C28" s="226"/>
      <c r="D28" s="226">
        <v>88874</v>
      </c>
      <c r="E28" s="226">
        <v>88874</v>
      </c>
      <c r="F28" s="226">
        <v>0</v>
      </c>
      <c r="G28" s="252">
        <f>+B28+D28-E28</f>
        <v>14600000</v>
      </c>
      <c r="H28" s="249"/>
      <c r="J28" s="230"/>
      <c r="O28" s="2"/>
    </row>
    <row r="29" spans="1:15">
      <c r="A29" s="225">
        <v>44317</v>
      </c>
      <c r="B29" s="226">
        <f>+G28+C29</f>
        <v>14600000</v>
      </c>
      <c r="C29" s="226"/>
      <c r="D29" s="226">
        <v>91796</v>
      </c>
      <c r="E29" s="226">
        <v>91796</v>
      </c>
      <c r="F29" s="226">
        <v>0</v>
      </c>
      <c r="G29" s="252">
        <f>+B29+D29-E29</f>
        <v>14600000</v>
      </c>
      <c r="H29" s="249"/>
      <c r="J29" s="230"/>
      <c r="O29" s="2"/>
    </row>
    <row r="30" spans="1:15">
      <c r="A30" s="225">
        <v>44348</v>
      </c>
      <c r="B30" s="226">
        <f>+G29+C30</f>
        <v>14600000</v>
      </c>
      <c r="C30" s="226"/>
      <c r="D30" s="226">
        <v>88800</v>
      </c>
      <c r="E30" s="226">
        <v>88800</v>
      </c>
      <c r="F30" s="226">
        <v>0</v>
      </c>
      <c r="G30" s="252">
        <f>+B30+D30-E30</f>
        <v>14600000</v>
      </c>
      <c r="H30" s="249"/>
      <c r="I30" s="2">
        <f>405556*10</f>
        <v>4055560</v>
      </c>
      <c r="J30" s="230"/>
      <c r="O30" s="2"/>
    </row>
    <row r="31" spans="1:15">
      <c r="A31" s="225">
        <v>44378</v>
      </c>
      <c r="B31" s="226">
        <f>+G30</f>
        <v>14600000</v>
      </c>
      <c r="C31" s="226">
        <v>811112</v>
      </c>
      <c r="D31" s="226">
        <v>89622</v>
      </c>
      <c r="E31" s="226"/>
      <c r="F31" s="226">
        <f>+C31+D31</f>
        <v>900734</v>
      </c>
      <c r="G31" s="252">
        <f>+B31-C31+D31-E31</f>
        <v>13878510</v>
      </c>
      <c r="H31" s="249"/>
      <c r="J31" s="230"/>
      <c r="O31" s="2"/>
    </row>
    <row r="32" spans="1:15">
      <c r="A32" s="225">
        <v>44409</v>
      </c>
      <c r="B32" s="226">
        <f t="shared" ref="B32:B39" si="7">+G31</f>
        <v>13878510</v>
      </c>
      <c r="C32" s="226">
        <v>495179</v>
      </c>
      <c r="D32" s="226">
        <v>84214</v>
      </c>
      <c r="E32" s="226"/>
      <c r="F32" s="226">
        <f t="shared" ref="F32:F39" si="8">+C32+D32</f>
        <v>579393</v>
      </c>
      <c r="G32" s="252">
        <f t="shared" ref="G32:G39" si="9">+B32-C32+D32-E32</f>
        <v>13467545</v>
      </c>
      <c r="H32" s="249"/>
      <c r="J32" s="230"/>
      <c r="O32" s="2"/>
    </row>
    <row r="33" spans="1:15">
      <c r="A33" s="225">
        <v>44440</v>
      </c>
      <c r="B33" s="226">
        <f t="shared" si="7"/>
        <v>13467545</v>
      </c>
      <c r="C33" s="226">
        <v>492136</v>
      </c>
      <c r="D33" s="226">
        <v>78919</v>
      </c>
      <c r="E33" s="228"/>
      <c r="F33" s="226">
        <f t="shared" si="8"/>
        <v>571055</v>
      </c>
      <c r="G33" s="252">
        <f t="shared" si="9"/>
        <v>13054328</v>
      </c>
      <c r="H33" s="249"/>
      <c r="J33" s="230"/>
      <c r="O33" s="2"/>
    </row>
    <row r="34" spans="1:15">
      <c r="A34" s="225">
        <v>44470</v>
      </c>
      <c r="B34" s="226">
        <f t="shared" si="7"/>
        <v>13054328</v>
      </c>
      <c r="C34" s="226">
        <v>487383</v>
      </c>
      <c r="D34" s="226">
        <v>78982</v>
      </c>
      <c r="E34" s="226"/>
      <c r="F34" s="226">
        <f t="shared" si="8"/>
        <v>566365</v>
      </c>
      <c r="G34" s="252">
        <f t="shared" si="9"/>
        <v>12645927</v>
      </c>
      <c r="H34" s="249"/>
      <c r="J34" s="230"/>
      <c r="O34" s="2"/>
    </row>
    <row r="35" spans="1:15">
      <c r="A35" s="225">
        <v>44501</v>
      </c>
      <c r="B35" s="226">
        <f t="shared" si="7"/>
        <v>12645927</v>
      </c>
      <c r="C35" s="226">
        <v>487536</v>
      </c>
      <c r="D35" s="226">
        <v>74049</v>
      </c>
      <c r="E35" s="226"/>
      <c r="F35" s="226">
        <f t="shared" si="8"/>
        <v>561585</v>
      </c>
      <c r="G35" s="252">
        <f t="shared" si="9"/>
        <v>12232440</v>
      </c>
      <c r="H35" s="249"/>
      <c r="J35" s="230"/>
      <c r="O35" s="2"/>
    </row>
    <row r="36" spans="1:15">
      <c r="A36" s="225">
        <v>44531</v>
      </c>
      <c r="B36" s="226">
        <f t="shared" si="7"/>
        <v>12232440</v>
      </c>
      <c r="C36" s="226">
        <v>482423</v>
      </c>
      <c r="D36" s="226">
        <v>73946</v>
      </c>
      <c r="E36" s="226"/>
      <c r="F36" s="226">
        <f t="shared" si="8"/>
        <v>556369</v>
      </c>
      <c r="G36" s="252">
        <f t="shared" si="9"/>
        <v>11823963</v>
      </c>
      <c r="H36" s="249"/>
      <c r="J36" s="230"/>
      <c r="O36" s="2"/>
    </row>
    <row r="37" spans="1:15">
      <c r="A37" s="225">
        <v>44562</v>
      </c>
      <c r="B37" s="226">
        <f t="shared" si="7"/>
        <v>11823963</v>
      </c>
      <c r="C37" s="226">
        <v>465614</v>
      </c>
      <c r="D37" s="226">
        <v>71575</v>
      </c>
      <c r="E37" s="226"/>
      <c r="F37" s="226">
        <f t="shared" si="8"/>
        <v>537189</v>
      </c>
      <c r="G37" s="252">
        <f t="shared" si="9"/>
        <v>11429924</v>
      </c>
      <c r="H37" s="249"/>
      <c r="J37" s="230"/>
      <c r="O37" s="2"/>
    </row>
    <row r="38" spans="1:15">
      <c r="A38" s="225">
        <v>44593</v>
      </c>
      <c r="B38" s="226">
        <f t="shared" si="7"/>
        <v>11429924</v>
      </c>
      <c r="C38" s="226">
        <v>996885</v>
      </c>
      <c r="D38" s="226">
        <v>62226</v>
      </c>
      <c r="E38" s="226"/>
      <c r="F38" s="226">
        <f t="shared" si="8"/>
        <v>1059111</v>
      </c>
      <c r="G38" s="252">
        <f t="shared" si="9"/>
        <v>10495265</v>
      </c>
      <c r="H38" s="249"/>
    </row>
    <row r="39" spans="1:15">
      <c r="A39" s="225">
        <v>44621</v>
      </c>
      <c r="B39" s="226">
        <f t="shared" si="7"/>
        <v>10495265</v>
      </c>
      <c r="C39" s="226">
        <v>79748</v>
      </c>
      <c r="D39" s="226">
        <v>65946</v>
      </c>
      <c r="E39" s="226"/>
      <c r="F39" s="226">
        <f t="shared" si="8"/>
        <v>145694</v>
      </c>
      <c r="G39" s="252">
        <f t="shared" si="9"/>
        <v>10481463</v>
      </c>
      <c r="H39" s="249"/>
    </row>
    <row r="40" spans="1:15">
      <c r="A40" s="229"/>
      <c r="B40" s="226"/>
      <c r="C40" s="228">
        <f>+SUM(C31:C39)</f>
        <v>4798016</v>
      </c>
      <c r="D40" s="228">
        <f>+SUM(D28:D39)</f>
        <v>948949</v>
      </c>
      <c r="E40" s="228">
        <f>+SUM(E28:E39)</f>
        <v>269470</v>
      </c>
      <c r="F40" s="245"/>
      <c r="G40" s="229"/>
      <c r="I40" s="249">
        <f>+C40-D40+E40</f>
        <v>4118537</v>
      </c>
    </row>
    <row r="41" spans="1:15">
      <c r="A41" s="225"/>
      <c r="B41" s="226"/>
      <c r="C41" s="226"/>
      <c r="D41" s="226"/>
      <c r="E41" s="226"/>
      <c r="F41" s="245"/>
      <c r="G41" s="229"/>
    </row>
    <row r="42" spans="1:15">
      <c r="A42" s="225">
        <v>44652</v>
      </c>
      <c r="B42" s="226">
        <f>+G39</f>
        <v>10481463</v>
      </c>
      <c r="C42" s="226">
        <v>405556</v>
      </c>
      <c r="D42" s="226">
        <f>+ROUND(B42*$D$26*1/$E$26,0)</f>
        <v>64636</v>
      </c>
      <c r="E42" s="226">
        <f>+D42</f>
        <v>64636</v>
      </c>
      <c r="F42" s="245"/>
      <c r="G42" s="252">
        <f t="shared" ref="G42:G53" si="10">+B42-C42+D42-E42</f>
        <v>10075907</v>
      </c>
      <c r="H42" s="249"/>
    </row>
    <row r="43" spans="1:15">
      <c r="A43" s="225">
        <v>44682</v>
      </c>
      <c r="B43" s="226">
        <f>+G42</f>
        <v>10075907</v>
      </c>
      <c r="C43" s="226">
        <v>405556</v>
      </c>
      <c r="D43" s="226">
        <f t="shared" ref="D43:D53" si="11">+ROUND(B43*$D$26*1/$E$26,0)</f>
        <v>62135</v>
      </c>
      <c r="E43" s="226">
        <f t="shared" ref="E43:E53" si="12">+D43</f>
        <v>62135</v>
      </c>
      <c r="F43" s="245"/>
      <c r="G43" s="252">
        <f t="shared" si="10"/>
        <v>9670351</v>
      </c>
      <c r="H43" s="249"/>
    </row>
    <row r="44" spans="1:15">
      <c r="A44" s="225">
        <v>44713</v>
      </c>
      <c r="B44" s="226">
        <f t="shared" ref="B44:B53" si="13">+G43</f>
        <v>9670351</v>
      </c>
      <c r="C44" s="226">
        <v>405556</v>
      </c>
      <c r="D44" s="226">
        <f t="shared" si="11"/>
        <v>59634</v>
      </c>
      <c r="E44" s="226">
        <f t="shared" si="12"/>
        <v>59634</v>
      </c>
      <c r="F44" s="245"/>
      <c r="G44" s="252">
        <f t="shared" si="10"/>
        <v>9264795</v>
      </c>
      <c r="H44" s="249"/>
    </row>
    <row r="45" spans="1:15">
      <c r="A45" s="225">
        <v>44743</v>
      </c>
      <c r="B45" s="226">
        <f t="shared" si="13"/>
        <v>9264795</v>
      </c>
      <c r="C45" s="226">
        <v>405556</v>
      </c>
      <c r="D45" s="226">
        <f t="shared" si="11"/>
        <v>57133</v>
      </c>
      <c r="E45" s="226">
        <f t="shared" si="12"/>
        <v>57133</v>
      </c>
      <c r="F45" s="245"/>
      <c r="G45" s="252">
        <f t="shared" si="10"/>
        <v>8859239</v>
      </c>
      <c r="H45" s="249"/>
    </row>
    <row r="46" spans="1:15">
      <c r="A46" s="225">
        <v>44774</v>
      </c>
      <c r="B46" s="226">
        <f t="shared" si="13"/>
        <v>8859239</v>
      </c>
      <c r="C46" s="226">
        <v>405556</v>
      </c>
      <c r="D46" s="226">
        <f t="shared" si="11"/>
        <v>54632</v>
      </c>
      <c r="E46" s="226">
        <f t="shared" si="12"/>
        <v>54632</v>
      </c>
      <c r="F46" s="245"/>
      <c r="G46" s="252">
        <f t="shared" si="10"/>
        <v>8453683</v>
      </c>
      <c r="H46" s="249"/>
    </row>
    <row r="47" spans="1:15">
      <c r="A47" s="225">
        <v>44805</v>
      </c>
      <c r="B47" s="226">
        <f t="shared" si="13"/>
        <v>8453683</v>
      </c>
      <c r="C47" s="226">
        <v>405556</v>
      </c>
      <c r="D47" s="226">
        <f t="shared" si="11"/>
        <v>52131</v>
      </c>
      <c r="E47" s="226">
        <f t="shared" si="12"/>
        <v>52131</v>
      </c>
      <c r="F47" s="245"/>
      <c r="G47" s="252">
        <f t="shared" si="10"/>
        <v>8048127</v>
      </c>
      <c r="H47" s="249"/>
    </row>
    <row r="48" spans="1:15">
      <c r="A48" s="225">
        <v>44835</v>
      </c>
      <c r="B48" s="226">
        <f t="shared" si="13"/>
        <v>8048127</v>
      </c>
      <c r="C48" s="226">
        <v>405556</v>
      </c>
      <c r="D48" s="226">
        <f t="shared" si="11"/>
        <v>49630</v>
      </c>
      <c r="E48" s="226">
        <f t="shared" si="12"/>
        <v>49630</v>
      </c>
      <c r="F48" s="245"/>
      <c r="G48" s="252">
        <f t="shared" si="10"/>
        <v>7642571</v>
      </c>
      <c r="H48" s="249"/>
    </row>
    <row r="49" spans="1:8">
      <c r="A49" s="225">
        <v>44866</v>
      </c>
      <c r="B49" s="226">
        <f t="shared" si="13"/>
        <v>7642571</v>
      </c>
      <c r="C49" s="226">
        <v>405556</v>
      </c>
      <c r="D49" s="226">
        <f t="shared" si="11"/>
        <v>47129</v>
      </c>
      <c r="E49" s="226">
        <f t="shared" si="12"/>
        <v>47129</v>
      </c>
      <c r="F49" s="245"/>
      <c r="G49" s="252">
        <f t="shared" si="10"/>
        <v>7237015</v>
      </c>
      <c r="H49" s="249"/>
    </row>
    <row r="50" spans="1:8">
      <c r="A50" s="225">
        <v>44896</v>
      </c>
      <c r="B50" s="226">
        <f t="shared" si="13"/>
        <v>7237015</v>
      </c>
      <c r="C50" s="226">
        <v>405556</v>
      </c>
      <c r="D50" s="226">
        <f t="shared" si="11"/>
        <v>44628</v>
      </c>
      <c r="E50" s="226">
        <f t="shared" si="12"/>
        <v>44628</v>
      </c>
      <c r="F50" s="245"/>
      <c r="G50" s="252">
        <f t="shared" si="10"/>
        <v>6831459</v>
      </c>
      <c r="H50" s="249"/>
    </row>
    <row r="51" spans="1:8">
      <c r="A51" s="225">
        <v>44927</v>
      </c>
      <c r="B51" s="226">
        <f t="shared" si="13"/>
        <v>6831459</v>
      </c>
      <c r="C51" s="226">
        <v>405556</v>
      </c>
      <c r="D51" s="226">
        <f t="shared" si="11"/>
        <v>42127</v>
      </c>
      <c r="E51" s="226">
        <f t="shared" si="12"/>
        <v>42127</v>
      </c>
      <c r="F51" s="245"/>
      <c r="G51" s="252">
        <f t="shared" si="10"/>
        <v>6425903</v>
      </c>
      <c r="H51" s="249"/>
    </row>
    <row r="52" spans="1:8">
      <c r="A52" s="225">
        <v>44958</v>
      </c>
      <c r="B52" s="226">
        <f t="shared" si="13"/>
        <v>6425903</v>
      </c>
      <c r="C52" s="226">
        <v>405556</v>
      </c>
      <c r="D52" s="226">
        <f t="shared" si="11"/>
        <v>39626</v>
      </c>
      <c r="E52" s="226">
        <f t="shared" si="12"/>
        <v>39626</v>
      </c>
      <c r="F52" s="245"/>
      <c r="G52" s="252">
        <f t="shared" si="10"/>
        <v>6020347</v>
      </c>
      <c r="H52" s="249"/>
    </row>
    <row r="53" spans="1:8">
      <c r="A53" s="225">
        <v>44986</v>
      </c>
      <c r="B53" s="226">
        <f t="shared" si="13"/>
        <v>6020347</v>
      </c>
      <c r="C53" s="226">
        <v>405556</v>
      </c>
      <c r="D53" s="226">
        <f t="shared" si="11"/>
        <v>37125</v>
      </c>
      <c r="E53" s="226">
        <f t="shared" si="12"/>
        <v>37125</v>
      </c>
      <c r="F53" s="245"/>
      <c r="G53" s="253">
        <f t="shared" si="10"/>
        <v>5614791</v>
      </c>
      <c r="H53" s="250"/>
    </row>
    <row r="54" spans="1:8">
      <c r="A54" s="229"/>
      <c r="B54" s="226"/>
      <c r="C54" s="228">
        <f>+SUM(C42:C53)</f>
        <v>4866672</v>
      </c>
      <c r="D54" s="226"/>
      <c r="E54" s="226"/>
      <c r="F54" s="245"/>
      <c r="G54" s="229"/>
    </row>
  </sheetData>
  <printOptions horizontalCentered="1"/>
  <pageMargins left="0.31496062992125984" right="0.31496062992125984" top="1.1417322834645669" bottom="0.74803149606299213" header="0.31496062992125984" footer="0.31496062992125984"/>
  <pageSetup scale="5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H117"/>
  <sheetViews>
    <sheetView showGridLines="0" topLeftCell="A28" workbookViewId="0">
      <selection activeCell="D39" sqref="D39"/>
    </sheetView>
  </sheetViews>
  <sheetFormatPr defaultRowHeight="11.25"/>
  <cols>
    <col min="1" max="1" width="7.28515625" style="266" bestFit="1" customWidth="1"/>
    <col min="2" max="2" width="9" style="266" bestFit="1" customWidth="1"/>
    <col min="3" max="3" width="11.42578125" style="266" customWidth="1"/>
    <col min="4" max="4" width="8.85546875" style="266" customWidth="1"/>
    <col min="5" max="5" width="7.7109375" style="266" bestFit="1" customWidth="1"/>
    <col min="6" max="6" width="10" style="266" bestFit="1" customWidth="1"/>
    <col min="7" max="7" width="14.5703125" style="266" bestFit="1" customWidth="1"/>
    <col min="8" max="8" width="6.5703125" style="266" bestFit="1" customWidth="1"/>
    <col min="9" max="225" width="8.85546875" style="266"/>
    <col min="226" max="226" width="7.28515625" style="266" bestFit="1" customWidth="1"/>
    <col min="227" max="228" width="8" style="266" bestFit="1" customWidth="1"/>
    <col min="229" max="229" width="4.28515625" style="266" bestFit="1" customWidth="1"/>
    <col min="230" max="230" width="8.5703125" style="266" bestFit="1" customWidth="1"/>
    <col min="231" max="231" width="11.7109375" style="266" bestFit="1" customWidth="1"/>
    <col min="232" max="232" width="9.7109375" style="266" bestFit="1" customWidth="1"/>
    <col min="233" max="233" width="10.85546875" style="266" bestFit="1" customWidth="1"/>
    <col min="234" max="235" width="8.7109375" style="266" bestFit="1" customWidth="1"/>
    <col min="236" max="236" width="15.140625" style="266" bestFit="1" customWidth="1"/>
    <col min="237" max="237" width="13.28515625" style="266" bestFit="1" customWidth="1"/>
    <col min="238" max="238" width="0" style="266" hidden="1" customWidth="1"/>
    <col min="239" max="239" width="10.85546875" style="266" bestFit="1" customWidth="1"/>
    <col min="240" max="240" width="8.7109375" style="266" bestFit="1" customWidth="1"/>
    <col min="241" max="241" width="11.7109375" style="266" bestFit="1" customWidth="1"/>
    <col min="242" max="242" width="10.85546875" style="266" bestFit="1" customWidth="1"/>
    <col min="243" max="481" width="8.85546875" style="266"/>
    <col min="482" max="482" width="7.28515625" style="266" bestFit="1" customWidth="1"/>
    <col min="483" max="484" width="8" style="266" bestFit="1" customWidth="1"/>
    <col min="485" max="485" width="4.28515625" style="266" bestFit="1" customWidth="1"/>
    <col min="486" max="486" width="8.5703125" style="266" bestFit="1" customWidth="1"/>
    <col min="487" max="487" width="11.7109375" style="266" bestFit="1" customWidth="1"/>
    <col min="488" max="488" width="9.7109375" style="266" bestFit="1" customWidth="1"/>
    <col min="489" max="489" width="10.85546875" style="266" bestFit="1" customWidth="1"/>
    <col min="490" max="491" width="8.7109375" style="266" bestFit="1" customWidth="1"/>
    <col min="492" max="492" width="15.140625" style="266" bestFit="1" customWidth="1"/>
    <col min="493" max="493" width="13.28515625" style="266" bestFit="1" customWidth="1"/>
    <col min="494" max="494" width="0" style="266" hidden="1" customWidth="1"/>
    <col min="495" max="495" width="10.85546875" style="266" bestFit="1" customWidth="1"/>
    <col min="496" max="496" width="8.7109375" style="266" bestFit="1" customWidth="1"/>
    <col min="497" max="497" width="11.7109375" style="266" bestFit="1" customWidth="1"/>
    <col min="498" max="498" width="10.85546875" style="266" bestFit="1" customWidth="1"/>
    <col min="499" max="737" width="8.85546875" style="266"/>
    <col min="738" max="738" width="7.28515625" style="266" bestFit="1" customWidth="1"/>
    <col min="739" max="740" width="8" style="266" bestFit="1" customWidth="1"/>
    <col min="741" max="741" width="4.28515625" style="266" bestFit="1" customWidth="1"/>
    <col min="742" max="742" width="8.5703125" style="266" bestFit="1" customWidth="1"/>
    <col min="743" max="743" width="11.7109375" style="266" bestFit="1" customWidth="1"/>
    <col min="744" max="744" width="9.7109375" style="266" bestFit="1" customWidth="1"/>
    <col min="745" max="745" width="10.85546875" style="266" bestFit="1" customWidth="1"/>
    <col min="746" max="747" width="8.7109375" style="266" bestFit="1" customWidth="1"/>
    <col min="748" max="748" width="15.140625" style="266" bestFit="1" customWidth="1"/>
    <col min="749" max="749" width="13.28515625" style="266" bestFit="1" customWidth="1"/>
    <col min="750" max="750" width="0" style="266" hidden="1" customWidth="1"/>
    <col min="751" max="751" width="10.85546875" style="266" bestFit="1" customWidth="1"/>
    <col min="752" max="752" width="8.7109375" style="266" bestFit="1" customWidth="1"/>
    <col min="753" max="753" width="11.7109375" style="266" bestFit="1" customWidth="1"/>
    <col min="754" max="754" width="10.85546875" style="266" bestFit="1" customWidth="1"/>
    <col min="755" max="993" width="8.85546875" style="266"/>
    <col min="994" max="994" width="7.28515625" style="266" bestFit="1" customWidth="1"/>
    <col min="995" max="996" width="8" style="266" bestFit="1" customWidth="1"/>
    <col min="997" max="997" width="4.28515625" style="266" bestFit="1" customWidth="1"/>
    <col min="998" max="998" width="8.5703125" style="266" bestFit="1" customWidth="1"/>
    <col min="999" max="999" width="11.7109375" style="266" bestFit="1" customWidth="1"/>
    <col min="1000" max="1000" width="9.7109375" style="266" bestFit="1" customWidth="1"/>
    <col min="1001" max="1001" width="10.85546875" style="266" bestFit="1" customWidth="1"/>
    <col min="1002" max="1003" width="8.7109375" style="266" bestFit="1" customWidth="1"/>
    <col min="1004" max="1004" width="15.140625" style="266" bestFit="1" customWidth="1"/>
    <col min="1005" max="1005" width="13.28515625" style="266" bestFit="1" customWidth="1"/>
    <col min="1006" max="1006" width="0" style="266" hidden="1" customWidth="1"/>
    <col min="1007" max="1007" width="10.85546875" style="266" bestFit="1" customWidth="1"/>
    <col min="1008" max="1008" width="8.7109375" style="266" bestFit="1" customWidth="1"/>
    <col min="1009" max="1009" width="11.7109375" style="266" bestFit="1" customWidth="1"/>
    <col min="1010" max="1010" width="10.85546875" style="266" bestFit="1" customWidth="1"/>
    <col min="1011" max="1249" width="8.85546875" style="266"/>
    <col min="1250" max="1250" width="7.28515625" style="266" bestFit="1" customWidth="1"/>
    <col min="1251" max="1252" width="8" style="266" bestFit="1" customWidth="1"/>
    <col min="1253" max="1253" width="4.28515625" style="266" bestFit="1" customWidth="1"/>
    <col min="1254" max="1254" width="8.5703125" style="266" bestFit="1" customWidth="1"/>
    <col min="1255" max="1255" width="11.7109375" style="266" bestFit="1" customWidth="1"/>
    <col min="1256" max="1256" width="9.7109375" style="266" bestFit="1" customWidth="1"/>
    <col min="1257" max="1257" width="10.85546875" style="266" bestFit="1" customWidth="1"/>
    <col min="1258" max="1259" width="8.7109375" style="266" bestFit="1" customWidth="1"/>
    <col min="1260" max="1260" width="15.140625" style="266" bestFit="1" customWidth="1"/>
    <col min="1261" max="1261" width="13.28515625" style="266" bestFit="1" customWidth="1"/>
    <col min="1262" max="1262" width="0" style="266" hidden="1" customWidth="1"/>
    <col min="1263" max="1263" width="10.85546875" style="266" bestFit="1" customWidth="1"/>
    <col min="1264" max="1264" width="8.7109375" style="266" bestFit="1" customWidth="1"/>
    <col min="1265" max="1265" width="11.7109375" style="266" bestFit="1" customWidth="1"/>
    <col min="1266" max="1266" width="10.85546875" style="266" bestFit="1" customWidth="1"/>
    <col min="1267" max="1505" width="8.85546875" style="266"/>
    <col min="1506" max="1506" width="7.28515625" style="266" bestFit="1" customWidth="1"/>
    <col min="1507" max="1508" width="8" style="266" bestFit="1" customWidth="1"/>
    <col min="1509" max="1509" width="4.28515625" style="266" bestFit="1" customWidth="1"/>
    <col min="1510" max="1510" width="8.5703125" style="266" bestFit="1" customWidth="1"/>
    <col min="1511" max="1511" width="11.7109375" style="266" bestFit="1" customWidth="1"/>
    <col min="1512" max="1512" width="9.7109375" style="266" bestFit="1" customWidth="1"/>
    <col min="1513" max="1513" width="10.85546875" style="266" bestFit="1" customWidth="1"/>
    <col min="1514" max="1515" width="8.7109375" style="266" bestFit="1" customWidth="1"/>
    <col min="1516" max="1516" width="15.140625" style="266" bestFit="1" customWidth="1"/>
    <col min="1517" max="1517" width="13.28515625" style="266" bestFit="1" customWidth="1"/>
    <col min="1518" max="1518" width="0" style="266" hidden="1" customWidth="1"/>
    <col min="1519" max="1519" width="10.85546875" style="266" bestFit="1" customWidth="1"/>
    <col min="1520" max="1520" width="8.7109375" style="266" bestFit="1" customWidth="1"/>
    <col min="1521" max="1521" width="11.7109375" style="266" bestFit="1" customWidth="1"/>
    <col min="1522" max="1522" width="10.85546875" style="266" bestFit="1" customWidth="1"/>
    <col min="1523" max="1761" width="8.85546875" style="266"/>
    <col min="1762" max="1762" width="7.28515625" style="266" bestFit="1" customWidth="1"/>
    <col min="1763" max="1764" width="8" style="266" bestFit="1" customWidth="1"/>
    <col min="1765" max="1765" width="4.28515625" style="266" bestFit="1" customWidth="1"/>
    <col min="1766" max="1766" width="8.5703125" style="266" bestFit="1" customWidth="1"/>
    <col min="1767" max="1767" width="11.7109375" style="266" bestFit="1" customWidth="1"/>
    <col min="1768" max="1768" width="9.7109375" style="266" bestFit="1" customWidth="1"/>
    <col min="1769" max="1769" width="10.85546875" style="266" bestFit="1" customWidth="1"/>
    <col min="1770" max="1771" width="8.7109375" style="266" bestFit="1" customWidth="1"/>
    <col min="1772" max="1772" width="15.140625" style="266" bestFit="1" customWidth="1"/>
    <col min="1773" max="1773" width="13.28515625" style="266" bestFit="1" customWidth="1"/>
    <col min="1774" max="1774" width="0" style="266" hidden="1" customWidth="1"/>
    <col min="1775" max="1775" width="10.85546875" style="266" bestFit="1" customWidth="1"/>
    <col min="1776" max="1776" width="8.7109375" style="266" bestFit="1" customWidth="1"/>
    <col min="1777" max="1777" width="11.7109375" style="266" bestFit="1" customWidth="1"/>
    <col min="1778" max="1778" width="10.85546875" style="266" bestFit="1" customWidth="1"/>
    <col min="1779" max="2017" width="8.85546875" style="266"/>
    <col min="2018" max="2018" width="7.28515625" style="266" bestFit="1" customWidth="1"/>
    <col min="2019" max="2020" width="8" style="266" bestFit="1" customWidth="1"/>
    <col min="2021" max="2021" width="4.28515625" style="266" bestFit="1" customWidth="1"/>
    <col min="2022" max="2022" width="8.5703125" style="266" bestFit="1" customWidth="1"/>
    <col min="2023" max="2023" width="11.7109375" style="266" bestFit="1" customWidth="1"/>
    <col min="2024" max="2024" width="9.7109375" style="266" bestFit="1" customWidth="1"/>
    <col min="2025" max="2025" width="10.85546875" style="266" bestFit="1" customWidth="1"/>
    <col min="2026" max="2027" width="8.7109375" style="266" bestFit="1" customWidth="1"/>
    <col min="2028" max="2028" width="15.140625" style="266" bestFit="1" customWidth="1"/>
    <col min="2029" max="2029" width="13.28515625" style="266" bestFit="1" customWidth="1"/>
    <col min="2030" max="2030" width="0" style="266" hidden="1" customWidth="1"/>
    <col min="2031" max="2031" width="10.85546875" style="266" bestFit="1" customWidth="1"/>
    <col min="2032" max="2032" width="8.7109375" style="266" bestFit="1" customWidth="1"/>
    <col min="2033" max="2033" width="11.7109375" style="266" bestFit="1" customWidth="1"/>
    <col min="2034" max="2034" width="10.85546875" style="266" bestFit="1" customWidth="1"/>
    <col min="2035" max="2273" width="8.85546875" style="266"/>
    <col min="2274" max="2274" width="7.28515625" style="266" bestFit="1" customWidth="1"/>
    <col min="2275" max="2276" width="8" style="266" bestFit="1" customWidth="1"/>
    <col min="2277" max="2277" width="4.28515625" style="266" bestFit="1" customWidth="1"/>
    <col min="2278" max="2278" width="8.5703125" style="266" bestFit="1" customWidth="1"/>
    <col min="2279" max="2279" width="11.7109375" style="266" bestFit="1" customWidth="1"/>
    <col min="2280" max="2280" width="9.7109375" style="266" bestFit="1" customWidth="1"/>
    <col min="2281" max="2281" width="10.85546875" style="266" bestFit="1" customWidth="1"/>
    <col min="2282" max="2283" width="8.7109375" style="266" bestFit="1" customWidth="1"/>
    <col min="2284" max="2284" width="15.140625" style="266" bestFit="1" customWidth="1"/>
    <col min="2285" max="2285" width="13.28515625" style="266" bestFit="1" customWidth="1"/>
    <col min="2286" max="2286" width="0" style="266" hidden="1" customWidth="1"/>
    <col min="2287" max="2287" width="10.85546875" style="266" bestFit="1" customWidth="1"/>
    <col min="2288" max="2288" width="8.7109375" style="266" bestFit="1" customWidth="1"/>
    <col min="2289" max="2289" width="11.7109375" style="266" bestFit="1" customWidth="1"/>
    <col min="2290" max="2290" width="10.85546875" style="266" bestFit="1" customWidth="1"/>
    <col min="2291" max="2529" width="8.85546875" style="266"/>
    <col min="2530" max="2530" width="7.28515625" style="266" bestFit="1" customWidth="1"/>
    <col min="2531" max="2532" width="8" style="266" bestFit="1" customWidth="1"/>
    <col min="2533" max="2533" width="4.28515625" style="266" bestFit="1" customWidth="1"/>
    <col min="2534" max="2534" width="8.5703125" style="266" bestFit="1" customWidth="1"/>
    <col min="2535" max="2535" width="11.7109375" style="266" bestFit="1" customWidth="1"/>
    <col min="2536" max="2536" width="9.7109375" style="266" bestFit="1" customWidth="1"/>
    <col min="2537" max="2537" width="10.85546875" style="266" bestFit="1" customWidth="1"/>
    <col min="2538" max="2539" width="8.7109375" style="266" bestFit="1" customWidth="1"/>
    <col min="2540" max="2540" width="15.140625" style="266" bestFit="1" customWidth="1"/>
    <col min="2541" max="2541" width="13.28515625" style="266" bestFit="1" customWidth="1"/>
    <col min="2542" max="2542" width="0" style="266" hidden="1" customWidth="1"/>
    <col min="2543" max="2543" width="10.85546875" style="266" bestFit="1" customWidth="1"/>
    <col min="2544" max="2544" width="8.7109375" style="266" bestFit="1" customWidth="1"/>
    <col min="2545" max="2545" width="11.7109375" style="266" bestFit="1" customWidth="1"/>
    <col min="2546" max="2546" width="10.85546875" style="266" bestFit="1" customWidth="1"/>
    <col min="2547" max="2785" width="8.85546875" style="266"/>
    <col min="2786" max="2786" width="7.28515625" style="266" bestFit="1" customWidth="1"/>
    <col min="2787" max="2788" width="8" style="266" bestFit="1" customWidth="1"/>
    <col min="2789" max="2789" width="4.28515625" style="266" bestFit="1" customWidth="1"/>
    <col min="2790" max="2790" width="8.5703125" style="266" bestFit="1" customWidth="1"/>
    <col min="2791" max="2791" width="11.7109375" style="266" bestFit="1" customWidth="1"/>
    <col min="2792" max="2792" width="9.7109375" style="266" bestFit="1" customWidth="1"/>
    <col min="2793" max="2793" width="10.85546875" style="266" bestFit="1" customWidth="1"/>
    <col min="2794" max="2795" width="8.7109375" style="266" bestFit="1" customWidth="1"/>
    <col min="2796" max="2796" width="15.140625" style="266" bestFit="1" customWidth="1"/>
    <col min="2797" max="2797" width="13.28515625" style="266" bestFit="1" customWidth="1"/>
    <col min="2798" max="2798" width="0" style="266" hidden="1" customWidth="1"/>
    <col min="2799" max="2799" width="10.85546875" style="266" bestFit="1" customWidth="1"/>
    <col min="2800" max="2800" width="8.7109375" style="266" bestFit="1" customWidth="1"/>
    <col min="2801" max="2801" width="11.7109375" style="266" bestFit="1" customWidth="1"/>
    <col min="2802" max="2802" width="10.85546875" style="266" bestFit="1" customWidth="1"/>
    <col min="2803" max="3041" width="8.85546875" style="266"/>
    <col min="3042" max="3042" width="7.28515625" style="266" bestFit="1" customWidth="1"/>
    <col min="3043" max="3044" width="8" style="266" bestFit="1" customWidth="1"/>
    <col min="3045" max="3045" width="4.28515625" style="266" bestFit="1" customWidth="1"/>
    <col min="3046" max="3046" width="8.5703125" style="266" bestFit="1" customWidth="1"/>
    <col min="3047" max="3047" width="11.7109375" style="266" bestFit="1" customWidth="1"/>
    <col min="3048" max="3048" width="9.7109375" style="266" bestFit="1" customWidth="1"/>
    <col min="3049" max="3049" width="10.85546875" style="266" bestFit="1" customWidth="1"/>
    <col min="3050" max="3051" width="8.7109375" style="266" bestFit="1" customWidth="1"/>
    <col min="3052" max="3052" width="15.140625" style="266" bestFit="1" customWidth="1"/>
    <col min="3053" max="3053" width="13.28515625" style="266" bestFit="1" customWidth="1"/>
    <col min="3054" max="3054" width="0" style="266" hidden="1" customWidth="1"/>
    <col min="3055" max="3055" width="10.85546875" style="266" bestFit="1" customWidth="1"/>
    <col min="3056" max="3056" width="8.7109375" style="266" bestFit="1" customWidth="1"/>
    <col min="3057" max="3057" width="11.7109375" style="266" bestFit="1" customWidth="1"/>
    <col min="3058" max="3058" width="10.85546875" style="266" bestFit="1" customWidth="1"/>
    <col min="3059" max="3297" width="8.85546875" style="266"/>
    <col min="3298" max="3298" width="7.28515625" style="266" bestFit="1" customWidth="1"/>
    <col min="3299" max="3300" width="8" style="266" bestFit="1" customWidth="1"/>
    <col min="3301" max="3301" width="4.28515625" style="266" bestFit="1" customWidth="1"/>
    <col min="3302" max="3302" width="8.5703125" style="266" bestFit="1" customWidth="1"/>
    <col min="3303" max="3303" width="11.7109375" style="266" bestFit="1" customWidth="1"/>
    <col min="3304" max="3304" width="9.7109375" style="266" bestFit="1" customWidth="1"/>
    <col min="3305" max="3305" width="10.85546875" style="266" bestFit="1" customWidth="1"/>
    <col min="3306" max="3307" width="8.7109375" style="266" bestFit="1" customWidth="1"/>
    <col min="3308" max="3308" width="15.140625" style="266" bestFit="1" customWidth="1"/>
    <col min="3309" max="3309" width="13.28515625" style="266" bestFit="1" customWidth="1"/>
    <col min="3310" max="3310" width="0" style="266" hidden="1" customWidth="1"/>
    <col min="3311" max="3311" width="10.85546875" style="266" bestFit="1" customWidth="1"/>
    <col min="3312" max="3312" width="8.7109375" style="266" bestFit="1" customWidth="1"/>
    <col min="3313" max="3313" width="11.7109375" style="266" bestFit="1" customWidth="1"/>
    <col min="3314" max="3314" width="10.85546875" style="266" bestFit="1" customWidth="1"/>
    <col min="3315" max="3553" width="8.85546875" style="266"/>
    <col min="3554" max="3554" width="7.28515625" style="266" bestFit="1" customWidth="1"/>
    <col min="3555" max="3556" width="8" style="266" bestFit="1" customWidth="1"/>
    <col min="3557" max="3557" width="4.28515625" style="266" bestFit="1" customWidth="1"/>
    <col min="3558" max="3558" width="8.5703125" style="266" bestFit="1" customWidth="1"/>
    <col min="3559" max="3559" width="11.7109375" style="266" bestFit="1" customWidth="1"/>
    <col min="3560" max="3560" width="9.7109375" style="266" bestFit="1" customWidth="1"/>
    <col min="3561" max="3561" width="10.85546875" style="266" bestFit="1" customWidth="1"/>
    <col min="3562" max="3563" width="8.7109375" style="266" bestFit="1" customWidth="1"/>
    <col min="3564" max="3564" width="15.140625" style="266" bestFit="1" customWidth="1"/>
    <col min="3565" max="3565" width="13.28515625" style="266" bestFit="1" customWidth="1"/>
    <col min="3566" max="3566" width="0" style="266" hidden="1" customWidth="1"/>
    <col min="3567" max="3567" width="10.85546875" style="266" bestFit="1" customWidth="1"/>
    <col min="3568" max="3568" width="8.7109375" style="266" bestFit="1" customWidth="1"/>
    <col min="3569" max="3569" width="11.7109375" style="266" bestFit="1" customWidth="1"/>
    <col min="3570" max="3570" width="10.85546875" style="266" bestFit="1" customWidth="1"/>
    <col min="3571" max="3809" width="8.85546875" style="266"/>
    <col min="3810" max="3810" width="7.28515625" style="266" bestFit="1" customWidth="1"/>
    <col min="3811" max="3812" width="8" style="266" bestFit="1" customWidth="1"/>
    <col min="3813" max="3813" width="4.28515625" style="266" bestFit="1" customWidth="1"/>
    <col min="3814" max="3814" width="8.5703125" style="266" bestFit="1" customWidth="1"/>
    <col min="3815" max="3815" width="11.7109375" style="266" bestFit="1" customWidth="1"/>
    <col min="3816" max="3816" width="9.7109375" style="266" bestFit="1" customWidth="1"/>
    <col min="3817" max="3817" width="10.85546875" style="266" bestFit="1" customWidth="1"/>
    <col min="3818" max="3819" width="8.7109375" style="266" bestFit="1" customWidth="1"/>
    <col min="3820" max="3820" width="15.140625" style="266" bestFit="1" customWidth="1"/>
    <col min="3821" max="3821" width="13.28515625" style="266" bestFit="1" customWidth="1"/>
    <col min="3822" max="3822" width="0" style="266" hidden="1" customWidth="1"/>
    <col min="3823" max="3823" width="10.85546875" style="266" bestFit="1" customWidth="1"/>
    <col min="3824" max="3824" width="8.7109375" style="266" bestFit="1" customWidth="1"/>
    <col min="3825" max="3825" width="11.7109375" style="266" bestFit="1" customWidth="1"/>
    <col min="3826" max="3826" width="10.85546875" style="266" bestFit="1" customWidth="1"/>
    <col min="3827" max="4065" width="8.85546875" style="266"/>
    <col min="4066" max="4066" width="7.28515625" style="266" bestFit="1" customWidth="1"/>
    <col min="4067" max="4068" width="8" style="266" bestFit="1" customWidth="1"/>
    <col min="4069" max="4069" width="4.28515625" style="266" bestFit="1" customWidth="1"/>
    <col min="4070" max="4070" width="8.5703125" style="266" bestFit="1" customWidth="1"/>
    <col min="4071" max="4071" width="11.7109375" style="266" bestFit="1" customWidth="1"/>
    <col min="4072" max="4072" width="9.7109375" style="266" bestFit="1" customWidth="1"/>
    <col min="4073" max="4073" width="10.85546875" style="266" bestFit="1" customWidth="1"/>
    <col min="4074" max="4075" width="8.7109375" style="266" bestFit="1" customWidth="1"/>
    <col min="4076" max="4076" width="15.140625" style="266" bestFit="1" customWidth="1"/>
    <col min="4077" max="4077" width="13.28515625" style="266" bestFit="1" customWidth="1"/>
    <col min="4078" max="4078" width="0" style="266" hidden="1" customWidth="1"/>
    <col min="4079" max="4079" width="10.85546875" style="266" bestFit="1" customWidth="1"/>
    <col min="4080" max="4080" width="8.7109375" style="266" bestFit="1" customWidth="1"/>
    <col min="4081" max="4081" width="11.7109375" style="266" bestFit="1" customWidth="1"/>
    <col min="4082" max="4082" width="10.85546875" style="266" bestFit="1" customWidth="1"/>
    <col min="4083" max="4321" width="8.85546875" style="266"/>
    <col min="4322" max="4322" width="7.28515625" style="266" bestFit="1" customWidth="1"/>
    <col min="4323" max="4324" width="8" style="266" bestFit="1" customWidth="1"/>
    <col min="4325" max="4325" width="4.28515625" style="266" bestFit="1" customWidth="1"/>
    <col min="4326" max="4326" width="8.5703125" style="266" bestFit="1" customWidth="1"/>
    <col min="4327" max="4327" width="11.7109375" style="266" bestFit="1" customWidth="1"/>
    <col min="4328" max="4328" width="9.7109375" style="266" bestFit="1" customWidth="1"/>
    <col min="4329" max="4329" width="10.85546875" style="266" bestFit="1" customWidth="1"/>
    <col min="4330" max="4331" width="8.7109375" style="266" bestFit="1" customWidth="1"/>
    <col min="4332" max="4332" width="15.140625" style="266" bestFit="1" customWidth="1"/>
    <col min="4333" max="4333" width="13.28515625" style="266" bestFit="1" customWidth="1"/>
    <col min="4334" max="4334" width="0" style="266" hidden="1" customWidth="1"/>
    <col min="4335" max="4335" width="10.85546875" style="266" bestFit="1" customWidth="1"/>
    <col min="4336" max="4336" width="8.7109375" style="266" bestFit="1" customWidth="1"/>
    <col min="4337" max="4337" width="11.7109375" style="266" bestFit="1" customWidth="1"/>
    <col min="4338" max="4338" width="10.85546875" style="266" bestFit="1" customWidth="1"/>
    <col min="4339" max="4577" width="8.85546875" style="266"/>
    <col min="4578" max="4578" width="7.28515625" style="266" bestFit="1" customWidth="1"/>
    <col min="4579" max="4580" width="8" style="266" bestFit="1" customWidth="1"/>
    <col min="4581" max="4581" width="4.28515625" style="266" bestFit="1" customWidth="1"/>
    <col min="4582" max="4582" width="8.5703125" style="266" bestFit="1" customWidth="1"/>
    <col min="4583" max="4583" width="11.7109375" style="266" bestFit="1" customWidth="1"/>
    <col min="4584" max="4584" width="9.7109375" style="266" bestFit="1" customWidth="1"/>
    <col min="4585" max="4585" width="10.85546875" style="266" bestFit="1" customWidth="1"/>
    <col min="4586" max="4587" width="8.7109375" style="266" bestFit="1" customWidth="1"/>
    <col min="4588" max="4588" width="15.140625" style="266" bestFit="1" customWidth="1"/>
    <col min="4589" max="4589" width="13.28515625" style="266" bestFit="1" customWidth="1"/>
    <col min="4590" max="4590" width="0" style="266" hidden="1" customWidth="1"/>
    <col min="4591" max="4591" width="10.85546875" style="266" bestFit="1" customWidth="1"/>
    <col min="4592" max="4592" width="8.7109375" style="266" bestFit="1" customWidth="1"/>
    <col min="4593" max="4593" width="11.7109375" style="266" bestFit="1" customWidth="1"/>
    <col min="4594" max="4594" width="10.85546875" style="266" bestFit="1" customWidth="1"/>
    <col min="4595" max="4833" width="8.85546875" style="266"/>
    <col min="4834" max="4834" width="7.28515625" style="266" bestFit="1" customWidth="1"/>
    <col min="4835" max="4836" width="8" style="266" bestFit="1" customWidth="1"/>
    <col min="4837" max="4837" width="4.28515625" style="266" bestFit="1" customWidth="1"/>
    <col min="4838" max="4838" width="8.5703125" style="266" bestFit="1" customWidth="1"/>
    <col min="4839" max="4839" width="11.7109375" style="266" bestFit="1" customWidth="1"/>
    <col min="4840" max="4840" width="9.7109375" style="266" bestFit="1" customWidth="1"/>
    <col min="4841" max="4841" width="10.85546875" style="266" bestFit="1" customWidth="1"/>
    <col min="4842" max="4843" width="8.7109375" style="266" bestFit="1" customWidth="1"/>
    <col min="4844" max="4844" width="15.140625" style="266" bestFit="1" customWidth="1"/>
    <col min="4845" max="4845" width="13.28515625" style="266" bestFit="1" customWidth="1"/>
    <col min="4846" max="4846" width="0" style="266" hidden="1" customWidth="1"/>
    <col min="4847" max="4847" width="10.85546875" style="266" bestFit="1" customWidth="1"/>
    <col min="4848" max="4848" width="8.7109375" style="266" bestFit="1" customWidth="1"/>
    <col min="4849" max="4849" width="11.7109375" style="266" bestFit="1" customWidth="1"/>
    <col min="4850" max="4850" width="10.85546875" style="266" bestFit="1" customWidth="1"/>
    <col min="4851" max="5089" width="8.85546875" style="266"/>
    <col min="5090" max="5090" width="7.28515625" style="266" bestFit="1" customWidth="1"/>
    <col min="5091" max="5092" width="8" style="266" bestFit="1" customWidth="1"/>
    <col min="5093" max="5093" width="4.28515625" style="266" bestFit="1" customWidth="1"/>
    <col min="5094" max="5094" width="8.5703125" style="266" bestFit="1" customWidth="1"/>
    <col min="5095" max="5095" width="11.7109375" style="266" bestFit="1" customWidth="1"/>
    <col min="5096" max="5096" width="9.7109375" style="266" bestFit="1" customWidth="1"/>
    <col min="5097" max="5097" width="10.85546875" style="266" bestFit="1" customWidth="1"/>
    <col min="5098" max="5099" width="8.7109375" style="266" bestFit="1" customWidth="1"/>
    <col min="5100" max="5100" width="15.140625" style="266" bestFit="1" customWidth="1"/>
    <col min="5101" max="5101" width="13.28515625" style="266" bestFit="1" customWidth="1"/>
    <col min="5102" max="5102" width="0" style="266" hidden="1" customWidth="1"/>
    <col min="5103" max="5103" width="10.85546875" style="266" bestFit="1" customWidth="1"/>
    <col min="5104" max="5104" width="8.7109375" style="266" bestFit="1" customWidth="1"/>
    <col min="5105" max="5105" width="11.7109375" style="266" bestFit="1" customWidth="1"/>
    <col min="5106" max="5106" width="10.85546875" style="266" bestFit="1" customWidth="1"/>
    <col min="5107" max="5345" width="8.85546875" style="266"/>
    <col min="5346" max="5346" width="7.28515625" style="266" bestFit="1" customWidth="1"/>
    <col min="5347" max="5348" width="8" style="266" bestFit="1" customWidth="1"/>
    <col min="5349" max="5349" width="4.28515625" style="266" bestFit="1" customWidth="1"/>
    <col min="5350" max="5350" width="8.5703125" style="266" bestFit="1" customWidth="1"/>
    <col min="5351" max="5351" width="11.7109375" style="266" bestFit="1" customWidth="1"/>
    <col min="5352" max="5352" width="9.7109375" style="266" bestFit="1" customWidth="1"/>
    <col min="5353" max="5353" width="10.85546875" style="266" bestFit="1" customWidth="1"/>
    <col min="5354" max="5355" width="8.7109375" style="266" bestFit="1" customWidth="1"/>
    <col min="5356" max="5356" width="15.140625" style="266" bestFit="1" customWidth="1"/>
    <col min="5357" max="5357" width="13.28515625" style="266" bestFit="1" customWidth="1"/>
    <col min="5358" max="5358" width="0" style="266" hidden="1" customWidth="1"/>
    <col min="5359" max="5359" width="10.85546875" style="266" bestFit="1" customWidth="1"/>
    <col min="5360" max="5360" width="8.7109375" style="266" bestFit="1" customWidth="1"/>
    <col min="5361" max="5361" width="11.7109375" style="266" bestFit="1" customWidth="1"/>
    <col min="5362" max="5362" width="10.85546875" style="266" bestFit="1" customWidth="1"/>
    <col min="5363" max="5601" width="8.85546875" style="266"/>
    <col min="5602" max="5602" width="7.28515625" style="266" bestFit="1" customWidth="1"/>
    <col min="5603" max="5604" width="8" style="266" bestFit="1" customWidth="1"/>
    <col min="5605" max="5605" width="4.28515625" style="266" bestFit="1" customWidth="1"/>
    <col min="5606" max="5606" width="8.5703125" style="266" bestFit="1" customWidth="1"/>
    <col min="5607" max="5607" width="11.7109375" style="266" bestFit="1" customWidth="1"/>
    <col min="5608" max="5608" width="9.7109375" style="266" bestFit="1" customWidth="1"/>
    <col min="5609" max="5609" width="10.85546875" style="266" bestFit="1" customWidth="1"/>
    <col min="5610" max="5611" width="8.7109375" style="266" bestFit="1" customWidth="1"/>
    <col min="5612" max="5612" width="15.140625" style="266" bestFit="1" customWidth="1"/>
    <col min="5613" max="5613" width="13.28515625" style="266" bestFit="1" customWidth="1"/>
    <col min="5614" max="5614" width="0" style="266" hidden="1" customWidth="1"/>
    <col min="5615" max="5615" width="10.85546875" style="266" bestFit="1" customWidth="1"/>
    <col min="5616" max="5616" width="8.7109375" style="266" bestFit="1" customWidth="1"/>
    <col min="5617" max="5617" width="11.7109375" style="266" bestFit="1" customWidth="1"/>
    <col min="5618" max="5618" width="10.85546875" style="266" bestFit="1" customWidth="1"/>
    <col min="5619" max="5857" width="8.85546875" style="266"/>
    <col min="5858" max="5858" width="7.28515625" style="266" bestFit="1" customWidth="1"/>
    <col min="5859" max="5860" width="8" style="266" bestFit="1" customWidth="1"/>
    <col min="5861" max="5861" width="4.28515625" style="266" bestFit="1" customWidth="1"/>
    <col min="5862" max="5862" width="8.5703125" style="266" bestFit="1" customWidth="1"/>
    <col min="5863" max="5863" width="11.7109375" style="266" bestFit="1" customWidth="1"/>
    <col min="5864" max="5864" width="9.7109375" style="266" bestFit="1" customWidth="1"/>
    <col min="5865" max="5865" width="10.85546875" style="266" bestFit="1" customWidth="1"/>
    <col min="5866" max="5867" width="8.7109375" style="266" bestFit="1" customWidth="1"/>
    <col min="5868" max="5868" width="15.140625" style="266" bestFit="1" customWidth="1"/>
    <col min="5869" max="5869" width="13.28515625" style="266" bestFit="1" customWidth="1"/>
    <col min="5870" max="5870" width="0" style="266" hidden="1" customWidth="1"/>
    <col min="5871" max="5871" width="10.85546875" style="266" bestFit="1" customWidth="1"/>
    <col min="5872" max="5872" width="8.7109375" style="266" bestFit="1" customWidth="1"/>
    <col min="5873" max="5873" width="11.7109375" style="266" bestFit="1" customWidth="1"/>
    <col min="5874" max="5874" width="10.85546875" style="266" bestFit="1" customWidth="1"/>
    <col min="5875" max="6113" width="8.85546875" style="266"/>
    <col min="6114" max="6114" width="7.28515625" style="266" bestFit="1" customWidth="1"/>
    <col min="6115" max="6116" width="8" style="266" bestFit="1" customWidth="1"/>
    <col min="6117" max="6117" width="4.28515625" style="266" bestFit="1" customWidth="1"/>
    <col min="6118" max="6118" width="8.5703125" style="266" bestFit="1" customWidth="1"/>
    <col min="6119" max="6119" width="11.7109375" style="266" bestFit="1" customWidth="1"/>
    <col min="6120" max="6120" width="9.7109375" style="266" bestFit="1" customWidth="1"/>
    <col min="6121" max="6121" width="10.85546875" style="266" bestFit="1" customWidth="1"/>
    <col min="6122" max="6123" width="8.7109375" style="266" bestFit="1" customWidth="1"/>
    <col min="6124" max="6124" width="15.140625" style="266" bestFit="1" customWidth="1"/>
    <col min="6125" max="6125" width="13.28515625" style="266" bestFit="1" customWidth="1"/>
    <col min="6126" max="6126" width="0" style="266" hidden="1" customWidth="1"/>
    <col min="6127" max="6127" width="10.85546875" style="266" bestFit="1" customWidth="1"/>
    <col min="6128" max="6128" width="8.7109375" style="266" bestFit="1" customWidth="1"/>
    <col min="6129" max="6129" width="11.7109375" style="266" bestFit="1" customWidth="1"/>
    <col min="6130" max="6130" width="10.85546875" style="266" bestFit="1" customWidth="1"/>
    <col min="6131" max="6369" width="8.85546875" style="266"/>
    <col min="6370" max="6370" width="7.28515625" style="266" bestFit="1" customWidth="1"/>
    <col min="6371" max="6372" width="8" style="266" bestFit="1" customWidth="1"/>
    <col min="6373" max="6373" width="4.28515625" style="266" bestFit="1" customWidth="1"/>
    <col min="6374" max="6374" width="8.5703125" style="266" bestFit="1" customWidth="1"/>
    <col min="6375" max="6375" width="11.7109375" style="266" bestFit="1" customWidth="1"/>
    <col min="6376" max="6376" width="9.7109375" style="266" bestFit="1" customWidth="1"/>
    <col min="6377" max="6377" width="10.85546875" style="266" bestFit="1" customWidth="1"/>
    <col min="6378" max="6379" width="8.7109375" style="266" bestFit="1" customWidth="1"/>
    <col min="6380" max="6380" width="15.140625" style="266" bestFit="1" customWidth="1"/>
    <col min="6381" max="6381" width="13.28515625" style="266" bestFit="1" customWidth="1"/>
    <col min="6382" max="6382" width="0" style="266" hidden="1" customWidth="1"/>
    <col min="6383" max="6383" width="10.85546875" style="266" bestFit="1" customWidth="1"/>
    <col min="6384" max="6384" width="8.7109375" style="266" bestFit="1" customWidth="1"/>
    <col min="6385" max="6385" width="11.7109375" style="266" bestFit="1" customWidth="1"/>
    <col min="6386" max="6386" width="10.85546875" style="266" bestFit="1" customWidth="1"/>
    <col min="6387" max="6625" width="8.85546875" style="266"/>
    <col min="6626" max="6626" width="7.28515625" style="266" bestFit="1" customWidth="1"/>
    <col min="6627" max="6628" width="8" style="266" bestFit="1" customWidth="1"/>
    <col min="6629" max="6629" width="4.28515625" style="266" bestFit="1" customWidth="1"/>
    <col min="6630" max="6630" width="8.5703125" style="266" bestFit="1" customWidth="1"/>
    <col min="6631" max="6631" width="11.7109375" style="266" bestFit="1" customWidth="1"/>
    <col min="6632" max="6632" width="9.7109375" style="266" bestFit="1" customWidth="1"/>
    <col min="6633" max="6633" width="10.85546875" style="266" bestFit="1" customWidth="1"/>
    <col min="6634" max="6635" width="8.7109375" style="266" bestFit="1" customWidth="1"/>
    <col min="6636" max="6636" width="15.140625" style="266" bestFit="1" customWidth="1"/>
    <col min="6637" max="6637" width="13.28515625" style="266" bestFit="1" customWidth="1"/>
    <col min="6638" max="6638" width="0" style="266" hidden="1" customWidth="1"/>
    <col min="6639" max="6639" width="10.85546875" style="266" bestFit="1" customWidth="1"/>
    <col min="6640" max="6640" width="8.7109375" style="266" bestFit="1" customWidth="1"/>
    <col min="6641" max="6641" width="11.7109375" style="266" bestFit="1" customWidth="1"/>
    <col min="6642" max="6642" width="10.85546875" style="266" bestFit="1" customWidth="1"/>
    <col min="6643" max="6881" width="8.85546875" style="266"/>
    <col min="6882" max="6882" width="7.28515625" style="266" bestFit="1" customWidth="1"/>
    <col min="6883" max="6884" width="8" style="266" bestFit="1" customWidth="1"/>
    <col min="6885" max="6885" width="4.28515625" style="266" bestFit="1" customWidth="1"/>
    <col min="6886" max="6886" width="8.5703125" style="266" bestFit="1" customWidth="1"/>
    <col min="6887" max="6887" width="11.7109375" style="266" bestFit="1" customWidth="1"/>
    <col min="6888" max="6888" width="9.7109375" style="266" bestFit="1" customWidth="1"/>
    <col min="6889" max="6889" width="10.85546875" style="266" bestFit="1" customWidth="1"/>
    <col min="6890" max="6891" width="8.7109375" style="266" bestFit="1" customWidth="1"/>
    <col min="6892" max="6892" width="15.140625" style="266" bestFit="1" customWidth="1"/>
    <col min="6893" max="6893" width="13.28515625" style="266" bestFit="1" customWidth="1"/>
    <col min="6894" max="6894" width="0" style="266" hidden="1" customWidth="1"/>
    <col min="6895" max="6895" width="10.85546875" style="266" bestFit="1" customWidth="1"/>
    <col min="6896" max="6896" width="8.7109375" style="266" bestFit="1" customWidth="1"/>
    <col min="6897" max="6897" width="11.7109375" style="266" bestFit="1" customWidth="1"/>
    <col min="6898" max="6898" width="10.85546875" style="266" bestFit="1" customWidth="1"/>
    <col min="6899" max="7137" width="8.85546875" style="266"/>
    <col min="7138" max="7138" width="7.28515625" style="266" bestFit="1" customWidth="1"/>
    <col min="7139" max="7140" width="8" style="266" bestFit="1" customWidth="1"/>
    <col min="7141" max="7141" width="4.28515625" style="266" bestFit="1" customWidth="1"/>
    <col min="7142" max="7142" width="8.5703125" style="266" bestFit="1" customWidth="1"/>
    <col min="7143" max="7143" width="11.7109375" style="266" bestFit="1" customWidth="1"/>
    <col min="7144" max="7144" width="9.7109375" style="266" bestFit="1" customWidth="1"/>
    <col min="7145" max="7145" width="10.85546875" style="266" bestFit="1" customWidth="1"/>
    <col min="7146" max="7147" width="8.7109375" style="266" bestFit="1" customWidth="1"/>
    <col min="7148" max="7148" width="15.140625" style="266" bestFit="1" customWidth="1"/>
    <col min="7149" max="7149" width="13.28515625" style="266" bestFit="1" customWidth="1"/>
    <col min="7150" max="7150" width="0" style="266" hidden="1" customWidth="1"/>
    <col min="7151" max="7151" width="10.85546875" style="266" bestFit="1" customWidth="1"/>
    <col min="7152" max="7152" width="8.7109375" style="266" bestFit="1" customWidth="1"/>
    <col min="7153" max="7153" width="11.7109375" style="266" bestFit="1" customWidth="1"/>
    <col min="7154" max="7154" width="10.85546875" style="266" bestFit="1" customWidth="1"/>
    <col min="7155" max="7393" width="8.85546875" style="266"/>
    <col min="7394" max="7394" width="7.28515625" style="266" bestFit="1" customWidth="1"/>
    <col min="7395" max="7396" width="8" style="266" bestFit="1" customWidth="1"/>
    <col min="7397" max="7397" width="4.28515625" style="266" bestFit="1" customWidth="1"/>
    <col min="7398" max="7398" width="8.5703125" style="266" bestFit="1" customWidth="1"/>
    <col min="7399" max="7399" width="11.7109375" style="266" bestFit="1" customWidth="1"/>
    <col min="7400" max="7400" width="9.7109375" style="266" bestFit="1" customWidth="1"/>
    <col min="7401" max="7401" width="10.85546875" style="266" bestFit="1" customWidth="1"/>
    <col min="7402" max="7403" width="8.7109375" style="266" bestFit="1" customWidth="1"/>
    <col min="7404" max="7404" width="15.140625" style="266" bestFit="1" customWidth="1"/>
    <col min="7405" max="7405" width="13.28515625" style="266" bestFit="1" customWidth="1"/>
    <col min="7406" max="7406" width="0" style="266" hidden="1" customWidth="1"/>
    <col min="7407" max="7407" width="10.85546875" style="266" bestFit="1" customWidth="1"/>
    <col min="7408" max="7408" width="8.7109375" style="266" bestFit="1" customWidth="1"/>
    <col min="7409" max="7409" width="11.7109375" style="266" bestFit="1" customWidth="1"/>
    <col min="7410" max="7410" width="10.85546875" style="266" bestFit="1" customWidth="1"/>
    <col min="7411" max="7649" width="8.85546875" style="266"/>
    <col min="7650" max="7650" width="7.28515625" style="266" bestFit="1" customWidth="1"/>
    <col min="7651" max="7652" width="8" style="266" bestFit="1" customWidth="1"/>
    <col min="7653" max="7653" width="4.28515625" style="266" bestFit="1" customWidth="1"/>
    <col min="7654" max="7654" width="8.5703125" style="266" bestFit="1" customWidth="1"/>
    <col min="7655" max="7655" width="11.7109375" style="266" bestFit="1" customWidth="1"/>
    <col min="7656" max="7656" width="9.7109375" style="266" bestFit="1" customWidth="1"/>
    <col min="7657" max="7657" width="10.85546875" style="266" bestFit="1" customWidth="1"/>
    <col min="7658" max="7659" width="8.7109375" style="266" bestFit="1" customWidth="1"/>
    <col min="7660" max="7660" width="15.140625" style="266" bestFit="1" customWidth="1"/>
    <col min="7661" max="7661" width="13.28515625" style="266" bestFit="1" customWidth="1"/>
    <col min="7662" max="7662" width="0" style="266" hidden="1" customWidth="1"/>
    <col min="7663" max="7663" width="10.85546875" style="266" bestFit="1" customWidth="1"/>
    <col min="7664" max="7664" width="8.7109375" style="266" bestFit="1" customWidth="1"/>
    <col min="7665" max="7665" width="11.7109375" style="266" bestFit="1" customWidth="1"/>
    <col min="7666" max="7666" width="10.85546875" style="266" bestFit="1" customWidth="1"/>
    <col min="7667" max="7905" width="8.85546875" style="266"/>
    <col min="7906" max="7906" width="7.28515625" style="266" bestFit="1" customWidth="1"/>
    <col min="7907" max="7908" width="8" style="266" bestFit="1" customWidth="1"/>
    <col min="7909" max="7909" width="4.28515625" style="266" bestFit="1" customWidth="1"/>
    <col min="7910" max="7910" width="8.5703125" style="266" bestFit="1" customWidth="1"/>
    <col min="7911" max="7911" width="11.7109375" style="266" bestFit="1" customWidth="1"/>
    <col min="7912" max="7912" width="9.7109375" style="266" bestFit="1" customWidth="1"/>
    <col min="7913" max="7913" width="10.85546875" style="266" bestFit="1" customWidth="1"/>
    <col min="7914" max="7915" width="8.7109375" style="266" bestFit="1" customWidth="1"/>
    <col min="7916" max="7916" width="15.140625" style="266" bestFit="1" customWidth="1"/>
    <col min="7917" max="7917" width="13.28515625" style="266" bestFit="1" customWidth="1"/>
    <col min="7918" max="7918" width="0" style="266" hidden="1" customWidth="1"/>
    <col min="7919" max="7919" width="10.85546875" style="266" bestFit="1" customWidth="1"/>
    <col min="7920" max="7920" width="8.7109375" style="266" bestFit="1" customWidth="1"/>
    <col min="7921" max="7921" width="11.7109375" style="266" bestFit="1" customWidth="1"/>
    <col min="7922" max="7922" width="10.85546875" style="266" bestFit="1" customWidth="1"/>
    <col min="7923" max="8161" width="8.85546875" style="266"/>
    <col min="8162" max="8162" width="7.28515625" style="266" bestFit="1" customWidth="1"/>
    <col min="8163" max="8164" width="8" style="266" bestFit="1" customWidth="1"/>
    <col min="8165" max="8165" width="4.28515625" style="266" bestFit="1" customWidth="1"/>
    <col min="8166" max="8166" width="8.5703125" style="266" bestFit="1" customWidth="1"/>
    <col min="8167" max="8167" width="11.7109375" style="266" bestFit="1" customWidth="1"/>
    <col min="8168" max="8168" width="9.7109375" style="266" bestFit="1" customWidth="1"/>
    <col min="8169" max="8169" width="10.85546875" style="266" bestFit="1" customWidth="1"/>
    <col min="8170" max="8171" width="8.7109375" style="266" bestFit="1" customWidth="1"/>
    <col min="8172" max="8172" width="15.140625" style="266" bestFit="1" customWidth="1"/>
    <col min="8173" max="8173" width="13.28515625" style="266" bestFit="1" customWidth="1"/>
    <col min="8174" max="8174" width="0" style="266" hidden="1" customWidth="1"/>
    <col min="8175" max="8175" width="10.85546875" style="266" bestFit="1" customWidth="1"/>
    <col min="8176" max="8176" width="8.7109375" style="266" bestFit="1" customWidth="1"/>
    <col min="8177" max="8177" width="11.7109375" style="266" bestFit="1" customWidth="1"/>
    <col min="8178" max="8178" width="10.85546875" style="266" bestFit="1" customWidth="1"/>
    <col min="8179" max="8417" width="8.85546875" style="266"/>
    <col min="8418" max="8418" width="7.28515625" style="266" bestFit="1" customWidth="1"/>
    <col min="8419" max="8420" width="8" style="266" bestFit="1" customWidth="1"/>
    <col min="8421" max="8421" width="4.28515625" style="266" bestFit="1" customWidth="1"/>
    <col min="8422" max="8422" width="8.5703125" style="266" bestFit="1" customWidth="1"/>
    <col min="8423" max="8423" width="11.7109375" style="266" bestFit="1" customWidth="1"/>
    <col min="8424" max="8424" width="9.7109375" style="266" bestFit="1" customWidth="1"/>
    <col min="8425" max="8425" width="10.85546875" style="266" bestFit="1" customWidth="1"/>
    <col min="8426" max="8427" width="8.7109375" style="266" bestFit="1" customWidth="1"/>
    <col min="8428" max="8428" width="15.140625" style="266" bestFit="1" customWidth="1"/>
    <col min="8429" max="8429" width="13.28515625" style="266" bestFit="1" customWidth="1"/>
    <col min="8430" max="8430" width="0" style="266" hidden="1" customWidth="1"/>
    <col min="8431" max="8431" width="10.85546875" style="266" bestFit="1" customWidth="1"/>
    <col min="8432" max="8432" width="8.7109375" style="266" bestFit="1" customWidth="1"/>
    <col min="8433" max="8433" width="11.7109375" style="266" bestFit="1" customWidth="1"/>
    <col min="8434" max="8434" width="10.85546875" style="266" bestFit="1" customWidth="1"/>
    <col min="8435" max="8673" width="8.85546875" style="266"/>
    <col min="8674" max="8674" width="7.28515625" style="266" bestFit="1" customWidth="1"/>
    <col min="8675" max="8676" width="8" style="266" bestFit="1" customWidth="1"/>
    <col min="8677" max="8677" width="4.28515625" style="266" bestFit="1" customWidth="1"/>
    <col min="8678" max="8678" width="8.5703125" style="266" bestFit="1" customWidth="1"/>
    <col min="8679" max="8679" width="11.7109375" style="266" bestFit="1" customWidth="1"/>
    <col min="8680" max="8680" width="9.7109375" style="266" bestFit="1" customWidth="1"/>
    <col min="8681" max="8681" width="10.85546875" style="266" bestFit="1" customWidth="1"/>
    <col min="8682" max="8683" width="8.7109375" style="266" bestFit="1" customWidth="1"/>
    <col min="8684" max="8684" width="15.140625" style="266" bestFit="1" customWidth="1"/>
    <col min="8685" max="8685" width="13.28515625" style="266" bestFit="1" customWidth="1"/>
    <col min="8686" max="8686" width="0" style="266" hidden="1" customWidth="1"/>
    <col min="8687" max="8687" width="10.85546875" style="266" bestFit="1" customWidth="1"/>
    <col min="8688" max="8688" width="8.7109375" style="266" bestFit="1" customWidth="1"/>
    <col min="8689" max="8689" width="11.7109375" style="266" bestFit="1" customWidth="1"/>
    <col min="8690" max="8690" width="10.85546875" style="266" bestFit="1" customWidth="1"/>
    <col min="8691" max="8929" width="8.85546875" style="266"/>
    <col min="8930" max="8930" width="7.28515625" style="266" bestFit="1" customWidth="1"/>
    <col min="8931" max="8932" width="8" style="266" bestFit="1" customWidth="1"/>
    <col min="8933" max="8933" width="4.28515625" style="266" bestFit="1" customWidth="1"/>
    <col min="8934" max="8934" width="8.5703125" style="266" bestFit="1" customWidth="1"/>
    <col min="8935" max="8935" width="11.7109375" style="266" bestFit="1" customWidth="1"/>
    <col min="8936" max="8936" width="9.7109375" style="266" bestFit="1" customWidth="1"/>
    <col min="8937" max="8937" width="10.85546875" style="266" bestFit="1" customWidth="1"/>
    <col min="8938" max="8939" width="8.7109375" style="266" bestFit="1" customWidth="1"/>
    <col min="8940" max="8940" width="15.140625" style="266" bestFit="1" customWidth="1"/>
    <col min="8941" max="8941" width="13.28515625" style="266" bestFit="1" customWidth="1"/>
    <col min="8942" max="8942" width="0" style="266" hidden="1" customWidth="1"/>
    <col min="8943" max="8943" width="10.85546875" style="266" bestFit="1" customWidth="1"/>
    <col min="8944" max="8944" width="8.7109375" style="266" bestFit="1" customWidth="1"/>
    <col min="8945" max="8945" width="11.7109375" style="266" bestFit="1" customWidth="1"/>
    <col min="8946" max="8946" width="10.85546875" style="266" bestFit="1" customWidth="1"/>
    <col min="8947" max="9185" width="8.85546875" style="266"/>
    <col min="9186" max="9186" width="7.28515625" style="266" bestFit="1" customWidth="1"/>
    <col min="9187" max="9188" width="8" style="266" bestFit="1" customWidth="1"/>
    <col min="9189" max="9189" width="4.28515625" style="266" bestFit="1" customWidth="1"/>
    <col min="9190" max="9190" width="8.5703125" style="266" bestFit="1" customWidth="1"/>
    <col min="9191" max="9191" width="11.7109375" style="266" bestFit="1" customWidth="1"/>
    <col min="9192" max="9192" width="9.7109375" style="266" bestFit="1" customWidth="1"/>
    <col min="9193" max="9193" width="10.85546875" style="266" bestFit="1" customWidth="1"/>
    <col min="9194" max="9195" width="8.7109375" style="266" bestFit="1" customWidth="1"/>
    <col min="9196" max="9196" width="15.140625" style="266" bestFit="1" customWidth="1"/>
    <col min="9197" max="9197" width="13.28515625" style="266" bestFit="1" customWidth="1"/>
    <col min="9198" max="9198" width="0" style="266" hidden="1" customWidth="1"/>
    <col min="9199" max="9199" width="10.85546875" style="266" bestFit="1" customWidth="1"/>
    <col min="9200" max="9200" width="8.7109375" style="266" bestFit="1" customWidth="1"/>
    <col min="9201" max="9201" width="11.7109375" style="266" bestFit="1" customWidth="1"/>
    <col min="9202" max="9202" width="10.85546875" style="266" bestFit="1" customWidth="1"/>
    <col min="9203" max="9441" width="8.85546875" style="266"/>
    <col min="9442" max="9442" width="7.28515625" style="266" bestFit="1" customWidth="1"/>
    <col min="9443" max="9444" width="8" style="266" bestFit="1" customWidth="1"/>
    <col min="9445" max="9445" width="4.28515625" style="266" bestFit="1" customWidth="1"/>
    <col min="9446" max="9446" width="8.5703125" style="266" bestFit="1" customWidth="1"/>
    <col min="9447" max="9447" width="11.7109375" style="266" bestFit="1" customWidth="1"/>
    <col min="9448" max="9448" width="9.7109375" style="266" bestFit="1" customWidth="1"/>
    <col min="9449" max="9449" width="10.85546875" style="266" bestFit="1" customWidth="1"/>
    <col min="9450" max="9451" width="8.7109375" style="266" bestFit="1" customWidth="1"/>
    <col min="9452" max="9452" width="15.140625" style="266" bestFit="1" customWidth="1"/>
    <col min="9453" max="9453" width="13.28515625" style="266" bestFit="1" customWidth="1"/>
    <col min="9454" max="9454" width="0" style="266" hidden="1" customWidth="1"/>
    <col min="9455" max="9455" width="10.85546875" style="266" bestFit="1" customWidth="1"/>
    <col min="9456" max="9456" width="8.7109375" style="266" bestFit="1" customWidth="1"/>
    <col min="9457" max="9457" width="11.7109375" style="266" bestFit="1" customWidth="1"/>
    <col min="9458" max="9458" width="10.85546875" style="266" bestFit="1" customWidth="1"/>
    <col min="9459" max="9697" width="8.85546875" style="266"/>
    <col min="9698" max="9698" width="7.28515625" style="266" bestFit="1" customWidth="1"/>
    <col min="9699" max="9700" width="8" style="266" bestFit="1" customWidth="1"/>
    <col min="9701" max="9701" width="4.28515625" style="266" bestFit="1" customWidth="1"/>
    <col min="9702" max="9702" width="8.5703125" style="266" bestFit="1" customWidth="1"/>
    <col min="9703" max="9703" width="11.7109375" style="266" bestFit="1" customWidth="1"/>
    <col min="9704" max="9704" width="9.7109375" style="266" bestFit="1" customWidth="1"/>
    <col min="9705" max="9705" width="10.85546875" style="266" bestFit="1" customWidth="1"/>
    <col min="9706" max="9707" width="8.7109375" style="266" bestFit="1" customWidth="1"/>
    <col min="9708" max="9708" width="15.140625" style="266" bestFit="1" customWidth="1"/>
    <col min="9709" max="9709" width="13.28515625" style="266" bestFit="1" customWidth="1"/>
    <col min="9710" max="9710" width="0" style="266" hidden="1" customWidth="1"/>
    <col min="9711" max="9711" width="10.85546875" style="266" bestFit="1" customWidth="1"/>
    <col min="9712" max="9712" width="8.7109375" style="266" bestFit="1" customWidth="1"/>
    <col min="9713" max="9713" width="11.7109375" style="266" bestFit="1" customWidth="1"/>
    <col min="9714" max="9714" width="10.85546875" style="266" bestFit="1" customWidth="1"/>
    <col min="9715" max="9953" width="8.85546875" style="266"/>
    <col min="9954" max="9954" width="7.28515625" style="266" bestFit="1" customWidth="1"/>
    <col min="9955" max="9956" width="8" style="266" bestFit="1" customWidth="1"/>
    <col min="9957" max="9957" width="4.28515625" style="266" bestFit="1" customWidth="1"/>
    <col min="9958" max="9958" width="8.5703125" style="266" bestFit="1" customWidth="1"/>
    <col min="9959" max="9959" width="11.7109375" style="266" bestFit="1" customWidth="1"/>
    <col min="9960" max="9960" width="9.7109375" style="266" bestFit="1" customWidth="1"/>
    <col min="9961" max="9961" width="10.85546875" style="266" bestFit="1" customWidth="1"/>
    <col min="9962" max="9963" width="8.7109375" style="266" bestFit="1" customWidth="1"/>
    <col min="9964" max="9964" width="15.140625" style="266" bestFit="1" customWidth="1"/>
    <col min="9965" max="9965" width="13.28515625" style="266" bestFit="1" customWidth="1"/>
    <col min="9966" max="9966" width="0" style="266" hidden="1" customWidth="1"/>
    <col min="9967" max="9967" width="10.85546875" style="266" bestFit="1" customWidth="1"/>
    <col min="9968" max="9968" width="8.7109375" style="266" bestFit="1" customWidth="1"/>
    <col min="9969" max="9969" width="11.7109375" style="266" bestFit="1" customWidth="1"/>
    <col min="9970" max="9970" width="10.85546875" style="266" bestFit="1" customWidth="1"/>
    <col min="9971" max="10209" width="8.85546875" style="266"/>
    <col min="10210" max="10210" width="7.28515625" style="266" bestFit="1" customWidth="1"/>
    <col min="10211" max="10212" width="8" style="266" bestFit="1" customWidth="1"/>
    <col min="10213" max="10213" width="4.28515625" style="266" bestFit="1" customWidth="1"/>
    <col min="10214" max="10214" width="8.5703125" style="266" bestFit="1" customWidth="1"/>
    <col min="10215" max="10215" width="11.7109375" style="266" bestFit="1" customWidth="1"/>
    <col min="10216" max="10216" width="9.7109375" style="266" bestFit="1" customWidth="1"/>
    <col min="10217" max="10217" width="10.85546875" style="266" bestFit="1" customWidth="1"/>
    <col min="10218" max="10219" width="8.7109375" style="266" bestFit="1" customWidth="1"/>
    <col min="10220" max="10220" width="15.140625" style="266" bestFit="1" customWidth="1"/>
    <col min="10221" max="10221" width="13.28515625" style="266" bestFit="1" customWidth="1"/>
    <col min="10222" max="10222" width="0" style="266" hidden="1" customWidth="1"/>
    <col min="10223" max="10223" width="10.85546875" style="266" bestFit="1" customWidth="1"/>
    <col min="10224" max="10224" width="8.7109375" style="266" bestFit="1" customWidth="1"/>
    <col min="10225" max="10225" width="11.7109375" style="266" bestFit="1" customWidth="1"/>
    <col min="10226" max="10226" width="10.85546875" style="266" bestFit="1" customWidth="1"/>
    <col min="10227" max="10465" width="8.85546875" style="266"/>
    <col min="10466" max="10466" width="7.28515625" style="266" bestFit="1" customWidth="1"/>
    <col min="10467" max="10468" width="8" style="266" bestFit="1" customWidth="1"/>
    <col min="10469" max="10469" width="4.28515625" style="266" bestFit="1" customWidth="1"/>
    <col min="10470" max="10470" width="8.5703125" style="266" bestFit="1" customWidth="1"/>
    <col min="10471" max="10471" width="11.7109375" style="266" bestFit="1" customWidth="1"/>
    <col min="10472" max="10472" width="9.7109375" style="266" bestFit="1" customWidth="1"/>
    <col min="10473" max="10473" width="10.85546875" style="266" bestFit="1" customWidth="1"/>
    <col min="10474" max="10475" width="8.7109375" style="266" bestFit="1" customWidth="1"/>
    <col min="10476" max="10476" width="15.140625" style="266" bestFit="1" customWidth="1"/>
    <col min="10477" max="10477" width="13.28515625" style="266" bestFit="1" customWidth="1"/>
    <col min="10478" max="10478" width="0" style="266" hidden="1" customWidth="1"/>
    <col min="10479" max="10479" width="10.85546875" style="266" bestFit="1" customWidth="1"/>
    <col min="10480" max="10480" width="8.7109375" style="266" bestFit="1" customWidth="1"/>
    <col min="10481" max="10481" width="11.7109375" style="266" bestFit="1" customWidth="1"/>
    <col min="10482" max="10482" width="10.85546875" style="266" bestFit="1" customWidth="1"/>
    <col min="10483" max="10721" width="8.85546875" style="266"/>
    <col min="10722" max="10722" width="7.28515625" style="266" bestFit="1" customWidth="1"/>
    <col min="10723" max="10724" width="8" style="266" bestFit="1" customWidth="1"/>
    <col min="10725" max="10725" width="4.28515625" style="266" bestFit="1" customWidth="1"/>
    <col min="10726" max="10726" width="8.5703125" style="266" bestFit="1" customWidth="1"/>
    <col min="10727" max="10727" width="11.7109375" style="266" bestFit="1" customWidth="1"/>
    <col min="10728" max="10728" width="9.7109375" style="266" bestFit="1" customWidth="1"/>
    <col min="10729" max="10729" width="10.85546875" style="266" bestFit="1" customWidth="1"/>
    <col min="10730" max="10731" width="8.7109375" style="266" bestFit="1" customWidth="1"/>
    <col min="10732" max="10732" width="15.140625" style="266" bestFit="1" customWidth="1"/>
    <col min="10733" max="10733" width="13.28515625" style="266" bestFit="1" customWidth="1"/>
    <col min="10734" max="10734" width="0" style="266" hidden="1" customWidth="1"/>
    <col min="10735" max="10735" width="10.85546875" style="266" bestFit="1" customWidth="1"/>
    <col min="10736" max="10736" width="8.7109375" style="266" bestFit="1" customWidth="1"/>
    <col min="10737" max="10737" width="11.7109375" style="266" bestFit="1" customWidth="1"/>
    <col min="10738" max="10738" width="10.85546875" style="266" bestFit="1" customWidth="1"/>
    <col min="10739" max="10977" width="8.85546875" style="266"/>
    <col min="10978" max="10978" width="7.28515625" style="266" bestFit="1" customWidth="1"/>
    <col min="10979" max="10980" width="8" style="266" bestFit="1" customWidth="1"/>
    <col min="10981" max="10981" width="4.28515625" style="266" bestFit="1" customWidth="1"/>
    <col min="10982" max="10982" width="8.5703125" style="266" bestFit="1" customWidth="1"/>
    <col min="10983" max="10983" width="11.7109375" style="266" bestFit="1" customWidth="1"/>
    <col min="10984" max="10984" width="9.7109375" style="266" bestFit="1" customWidth="1"/>
    <col min="10985" max="10985" width="10.85546875" style="266" bestFit="1" customWidth="1"/>
    <col min="10986" max="10987" width="8.7109375" style="266" bestFit="1" customWidth="1"/>
    <col min="10988" max="10988" width="15.140625" style="266" bestFit="1" customWidth="1"/>
    <col min="10989" max="10989" width="13.28515625" style="266" bestFit="1" customWidth="1"/>
    <col min="10990" max="10990" width="0" style="266" hidden="1" customWidth="1"/>
    <col min="10991" max="10991" width="10.85546875" style="266" bestFit="1" customWidth="1"/>
    <col min="10992" max="10992" width="8.7109375" style="266" bestFit="1" customWidth="1"/>
    <col min="10993" max="10993" width="11.7109375" style="266" bestFit="1" customWidth="1"/>
    <col min="10994" max="10994" width="10.85546875" style="266" bestFit="1" customWidth="1"/>
    <col min="10995" max="11233" width="8.85546875" style="266"/>
    <col min="11234" max="11234" width="7.28515625" style="266" bestFit="1" customWidth="1"/>
    <col min="11235" max="11236" width="8" style="266" bestFit="1" customWidth="1"/>
    <col min="11237" max="11237" width="4.28515625" style="266" bestFit="1" customWidth="1"/>
    <col min="11238" max="11238" width="8.5703125" style="266" bestFit="1" customWidth="1"/>
    <col min="11239" max="11239" width="11.7109375" style="266" bestFit="1" customWidth="1"/>
    <col min="11240" max="11240" width="9.7109375" style="266" bestFit="1" customWidth="1"/>
    <col min="11241" max="11241" width="10.85546875" style="266" bestFit="1" customWidth="1"/>
    <col min="11242" max="11243" width="8.7109375" style="266" bestFit="1" customWidth="1"/>
    <col min="11244" max="11244" width="15.140625" style="266" bestFit="1" customWidth="1"/>
    <col min="11245" max="11245" width="13.28515625" style="266" bestFit="1" customWidth="1"/>
    <col min="11246" max="11246" width="0" style="266" hidden="1" customWidth="1"/>
    <col min="11247" max="11247" width="10.85546875" style="266" bestFit="1" customWidth="1"/>
    <col min="11248" max="11248" width="8.7109375" style="266" bestFit="1" customWidth="1"/>
    <col min="11249" max="11249" width="11.7109375" style="266" bestFit="1" customWidth="1"/>
    <col min="11250" max="11250" width="10.85546875" style="266" bestFit="1" customWidth="1"/>
    <col min="11251" max="11489" width="8.85546875" style="266"/>
    <col min="11490" max="11490" width="7.28515625" style="266" bestFit="1" customWidth="1"/>
    <col min="11491" max="11492" width="8" style="266" bestFit="1" customWidth="1"/>
    <col min="11493" max="11493" width="4.28515625" style="266" bestFit="1" customWidth="1"/>
    <col min="11494" max="11494" width="8.5703125" style="266" bestFit="1" customWidth="1"/>
    <col min="11495" max="11495" width="11.7109375" style="266" bestFit="1" customWidth="1"/>
    <col min="11496" max="11496" width="9.7109375" style="266" bestFit="1" customWidth="1"/>
    <col min="11497" max="11497" width="10.85546875" style="266" bestFit="1" customWidth="1"/>
    <col min="11498" max="11499" width="8.7109375" style="266" bestFit="1" customWidth="1"/>
    <col min="11500" max="11500" width="15.140625" style="266" bestFit="1" customWidth="1"/>
    <col min="11501" max="11501" width="13.28515625" style="266" bestFit="1" customWidth="1"/>
    <col min="11502" max="11502" width="0" style="266" hidden="1" customWidth="1"/>
    <col min="11503" max="11503" width="10.85546875" style="266" bestFit="1" customWidth="1"/>
    <col min="11504" max="11504" width="8.7109375" style="266" bestFit="1" customWidth="1"/>
    <col min="11505" max="11505" width="11.7109375" style="266" bestFit="1" customWidth="1"/>
    <col min="11506" max="11506" width="10.85546875" style="266" bestFit="1" customWidth="1"/>
    <col min="11507" max="11745" width="8.85546875" style="266"/>
    <col min="11746" max="11746" width="7.28515625" style="266" bestFit="1" customWidth="1"/>
    <col min="11747" max="11748" width="8" style="266" bestFit="1" customWidth="1"/>
    <col min="11749" max="11749" width="4.28515625" style="266" bestFit="1" customWidth="1"/>
    <col min="11750" max="11750" width="8.5703125" style="266" bestFit="1" customWidth="1"/>
    <col min="11751" max="11751" width="11.7109375" style="266" bestFit="1" customWidth="1"/>
    <col min="11752" max="11752" width="9.7109375" style="266" bestFit="1" customWidth="1"/>
    <col min="11753" max="11753" width="10.85546875" style="266" bestFit="1" customWidth="1"/>
    <col min="11754" max="11755" width="8.7109375" style="266" bestFit="1" customWidth="1"/>
    <col min="11756" max="11756" width="15.140625" style="266" bestFit="1" customWidth="1"/>
    <col min="11757" max="11757" width="13.28515625" style="266" bestFit="1" customWidth="1"/>
    <col min="11758" max="11758" width="0" style="266" hidden="1" customWidth="1"/>
    <col min="11759" max="11759" width="10.85546875" style="266" bestFit="1" customWidth="1"/>
    <col min="11760" max="11760" width="8.7109375" style="266" bestFit="1" customWidth="1"/>
    <col min="11761" max="11761" width="11.7109375" style="266" bestFit="1" customWidth="1"/>
    <col min="11762" max="11762" width="10.85546875" style="266" bestFit="1" customWidth="1"/>
    <col min="11763" max="12001" width="8.85546875" style="266"/>
    <col min="12002" max="12002" width="7.28515625" style="266" bestFit="1" customWidth="1"/>
    <col min="12003" max="12004" width="8" style="266" bestFit="1" customWidth="1"/>
    <col min="12005" max="12005" width="4.28515625" style="266" bestFit="1" customWidth="1"/>
    <col min="12006" max="12006" width="8.5703125" style="266" bestFit="1" customWidth="1"/>
    <col min="12007" max="12007" width="11.7109375" style="266" bestFit="1" customWidth="1"/>
    <col min="12008" max="12008" width="9.7109375" style="266" bestFit="1" customWidth="1"/>
    <col min="12009" max="12009" width="10.85546875" style="266" bestFit="1" customWidth="1"/>
    <col min="12010" max="12011" width="8.7109375" style="266" bestFit="1" customWidth="1"/>
    <col min="12012" max="12012" width="15.140625" style="266" bestFit="1" customWidth="1"/>
    <col min="12013" max="12013" width="13.28515625" style="266" bestFit="1" customWidth="1"/>
    <col min="12014" max="12014" width="0" style="266" hidden="1" customWidth="1"/>
    <col min="12015" max="12015" width="10.85546875" style="266" bestFit="1" customWidth="1"/>
    <col min="12016" max="12016" width="8.7109375" style="266" bestFit="1" customWidth="1"/>
    <col min="12017" max="12017" width="11.7109375" style="266" bestFit="1" customWidth="1"/>
    <col min="12018" max="12018" width="10.85546875" style="266" bestFit="1" customWidth="1"/>
    <col min="12019" max="12257" width="8.85546875" style="266"/>
    <col min="12258" max="12258" width="7.28515625" style="266" bestFit="1" customWidth="1"/>
    <col min="12259" max="12260" width="8" style="266" bestFit="1" customWidth="1"/>
    <col min="12261" max="12261" width="4.28515625" style="266" bestFit="1" customWidth="1"/>
    <col min="12262" max="12262" width="8.5703125" style="266" bestFit="1" customWidth="1"/>
    <col min="12263" max="12263" width="11.7109375" style="266" bestFit="1" customWidth="1"/>
    <col min="12264" max="12264" width="9.7109375" style="266" bestFit="1" customWidth="1"/>
    <col min="12265" max="12265" width="10.85546875" style="266" bestFit="1" customWidth="1"/>
    <col min="12266" max="12267" width="8.7109375" style="266" bestFit="1" customWidth="1"/>
    <col min="12268" max="12268" width="15.140625" style="266" bestFit="1" customWidth="1"/>
    <col min="12269" max="12269" width="13.28515625" style="266" bestFit="1" customWidth="1"/>
    <col min="12270" max="12270" width="0" style="266" hidden="1" customWidth="1"/>
    <col min="12271" max="12271" width="10.85546875" style="266" bestFit="1" customWidth="1"/>
    <col min="12272" max="12272" width="8.7109375" style="266" bestFit="1" customWidth="1"/>
    <col min="12273" max="12273" width="11.7109375" style="266" bestFit="1" customWidth="1"/>
    <col min="12274" max="12274" width="10.85546875" style="266" bestFit="1" customWidth="1"/>
    <col min="12275" max="12513" width="8.85546875" style="266"/>
    <col min="12514" max="12514" width="7.28515625" style="266" bestFit="1" customWidth="1"/>
    <col min="12515" max="12516" width="8" style="266" bestFit="1" customWidth="1"/>
    <col min="12517" max="12517" width="4.28515625" style="266" bestFit="1" customWidth="1"/>
    <col min="12518" max="12518" width="8.5703125" style="266" bestFit="1" customWidth="1"/>
    <col min="12519" max="12519" width="11.7109375" style="266" bestFit="1" customWidth="1"/>
    <col min="12520" max="12520" width="9.7109375" style="266" bestFit="1" customWidth="1"/>
    <col min="12521" max="12521" width="10.85546875" style="266" bestFit="1" customWidth="1"/>
    <col min="12522" max="12523" width="8.7109375" style="266" bestFit="1" customWidth="1"/>
    <col min="12524" max="12524" width="15.140625" style="266" bestFit="1" customWidth="1"/>
    <col min="12525" max="12525" width="13.28515625" style="266" bestFit="1" customWidth="1"/>
    <col min="12526" max="12526" width="0" style="266" hidden="1" customWidth="1"/>
    <col min="12527" max="12527" width="10.85546875" style="266" bestFit="1" customWidth="1"/>
    <col min="12528" max="12528" width="8.7109375" style="266" bestFit="1" customWidth="1"/>
    <col min="12529" max="12529" width="11.7109375" style="266" bestFit="1" customWidth="1"/>
    <col min="12530" max="12530" width="10.85546875" style="266" bestFit="1" customWidth="1"/>
    <col min="12531" max="12769" width="8.85546875" style="266"/>
    <col min="12770" max="12770" width="7.28515625" style="266" bestFit="1" customWidth="1"/>
    <col min="12771" max="12772" width="8" style="266" bestFit="1" customWidth="1"/>
    <col min="12773" max="12773" width="4.28515625" style="266" bestFit="1" customWidth="1"/>
    <col min="12774" max="12774" width="8.5703125" style="266" bestFit="1" customWidth="1"/>
    <col min="12775" max="12775" width="11.7109375" style="266" bestFit="1" customWidth="1"/>
    <col min="12776" max="12776" width="9.7109375" style="266" bestFit="1" customWidth="1"/>
    <col min="12777" max="12777" width="10.85546875" style="266" bestFit="1" customWidth="1"/>
    <col min="12778" max="12779" width="8.7109375" style="266" bestFit="1" customWidth="1"/>
    <col min="12780" max="12780" width="15.140625" style="266" bestFit="1" customWidth="1"/>
    <col min="12781" max="12781" width="13.28515625" style="266" bestFit="1" customWidth="1"/>
    <col min="12782" max="12782" width="0" style="266" hidden="1" customWidth="1"/>
    <col min="12783" max="12783" width="10.85546875" style="266" bestFit="1" customWidth="1"/>
    <col min="12784" max="12784" width="8.7109375" style="266" bestFit="1" customWidth="1"/>
    <col min="12785" max="12785" width="11.7109375" style="266" bestFit="1" customWidth="1"/>
    <col min="12786" max="12786" width="10.85546875" style="266" bestFit="1" customWidth="1"/>
    <col min="12787" max="13025" width="8.85546875" style="266"/>
    <col min="13026" max="13026" width="7.28515625" style="266" bestFit="1" customWidth="1"/>
    <col min="13027" max="13028" width="8" style="266" bestFit="1" customWidth="1"/>
    <col min="13029" max="13029" width="4.28515625" style="266" bestFit="1" customWidth="1"/>
    <col min="13030" max="13030" width="8.5703125" style="266" bestFit="1" customWidth="1"/>
    <col min="13031" max="13031" width="11.7109375" style="266" bestFit="1" customWidth="1"/>
    <col min="13032" max="13032" width="9.7109375" style="266" bestFit="1" customWidth="1"/>
    <col min="13033" max="13033" width="10.85546875" style="266" bestFit="1" customWidth="1"/>
    <col min="13034" max="13035" width="8.7109375" style="266" bestFit="1" customWidth="1"/>
    <col min="13036" max="13036" width="15.140625" style="266" bestFit="1" customWidth="1"/>
    <col min="13037" max="13037" width="13.28515625" style="266" bestFit="1" customWidth="1"/>
    <col min="13038" max="13038" width="0" style="266" hidden="1" customWidth="1"/>
    <col min="13039" max="13039" width="10.85546875" style="266" bestFit="1" customWidth="1"/>
    <col min="13040" max="13040" width="8.7109375" style="266" bestFit="1" customWidth="1"/>
    <col min="13041" max="13041" width="11.7109375" style="266" bestFit="1" customWidth="1"/>
    <col min="13042" max="13042" width="10.85546875" style="266" bestFit="1" customWidth="1"/>
    <col min="13043" max="13281" width="8.85546875" style="266"/>
    <col min="13282" max="13282" width="7.28515625" style="266" bestFit="1" customWidth="1"/>
    <col min="13283" max="13284" width="8" style="266" bestFit="1" customWidth="1"/>
    <col min="13285" max="13285" width="4.28515625" style="266" bestFit="1" customWidth="1"/>
    <col min="13286" max="13286" width="8.5703125" style="266" bestFit="1" customWidth="1"/>
    <col min="13287" max="13287" width="11.7109375" style="266" bestFit="1" customWidth="1"/>
    <col min="13288" max="13288" width="9.7109375" style="266" bestFit="1" customWidth="1"/>
    <col min="13289" max="13289" width="10.85546875" style="266" bestFit="1" customWidth="1"/>
    <col min="13290" max="13291" width="8.7109375" style="266" bestFit="1" customWidth="1"/>
    <col min="13292" max="13292" width="15.140625" style="266" bestFit="1" customWidth="1"/>
    <col min="13293" max="13293" width="13.28515625" style="266" bestFit="1" customWidth="1"/>
    <col min="13294" max="13294" width="0" style="266" hidden="1" customWidth="1"/>
    <col min="13295" max="13295" width="10.85546875" style="266" bestFit="1" customWidth="1"/>
    <col min="13296" max="13296" width="8.7109375" style="266" bestFit="1" customWidth="1"/>
    <col min="13297" max="13297" width="11.7109375" style="266" bestFit="1" customWidth="1"/>
    <col min="13298" max="13298" width="10.85546875" style="266" bestFit="1" customWidth="1"/>
    <col min="13299" max="13537" width="8.85546875" style="266"/>
    <col min="13538" max="13538" width="7.28515625" style="266" bestFit="1" customWidth="1"/>
    <col min="13539" max="13540" width="8" style="266" bestFit="1" customWidth="1"/>
    <col min="13541" max="13541" width="4.28515625" style="266" bestFit="1" customWidth="1"/>
    <col min="13542" max="13542" width="8.5703125" style="266" bestFit="1" customWidth="1"/>
    <col min="13543" max="13543" width="11.7109375" style="266" bestFit="1" customWidth="1"/>
    <col min="13544" max="13544" width="9.7109375" style="266" bestFit="1" customWidth="1"/>
    <col min="13545" max="13545" width="10.85546875" style="266" bestFit="1" customWidth="1"/>
    <col min="13546" max="13547" width="8.7109375" style="266" bestFit="1" customWidth="1"/>
    <col min="13548" max="13548" width="15.140625" style="266" bestFit="1" customWidth="1"/>
    <col min="13549" max="13549" width="13.28515625" style="266" bestFit="1" customWidth="1"/>
    <col min="13550" max="13550" width="0" style="266" hidden="1" customWidth="1"/>
    <col min="13551" max="13551" width="10.85546875" style="266" bestFit="1" customWidth="1"/>
    <col min="13552" max="13552" width="8.7109375" style="266" bestFit="1" customWidth="1"/>
    <col min="13553" max="13553" width="11.7109375" style="266" bestFit="1" customWidth="1"/>
    <col min="13554" max="13554" width="10.85546875" style="266" bestFit="1" customWidth="1"/>
    <col min="13555" max="13793" width="8.85546875" style="266"/>
    <col min="13794" max="13794" width="7.28515625" style="266" bestFit="1" customWidth="1"/>
    <col min="13795" max="13796" width="8" style="266" bestFit="1" customWidth="1"/>
    <col min="13797" max="13797" width="4.28515625" style="266" bestFit="1" customWidth="1"/>
    <col min="13798" max="13798" width="8.5703125" style="266" bestFit="1" customWidth="1"/>
    <col min="13799" max="13799" width="11.7109375" style="266" bestFit="1" customWidth="1"/>
    <col min="13800" max="13800" width="9.7109375" style="266" bestFit="1" customWidth="1"/>
    <col min="13801" max="13801" width="10.85546875" style="266" bestFit="1" customWidth="1"/>
    <col min="13802" max="13803" width="8.7109375" style="266" bestFit="1" customWidth="1"/>
    <col min="13804" max="13804" width="15.140625" style="266" bestFit="1" customWidth="1"/>
    <col min="13805" max="13805" width="13.28515625" style="266" bestFit="1" customWidth="1"/>
    <col min="13806" max="13806" width="0" style="266" hidden="1" customWidth="1"/>
    <col min="13807" max="13807" width="10.85546875" style="266" bestFit="1" customWidth="1"/>
    <col min="13808" max="13808" width="8.7109375" style="266" bestFit="1" customWidth="1"/>
    <col min="13809" max="13809" width="11.7109375" style="266" bestFit="1" customWidth="1"/>
    <col min="13810" max="13810" width="10.85546875" style="266" bestFit="1" customWidth="1"/>
    <col min="13811" max="14049" width="8.85546875" style="266"/>
    <col min="14050" max="14050" width="7.28515625" style="266" bestFit="1" customWidth="1"/>
    <col min="14051" max="14052" width="8" style="266" bestFit="1" customWidth="1"/>
    <col min="14053" max="14053" width="4.28515625" style="266" bestFit="1" customWidth="1"/>
    <col min="14054" max="14054" width="8.5703125" style="266" bestFit="1" customWidth="1"/>
    <col min="14055" max="14055" width="11.7109375" style="266" bestFit="1" customWidth="1"/>
    <col min="14056" max="14056" width="9.7109375" style="266" bestFit="1" customWidth="1"/>
    <col min="14057" max="14057" width="10.85546875" style="266" bestFit="1" customWidth="1"/>
    <col min="14058" max="14059" width="8.7109375" style="266" bestFit="1" customWidth="1"/>
    <col min="14060" max="14060" width="15.140625" style="266" bestFit="1" customWidth="1"/>
    <col min="14061" max="14061" width="13.28515625" style="266" bestFit="1" customWidth="1"/>
    <col min="14062" max="14062" width="0" style="266" hidden="1" customWidth="1"/>
    <col min="14063" max="14063" width="10.85546875" style="266" bestFit="1" customWidth="1"/>
    <col min="14064" max="14064" width="8.7109375" style="266" bestFit="1" customWidth="1"/>
    <col min="14065" max="14065" width="11.7109375" style="266" bestFit="1" customWidth="1"/>
    <col min="14066" max="14066" width="10.85546875" style="266" bestFit="1" customWidth="1"/>
    <col min="14067" max="14305" width="8.85546875" style="266"/>
    <col min="14306" max="14306" width="7.28515625" style="266" bestFit="1" customWidth="1"/>
    <col min="14307" max="14308" width="8" style="266" bestFit="1" customWidth="1"/>
    <col min="14309" max="14309" width="4.28515625" style="266" bestFit="1" customWidth="1"/>
    <col min="14310" max="14310" width="8.5703125" style="266" bestFit="1" customWidth="1"/>
    <col min="14311" max="14311" width="11.7109375" style="266" bestFit="1" customWidth="1"/>
    <col min="14312" max="14312" width="9.7109375" style="266" bestFit="1" customWidth="1"/>
    <col min="14313" max="14313" width="10.85546875" style="266" bestFit="1" customWidth="1"/>
    <col min="14314" max="14315" width="8.7109375" style="266" bestFit="1" customWidth="1"/>
    <col min="14316" max="14316" width="15.140625" style="266" bestFit="1" customWidth="1"/>
    <col min="14317" max="14317" width="13.28515625" style="266" bestFit="1" customWidth="1"/>
    <col min="14318" max="14318" width="0" style="266" hidden="1" customWidth="1"/>
    <col min="14319" max="14319" width="10.85546875" style="266" bestFit="1" customWidth="1"/>
    <col min="14320" max="14320" width="8.7109375" style="266" bestFit="1" customWidth="1"/>
    <col min="14321" max="14321" width="11.7109375" style="266" bestFit="1" customWidth="1"/>
    <col min="14322" max="14322" width="10.85546875" style="266" bestFit="1" customWidth="1"/>
    <col min="14323" max="14561" width="8.85546875" style="266"/>
    <col min="14562" max="14562" width="7.28515625" style="266" bestFit="1" customWidth="1"/>
    <col min="14563" max="14564" width="8" style="266" bestFit="1" customWidth="1"/>
    <col min="14565" max="14565" width="4.28515625" style="266" bestFit="1" customWidth="1"/>
    <col min="14566" max="14566" width="8.5703125" style="266" bestFit="1" customWidth="1"/>
    <col min="14567" max="14567" width="11.7109375" style="266" bestFit="1" customWidth="1"/>
    <col min="14568" max="14568" width="9.7109375" style="266" bestFit="1" customWidth="1"/>
    <col min="14569" max="14569" width="10.85546875" style="266" bestFit="1" customWidth="1"/>
    <col min="14570" max="14571" width="8.7109375" style="266" bestFit="1" customWidth="1"/>
    <col min="14572" max="14572" width="15.140625" style="266" bestFit="1" customWidth="1"/>
    <col min="14573" max="14573" width="13.28515625" style="266" bestFit="1" customWidth="1"/>
    <col min="14574" max="14574" width="0" style="266" hidden="1" customWidth="1"/>
    <col min="14575" max="14575" width="10.85546875" style="266" bestFit="1" customWidth="1"/>
    <col min="14576" max="14576" width="8.7109375" style="266" bestFit="1" customWidth="1"/>
    <col min="14577" max="14577" width="11.7109375" style="266" bestFit="1" customWidth="1"/>
    <col min="14578" max="14578" width="10.85546875" style="266" bestFit="1" customWidth="1"/>
    <col min="14579" max="14817" width="8.85546875" style="266"/>
    <col min="14818" max="14818" width="7.28515625" style="266" bestFit="1" customWidth="1"/>
    <col min="14819" max="14820" width="8" style="266" bestFit="1" customWidth="1"/>
    <col min="14821" max="14821" width="4.28515625" style="266" bestFit="1" customWidth="1"/>
    <col min="14822" max="14822" width="8.5703125" style="266" bestFit="1" customWidth="1"/>
    <col min="14823" max="14823" width="11.7109375" style="266" bestFit="1" customWidth="1"/>
    <col min="14824" max="14824" width="9.7109375" style="266" bestFit="1" customWidth="1"/>
    <col min="14825" max="14825" width="10.85546875" style="266" bestFit="1" customWidth="1"/>
    <col min="14826" max="14827" width="8.7109375" style="266" bestFit="1" customWidth="1"/>
    <col min="14828" max="14828" width="15.140625" style="266" bestFit="1" customWidth="1"/>
    <col min="14829" max="14829" width="13.28515625" style="266" bestFit="1" customWidth="1"/>
    <col min="14830" max="14830" width="0" style="266" hidden="1" customWidth="1"/>
    <col min="14831" max="14831" width="10.85546875" style="266" bestFit="1" customWidth="1"/>
    <col min="14832" max="14832" width="8.7109375" style="266" bestFit="1" customWidth="1"/>
    <col min="14833" max="14833" width="11.7109375" style="266" bestFit="1" customWidth="1"/>
    <col min="14834" max="14834" width="10.85546875" style="266" bestFit="1" customWidth="1"/>
    <col min="14835" max="15073" width="8.85546875" style="266"/>
    <col min="15074" max="15074" width="7.28515625" style="266" bestFit="1" customWidth="1"/>
    <col min="15075" max="15076" width="8" style="266" bestFit="1" customWidth="1"/>
    <col min="15077" max="15077" width="4.28515625" style="266" bestFit="1" customWidth="1"/>
    <col min="15078" max="15078" width="8.5703125" style="266" bestFit="1" customWidth="1"/>
    <col min="15079" max="15079" width="11.7109375" style="266" bestFit="1" customWidth="1"/>
    <col min="15080" max="15080" width="9.7109375" style="266" bestFit="1" customWidth="1"/>
    <col min="15081" max="15081" width="10.85546875" style="266" bestFit="1" customWidth="1"/>
    <col min="15082" max="15083" width="8.7109375" style="266" bestFit="1" customWidth="1"/>
    <col min="15084" max="15084" width="15.140625" style="266" bestFit="1" customWidth="1"/>
    <col min="15085" max="15085" width="13.28515625" style="266" bestFit="1" customWidth="1"/>
    <col min="15086" max="15086" width="0" style="266" hidden="1" customWidth="1"/>
    <col min="15087" max="15087" width="10.85546875" style="266" bestFit="1" customWidth="1"/>
    <col min="15088" max="15088" width="8.7109375" style="266" bestFit="1" customWidth="1"/>
    <col min="15089" max="15089" width="11.7109375" style="266" bestFit="1" customWidth="1"/>
    <col min="15090" max="15090" width="10.85546875" style="266" bestFit="1" customWidth="1"/>
    <col min="15091" max="15329" width="8.85546875" style="266"/>
    <col min="15330" max="15330" width="7.28515625" style="266" bestFit="1" customWidth="1"/>
    <col min="15331" max="15332" width="8" style="266" bestFit="1" customWidth="1"/>
    <col min="15333" max="15333" width="4.28515625" style="266" bestFit="1" customWidth="1"/>
    <col min="15334" max="15334" width="8.5703125" style="266" bestFit="1" customWidth="1"/>
    <col min="15335" max="15335" width="11.7109375" style="266" bestFit="1" customWidth="1"/>
    <col min="15336" max="15336" width="9.7109375" style="266" bestFit="1" customWidth="1"/>
    <col min="15337" max="15337" width="10.85546875" style="266" bestFit="1" customWidth="1"/>
    <col min="15338" max="15339" width="8.7109375" style="266" bestFit="1" customWidth="1"/>
    <col min="15340" max="15340" width="15.140625" style="266" bestFit="1" customWidth="1"/>
    <col min="15341" max="15341" width="13.28515625" style="266" bestFit="1" customWidth="1"/>
    <col min="15342" max="15342" width="0" style="266" hidden="1" customWidth="1"/>
    <col min="15343" max="15343" width="10.85546875" style="266" bestFit="1" customWidth="1"/>
    <col min="15344" max="15344" width="8.7109375" style="266" bestFit="1" customWidth="1"/>
    <col min="15345" max="15345" width="11.7109375" style="266" bestFit="1" customWidth="1"/>
    <col min="15346" max="15346" width="10.85546875" style="266" bestFit="1" customWidth="1"/>
    <col min="15347" max="15585" width="8.85546875" style="266"/>
    <col min="15586" max="15586" width="7.28515625" style="266" bestFit="1" customWidth="1"/>
    <col min="15587" max="15588" width="8" style="266" bestFit="1" customWidth="1"/>
    <col min="15589" max="15589" width="4.28515625" style="266" bestFit="1" customWidth="1"/>
    <col min="15590" max="15590" width="8.5703125" style="266" bestFit="1" customWidth="1"/>
    <col min="15591" max="15591" width="11.7109375" style="266" bestFit="1" customWidth="1"/>
    <col min="15592" max="15592" width="9.7109375" style="266" bestFit="1" customWidth="1"/>
    <col min="15593" max="15593" width="10.85546875" style="266" bestFit="1" customWidth="1"/>
    <col min="15594" max="15595" width="8.7109375" style="266" bestFit="1" customWidth="1"/>
    <col min="15596" max="15596" width="15.140625" style="266" bestFit="1" customWidth="1"/>
    <col min="15597" max="15597" width="13.28515625" style="266" bestFit="1" customWidth="1"/>
    <col min="15598" max="15598" width="0" style="266" hidden="1" customWidth="1"/>
    <col min="15599" max="15599" width="10.85546875" style="266" bestFit="1" customWidth="1"/>
    <col min="15600" max="15600" width="8.7109375" style="266" bestFit="1" customWidth="1"/>
    <col min="15601" max="15601" width="11.7109375" style="266" bestFit="1" customWidth="1"/>
    <col min="15602" max="15602" width="10.85546875" style="266" bestFit="1" customWidth="1"/>
    <col min="15603" max="15841" width="8.85546875" style="266"/>
    <col min="15842" max="15842" width="7.28515625" style="266" bestFit="1" customWidth="1"/>
    <col min="15843" max="15844" width="8" style="266" bestFit="1" customWidth="1"/>
    <col min="15845" max="15845" width="4.28515625" style="266" bestFit="1" customWidth="1"/>
    <col min="15846" max="15846" width="8.5703125" style="266" bestFit="1" customWidth="1"/>
    <col min="15847" max="15847" width="11.7109375" style="266" bestFit="1" customWidth="1"/>
    <col min="15848" max="15848" width="9.7109375" style="266" bestFit="1" customWidth="1"/>
    <col min="15849" max="15849" width="10.85546875" style="266" bestFit="1" customWidth="1"/>
    <col min="15850" max="15851" width="8.7109375" style="266" bestFit="1" customWidth="1"/>
    <col min="15852" max="15852" width="15.140625" style="266" bestFit="1" customWidth="1"/>
    <col min="15853" max="15853" width="13.28515625" style="266" bestFit="1" customWidth="1"/>
    <col min="15854" max="15854" width="0" style="266" hidden="1" customWidth="1"/>
    <col min="15855" max="15855" width="10.85546875" style="266" bestFit="1" customWidth="1"/>
    <col min="15856" max="15856" width="8.7109375" style="266" bestFit="1" customWidth="1"/>
    <col min="15857" max="15857" width="11.7109375" style="266" bestFit="1" customWidth="1"/>
    <col min="15858" max="15858" width="10.85546875" style="266" bestFit="1" customWidth="1"/>
    <col min="15859" max="16097" width="8.85546875" style="266"/>
    <col min="16098" max="16098" width="7.28515625" style="266" bestFit="1" customWidth="1"/>
    <col min="16099" max="16100" width="8" style="266" bestFit="1" customWidth="1"/>
    <col min="16101" max="16101" width="4.28515625" style="266" bestFit="1" customWidth="1"/>
    <col min="16102" max="16102" width="8.5703125" style="266" bestFit="1" customWidth="1"/>
    <col min="16103" max="16103" width="11.7109375" style="266" bestFit="1" customWidth="1"/>
    <col min="16104" max="16104" width="9.7109375" style="266" bestFit="1" customWidth="1"/>
    <col min="16105" max="16105" width="10.85546875" style="266" bestFit="1" customWidth="1"/>
    <col min="16106" max="16107" width="8.7109375" style="266" bestFit="1" customWidth="1"/>
    <col min="16108" max="16108" width="15.140625" style="266" bestFit="1" customWidth="1"/>
    <col min="16109" max="16109" width="13.28515625" style="266" bestFit="1" customWidth="1"/>
    <col min="16110" max="16110" width="0" style="266" hidden="1" customWidth="1"/>
    <col min="16111" max="16111" width="10.85546875" style="266" bestFit="1" customWidth="1"/>
    <col min="16112" max="16112" width="8.7109375" style="266" bestFit="1" customWidth="1"/>
    <col min="16113" max="16113" width="11.7109375" style="266" bestFit="1" customWidth="1"/>
    <col min="16114" max="16114" width="10.85546875" style="266" bestFit="1" customWidth="1"/>
    <col min="16115" max="16382" width="8.85546875" style="266"/>
    <col min="16383" max="16384" width="9.140625" style="266" customWidth="1"/>
  </cols>
  <sheetData>
    <row r="2" spans="2:8">
      <c r="B2" s="2410" t="s">
        <v>1655</v>
      </c>
      <c r="C2" s="2410"/>
    </row>
    <row r="4" spans="2:8">
      <c r="B4" s="267" t="s">
        <v>1689</v>
      </c>
      <c r="C4" s="267" t="s">
        <v>1689</v>
      </c>
      <c r="D4" s="267" t="s">
        <v>1690</v>
      </c>
      <c r="E4" s="267" t="s">
        <v>1691</v>
      </c>
      <c r="F4" s="267" t="s">
        <v>1680</v>
      </c>
      <c r="G4" s="267" t="s">
        <v>1692</v>
      </c>
    </row>
    <row r="5" spans="2:8">
      <c r="B5" s="268"/>
      <c r="C5" s="268"/>
      <c r="D5" s="268"/>
      <c r="E5" s="268"/>
      <c r="F5" s="268"/>
      <c r="G5" s="268"/>
    </row>
    <row r="6" spans="2:8">
      <c r="B6" s="269">
        <v>44287</v>
      </c>
      <c r="C6" s="269">
        <v>44377</v>
      </c>
      <c r="D6" s="268">
        <f>1+C6-B6</f>
        <v>91</v>
      </c>
      <c r="E6" s="270">
        <v>0.08</v>
      </c>
      <c r="F6" s="271">
        <v>2353055</v>
      </c>
      <c r="G6" s="272">
        <f t="shared" ref="G6:G11" si="0">ROUND(F6*E6/365*D6,0)</f>
        <v>46932</v>
      </c>
    </row>
    <row r="7" spans="2:8">
      <c r="B7" s="269">
        <v>44378</v>
      </c>
      <c r="C7" s="269">
        <v>44469</v>
      </c>
      <c r="D7" s="268">
        <f>+C7-B7+1</f>
        <v>92</v>
      </c>
      <c r="E7" s="270">
        <v>0.08</v>
      </c>
      <c r="F7" s="271">
        <v>2395294</v>
      </c>
      <c r="G7" s="272">
        <f t="shared" si="0"/>
        <v>48300</v>
      </c>
    </row>
    <row r="8" spans="2:8">
      <c r="B8" s="269">
        <v>44470</v>
      </c>
      <c r="C8" s="269">
        <v>44561</v>
      </c>
      <c r="D8" s="268">
        <f>+C8-B8+1</f>
        <v>92</v>
      </c>
      <c r="E8" s="270">
        <v>0.08</v>
      </c>
      <c r="F8" s="271">
        <v>2438764</v>
      </c>
      <c r="G8" s="272">
        <f t="shared" si="0"/>
        <v>49176</v>
      </c>
      <c r="H8" s="266">
        <v>257</v>
      </c>
    </row>
    <row r="9" spans="2:8">
      <c r="B9" s="269">
        <v>44562</v>
      </c>
      <c r="C9" s="269">
        <v>44594</v>
      </c>
      <c r="D9" s="268">
        <f>+C9-B9+1</f>
        <v>33</v>
      </c>
      <c r="E9" s="270">
        <v>0.08</v>
      </c>
      <c r="F9" s="271">
        <v>2483022</v>
      </c>
      <c r="G9" s="272">
        <f t="shared" si="0"/>
        <v>17959</v>
      </c>
    </row>
    <row r="10" spans="2:8">
      <c r="B10" s="269">
        <v>44595</v>
      </c>
      <c r="C10" s="269">
        <v>44637</v>
      </c>
      <c r="D10" s="268">
        <f>+C10-B10+1</f>
        <v>43</v>
      </c>
      <c r="E10" s="270">
        <v>0.08</v>
      </c>
      <c r="F10" s="271">
        <v>3499185</v>
      </c>
      <c r="G10" s="272">
        <f t="shared" si="0"/>
        <v>32979</v>
      </c>
    </row>
    <row r="11" spans="2:8">
      <c r="B11" s="269">
        <v>44638</v>
      </c>
      <c r="C11" s="269">
        <v>44651</v>
      </c>
      <c r="D11" s="268">
        <f>+C11-B11+1</f>
        <v>14</v>
      </c>
      <c r="E11" s="270">
        <v>0.08</v>
      </c>
      <c r="F11" s="271">
        <v>2528866</v>
      </c>
      <c r="G11" s="272">
        <f t="shared" si="0"/>
        <v>7760</v>
      </c>
    </row>
    <row r="12" spans="2:8">
      <c r="B12" s="267" t="s">
        <v>1249</v>
      </c>
      <c r="C12" s="267"/>
      <c r="D12" s="267"/>
      <c r="E12" s="267"/>
      <c r="F12" s="273"/>
      <c r="G12" s="273">
        <f>SUM(G6:G11)</f>
        <v>203106</v>
      </c>
    </row>
    <row r="13" spans="2:8">
      <c r="F13" s="274"/>
      <c r="G13" s="275"/>
    </row>
    <row r="14" spans="2:8">
      <c r="B14" s="2410" t="s">
        <v>1485</v>
      </c>
      <c r="C14" s="2410"/>
    </row>
    <row r="16" spans="2:8">
      <c r="B16" s="267" t="s">
        <v>1689</v>
      </c>
      <c r="C16" s="267" t="s">
        <v>1689</v>
      </c>
      <c r="D16" s="267" t="s">
        <v>1690</v>
      </c>
      <c r="E16" s="267" t="s">
        <v>1691</v>
      </c>
      <c r="F16" s="267" t="s">
        <v>1680</v>
      </c>
      <c r="G16" s="267" t="s">
        <v>1692</v>
      </c>
    </row>
    <row r="17" spans="2:8">
      <c r="B17" s="268"/>
      <c r="C17" s="268"/>
      <c r="D17" s="268"/>
      <c r="E17" s="268"/>
      <c r="F17" s="268"/>
      <c r="G17" s="268"/>
    </row>
    <row r="18" spans="2:8">
      <c r="B18" s="269">
        <v>44287</v>
      </c>
      <c r="C18" s="269">
        <v>44377</v>
      </c>
      <c r="D18" s="268">
        <f>1+C18-B18</f>
        <v>91</v>
      </c>
      <c r="E18" s="270">
        <v>0.08</v>
      </c>
      <c r="F18" s="271">
        <v>6384474</v>
      </c>
      <c r="G18" s="272">
        <f t="shared" ref="G18:G23" si="1">ROUND(F18*E18/365*D18,0)</f>
        <v>127340</v>
      </c>
    </row>
    <row r="19" spans="2:8">
      <c r="B19" s="269">
        <v>44378</v>
      </c>
      <c r="C19" s="269">
        <v>44469</v>
      </c>
      <c r="D19" s="268">
        <f>+C19-B19+1</f>
        <v>92</v>
      </c>
      <c r="E19" s="270">
        <v>0.08</v>
      </c>
      <c r="F19" s="271">
        <v>6499080</v>
      </c>
      <c r="G19" s="272">
        <f t="shared" si="1"/>
        <v>131050</v>
      </c>
    </row>
    <row r="20" spans="2:8">
      <c r="B20" s="269">
        <v>44470</v>
      </c>
      <c r="C20" s="269">
        <v>44561</v>
      </c>
      <c r="D20" s="268">
        <f>+C20-B20+1</f>
        <v>92</v>
      </c>
      <c r="E20" s="270">
        <v>0.08</v>
      </c>
      <c r="F20" s="271">
        <v>6617025</v>
      </c>
      <c r="G20" s="272">
        <f t="shared" si="1"/>
        <v>133428</v>
      </c>
      <c r="H20" s="266">
        <v>257</v>
      </c>
    </row>
    <row r="21" spans="2:8">
      <c r="B21" s="269">
        <v>44562</v>
      </c>
      <c r="C21" s="269">
        <v>44588</v>
      </c>
      <c r="D21" s="268">
        <f>+C21-B21+1</f>
        <v>27</v>
      </c>
      <c r="E21" s="270">
        <v>0.08</v>
      </c>
      <c r="F21" s="271">
        <v>6737110</v>
      </c>
      <c r="G21" s="272">
        <f t="shared" si="1"/>
        <v>39869</v>
      </c>
    </row>
    <row r="22" spans="2:8">
      <c r="B22" s="269">
        <v>44589</v>
      </c>
      <c r="C22" s="269">
        <v>44627</v>
      </c>
      <c r="D22" s="268">
        <f>+C22-B22+1</f>
        <v>39</v>
      </c>
      <c r="E22" s="270">
        <v>0.08</v>
      </c>
      <c r="F22" s="271">
        <v>6172992</v>
      </c>
      <c r="G22" s="272">
        <f t="shared" si="1"/>
        <v>52766</v>
      </c>
    </row>
    <row r="23" spans="2:8">
      <c r="B23" s="269">
        <v>44628</v>
      </c>
      <c r="C23" s="269">
        <v>44651</v>
      </c>
      <c r="D23" s="268">
        <f>+C23-B23+1</f>
        <v>24</v>
      </c>
      <c r="E23" s="270">
        <v>0.08</v>
      </c>
      <c r="F23" s="271">
        <v>5720481</v>
      </c>
      <c r="G23" s="272">
        <f t="shared" si="1"/>
        <v>30091</v>
      </c>
    </row>
    <row r="24" spans="2:8">
      <c r="B24" s="267" t="s">
        <v>1249</v>
      </c>
      <c r="C24" s="267"/>
      <c r="D24" s="267"/>
      <c r="E24" s="267"/>
      <c r="F24" s="273"/>
      <c r="G24" s="273">
        <f>SUM(G18:G23)</f>
        <v>514544</v>
      </c>
    </row>
    <row r="25" spans="2:8">
      <c r="F25" s="274"/>
      <c r="G25" s="275"/>
    </row>
    <row r="26" spans="2:8">
      <c r="B26" s="2410" t="s">
        <v>1693</v>
      </c>
      <c r="C26" s="2410"/>
    </row>
    <row r="28" spans="2:8">
      <c r="B28" s="267" t="s">
        <v>1689</v>
      </c>
      <c r="C28" s="267" t="s">
        <v>1689</v>
      </c>
      <c r="D28" s="267" t="s">
        <v>1690</v>
      </c>
      <c r="E28" s="267" t="s">
        <v>1691</v>
      </c>
      <c r="F28" s="267" t="s">
        <v>1680</v>
      </c>
      <c r="G28" s="267" t="s">
        <v>1692</v>
      </c>
    </row>
    <row r="29" spans="2:8">
      <c r="B29" s="269">
        <v>44287</v>
      </c>
      <c r="C29" s="269">
        <v>44377</v>
      </c>
      <c r="D29" s="268">
        <f>+C29-B29+1</f>
        <v>91</v>
      </c>
      <c r="E29" s="276">
        <v>0.08</v>
      </c>
      <c r="F29" s="271">
        <v>941222</v>
      </c>
      <c r="G29" s="277">
        <f>F29*E29/365*D29</f>
        <v>18772.86619178082</v>
      </c>
    </row>
    <row r="30" spans="2:8">
      <c r="B30" s="269">
        <v>44377</v>
      </c>
      <c r="C30" s="269">
        <v>44469</v>
      </c>
      <c r="D30" s="268">
        <f>+C30-B30</f>
        <v>92</v>
      </c>
      <c r="E30" s="276">
        <v>0.08</v>
      </c>
      <c r="F30" s="271">
        <v>958118</v>
      </c>
      <c r="G30" s="277">
        <f>F30*E30/365*D30</f>
        <v>19319.858849315067</v>
      </c>
    </row>
    <row r="31" spans="2:8">
      <c r="B31" s="269">
        <v>44469</v>
      </c>
      <c r="C31" s="269">
        <v>44561</v>
      </c>
      <c r="D31" s="268">
        <f t="shared" ref="D31:D32" si="2">+C31-B31</f>
        <v>92</v>
      </c>
      <c r="E31" s="276">
        <v>0.08</v>
      </c>
      <c r="F31" s="271">
        <v>975506</v>
      </c>
      <c r="G31" s="277">
        <f>F31*E31/365*D31</f>
        <v>19670.477150684932</v>
      </c>
    </row>
    <row r="32" spans="2:8">
      <c r="B32" s="269">
        <v>44561</v>
      </c>
      <c r="C32" s="269">
        <v>44651</v>
      </c>
      <c r="D32" s="268">
        <f t="shared" si="2"/>
        <v>90</v>
      </c>
      <c r="E32" s="276">
        <v>0.08</v>
      </c>
      <c r="F32" s="271">
        <v>993209</v>
      </c>
      <c r="G32" s="277">
        <f>F32*E32/365*D32</f>
        <v>19592.067945205479</v>
      </c>
    </row>
    <row r="33" spans="2:7">
      <c r="B33" s="267" t="s">
        <v>1249</v>
      </c>
      <c r="C33" s="267"/>
      <c r="D33" s="267"/>
      <c r="E33" s="267"/>
      <c r="F33" s="273"/>
      <c r="G33" s="273">
        <f>SUM(G29:G32)</f>
        <v>77355.270136986292</v>
      </c>
    </row>
    <row r="34" spans="2:7">
      <c r="F34" s="274"/>
      <c r="G34" s="274"/>
    </row>
    <row r="35" spans="2:7">
      <c r="B35" s="2410" t="s">
        <v>1694</v>
      </c>
      <c r="C35" s="2410"/>
    </row>
    <row r="37" spans="2:7">
      <c r="B37" s="267" t="s">
        <v>1689</v>
      </c>
      <c r="C37" s="267" t="s">
        <v>1689</v>
      </c>
      <c r="D37" s="267" t="s">
        <v>1690</v>
      </c>
      <c r="E37" s="267" t="s">
        <v>1691</v>
      </c>
      <c r="F37" s="267" t="s">
        <v>1680</v>
      </c>
      <c r="G37" s="267" t="s">
        <v>1692</v>
      </c>
    </row>
    <row r="38" spans="2:7">
      <c r="B38" s="269">
        <v>44287</v>
      </c>
      <c r="C38" s="269">
        <v>44377</v>
      </c>
      <c r="D38" s="268">
        <f>+C38-B38+1</f>
        <v>91</v>
      </c>
      <c r="E38" s="270">
        <v>0.08</v>
      </c>
      <c r="F38" s="278">
        <v>1176528</v>
      </c>
      <c r="G38" s="278">
        <f>F38*E38/365*D38</f>
        <v>23466.092712328769</v>
      </c>
    </row>
    <row r="39" spans="2:7">
      <c r="B39" s="269">
        <v>44377</v>
      </c>
      <c r="C39" s="269">
        <v>44469</v>
      </c>
      <c r="D39" s="268">
        <f t="shared" ref="D39:D42" si="3">+C39-B39</f>
        <v>92</v>
      </c>
      <c r="E39" s="270">
        <v>0.08</v>
      </c>
      <c r="F39" s="278">
        <v>1197647</v>
      </c>
      <c r="G39" s="278">
        <f>F39*E39/365*D39</f>
        <v>24149.813479452052</v>
      </c>
    </row>
    <row r="40" spans="2:7">
      <c r="B40" s="269">
        <v>44469</v>
      </c>
      <c r="C40" s="269">
        <v>44561</v>
      </c>
      <c r="D40" s="268">
        <f t="shared" si="3"/>
        <v>92</v>
      </c>
      <c r="E40" s="270">
        <v>0.08</v>
      </c>
      <c r="F40" s="278">
        <v>1219382</v>
      </c>
      <c r="G40" s="278">
        <f>F40*E40/365*D40</f>
        <v>24588.086356164382</v>
      </c>
    </row>
    <row r="41" spans="2:7">
      <c r="B41" s="269">
        <v>44561</v>
      </c>
      <c r="C41" s="269">
        <v>44651</v>
      </c>
      <c r="D41" s="268">
        <f t="shared" si="3"/>
        <v>90</v>
      </c>
      <c r="E41" s="270">
        <v>0.08</v>
      </c>
      <c r="F41" s="278">
        <v>1241511</v>
      </c>
      <c r="G41" s="278">
        <f>F41*E41/365*D41</f>
        <v>24490.080000000002</v>
      </c>
    </row>
    <row r="42" spans="2:7">
      <c r="B42" s="268"/>
      <c r="C42" s="268"/>
      <c r="D42" s="268">
        <f t="shared" si="3"/>
        <v>0</v>
      </c>
      <c r="E42" s="270">
        <v>0.08</v>
      </c>
      <c r="F42" s="278"/>
      <c r="G42" s="278"/>
    </row>
    <row r="43" spans="2:7">
      <c r="B43" s="267" t="s">
        <v>1249</v>
      </c>
      <c r="C43" s="267"/>
      <c r="D43" s="267"/>
      <c r="E43" s="267"/>
      <c r="F43" s="273"/>
      <c r="G43" s="279">
        <f>SUM(G38:G42)</f>
        <v>96694.072547945208</v>
      </c>
    </row>
    <row r="44" spans="2:7">
      <c r="F44" s="274"/>
      <c r="G44" s="274"/>
    </row>
    <row r="45" spans="2:7">
      <c r="B45" s="2410" t="s">
        <v>1695</v>
      </c>
      <c r="C45" s="2410"/>
    </row>
    <row r="47" spans="2:7">
      <c r="B47" s="267" t="s">
        <v>1689</v>
      </c>
      <c r="C47" s="267" t="s">
        <v>1689</v>
      </c>
      <c r="D47" s="267" t="s">
        <v>1690</v>
      </c>
      <c r="E47" s="267" t="s">
        <v>1691</v>
      </c>
      <c r="F47" s="267" t="s">
        <v>1680</v>
      </c>
      <c r="G47" s="267" t="s">
        <v>1692</v>
      </c>
    </row>
    <row r="48" spans="2:7">
      <c r="B48" s="269">
        <v>44350</v>
      </c>
      <c r="C48" s="269">
        <v>44377</v>
      </c>
      <c r="D48" s="268">
        <f>C48-B48</f>
        <v>27</v>
      </c>
      <c r="E48" s="270">
        <v>0.08</v>
      </c>
      <c r="F48" s="278">
        <v>1000000</v>
      </c>
      <c r="G48" s="271">
        <f t="shared" ref="G48:G53" si="4">F48*E48/365*D48</f>
        <v>5917.8082191780823</v>
      </c>
    </row>
    <row r="49" spans="2:7">
      <c r="B49" s="269">
        <v>44378</v>
      </c>
      <c r="C49" s="269">
        <v>44469</v>
      </c>
      <c r="D49" s="268">
        <f>C49-B49+1</f>
        <v>92</v>
      </c>
      <c r="E49" s="270">
        <v>0.08</v>
      </c>
      <c r="F49" s="271">
        <v>1005326</v>
      </c>
      <c r="G49" s="271">
        <f t="shared" si="4"/>
        <v>20271.77906849315</v>
      </c>
    </row>
    <row r="50" spans="2:7">
      <c r="B50" s="269">
        <v>44469</v>
      </c>
      <c r="C50" s="269">
        <v>44553</v>
      </c>
      <c r="D50" s="268">
        <f t="shared" ref="D50:D53" si="5">C50-B50</f>
        <v>84</v>
      </c>
      <c r="E50" s="270">
        <v>0.08</v>
      </c>
      <c r="F50" s="271">
        <v>1023571</v>
      </c>
      <c r="G50" s="271">
        <f t="shared" si="4"/>
        <v>18844.923616438358</v>
      </c>
    </row>
    <row r="51" spans="2:7">
      <c r="B51" s="269">
        <v>44553</v>
      </c>
      <c r="C51" s="269">
        <v>44561</v>
      </c>
      <c r="D51" s="268">
        <f t="shared" si="5"/>
        <v>8</v>
      </c>
      <c r="E51" s="270">
        <v>0.08</v>
      </c>
      <c r="F51" s="271">
        <v>1140532</v>
      </c>
      <c r="G51" s="271">
        <f t="shared" si="4"/>
        <v>1999.8369315068492</v>
      </c>
    </row>
    <row r="52" spans="2:7">
      <c r="B52" s="269">
        <v>44561</v>
      </c>
      <c r="C52" s="269">
        <v>44637</v>
      </c>
      <c r="D52" s="268">
        <f t="shared" si="5"/>
        <v>76</v>
      </c>
      <c r="E52" s="270">
        <v>0.08</v>
      </c>
      <c r="F52" s="271">
        <v>1142332</v>
      </c>
      <c r="G52" s="271">
        <f t="shared" si="4"/>
        <v>19028.434410958904</v>
      </c>
    </row>
    <row r="53" spans="2:7">
      <c r="B53" s="269">
        <v>44637</v>
      </c>
      <c r="C53" s="269">
        <v>44651</v>
      </c>
      <c r="D53" s="268">
        <f t="shared" si="5"/>
        <v>14</v>
      </c>
      <c r="E53" s="270">
        <v>0.08</v>
      </c>
      <c r="F53" s="278">
        <v>2159457</v>
      </c>
      <c r="G53" s="271">
        <f t="shared" si="4"/>
        <v>6626.2790136986296</v>
      </c>
    </row>
    <row r="54" spans="2:7">
      <c r="B54" s="267" t="s">
        <v>1249</v>
      </c>
      <c r="C54" s="267"/>
      <c r="D54" s="267"/>
      <c r="E54" s="267"/>
      <c r="F54" s="273"/>
      <c r="G54" s="273">
        <f>SUM(G48:G53)</f>
        <v>72689.061260273971</v>
      </c>
    </row>
    <row r="55" spans="2:7">
      <c r="F55" s="274"/>
      <c r="G55" s="274"/>
    </row>
    <row r="56" spans="2:7">
      <c r="F56" s="274"/>
      <c r="G56" s="274"/>
    </row>
    <row r="57" spans="2:7">
      <c r="B57" s="2410" t="s">
        <v>136</v>
      </c>
      <c r="C57" s="2410"/>
    </row>
    <row r="59" spans="2:7">
      <c r="B59" s="267" t="s">
        <v>1689</v>
      </c>
      <c r="C59" s="267" t="s">
        <v>1689</v>
      </c>
      <c r="D59" s="267" t="s">
        <v>1690</v>
      </c>
      <c r="E59" s="267" t="s">
        <v>1691</v>
      </c>
      <c r="F59" s="267" t="s">
        <v>1680</v>
      </c>
      <c r="G59" s="267" t="s">
        <v>1692</v>
      </c>
    </row>
    <row r="60" spans="2:7">
      <c r="B60" s="269">
        <v>44287</v>
      </c>
      <c r="C60" s="269">
        <v>44377</v>
      </c>
      <c r="D60" s="268">
        <f>C60-B60+1</f>
        <v>91</v>
      </c>
      <c r="E60" s="270">
        <v>0.08</v>
      </c>
      <c r="F60" s="271">
        <v>1176528</v>
      </c>
      <c r="G60" s="280">
        <f>F60*E60/365*D60</f>
        <v>23466.092712328769</v>
      </c>
    </row>
    <row r="61" spans="2:7">
      <c r="B61" s="269">
        <v>44377</v>
      </c>
      <c r="C61" s="269">
        <v>44454</v>
      </c>
      <c r="D61" s="268">
        <f t="shared" ref="D61:D64" si="6">C61-B61</f>
        <v>77</v>
      </c>
      <c r="E61" s="270">
        <v>0.08</v>
      </c>
      <c r="F61" s="271">
        <v>1197647</v>
      </c>
      <c r="G61" s="280">
        <f>F61*E61/365*D61</f>
        <v>20212.343890410957</v>
      </c>
    </row>
    <row r="62" spans="2:7">
      <c r="B62" s="269">
        <v>44454</v>
      </c>
      <c r="C62" s="269">
        <v>44469</v>
      </c>
      <c r="D62" s="268">
        <f t="shared" si="6"/>
        <v>15</v>
      </c>
      <c r="E62" s="270">
        <v>0.08</v>
      </c>
      <c r="F62" s="271">
        <v>1270838</v>
      </c>
      <c r="G62" s="280">
        <f>F62*E62/365*D62</f>
        <v>4178.0975342465754</v>
      </c>
    </row>
    <row r="63" spans="2:7">
      <c r="B63" s="269">
        <v>44469</v>
      </c>
      <c r="C63" s="269">
        <v>44561</v>
      </c>
      <c r="D63" s="268">
        <f t="shared" si="6"/>
        <v>92</v>
      </c>
      <c r="E63" s="270">
        <v>0.08</v>
      </c>
      <c r="F63" s="271">
        <v>1274598</v>
      </c>
      <c r="G63" s="280">
        <f>F63*E63/365*D63</f>
        <v>25701.482958904111</v>
      </c>
    </row>
    <row r="64" spans="2:7">
      <c r="B64" s="269">
        <v>44561</v>
      </c>
      <c r="C64" s="269">
        <v>44651</v>
      </c>
      <c r="D64" s="268">
        <f t="shared" si="6"/>
        <v>90</v>
      </c>
      <c r="E64" s="270">
        <v>0.08</v>
      </c>
      <c r="F64" s="271">
        <v>1297729</v>
      </c>
      <c r="G64" s="280">
        <f>F64*E64/365*D64</f>
        <v>25599.037808219178</v>
      </c>
    </row>
    <row r="65" spans="2:7">
      <c r="B65" s="267" t="s">
        <v>1249</v>
      </c>
      <c r="C65" s="267"/>
      <c r="D65" s="267"/>
      <c r="E65" s="267"/>
      <c r="F65" s="273"/>
      <c r="G65" s="273">
        <f>SUM(G60:G64)</f>
        <v>99157.054904109595</v>
      </c>
    </row>
    <row r="66" spans="2:7">
      <c r="F66" s="274"/>
      <c r="G66" s="274"/>
    </row>
    <row r="68" spans="2:7">
      <c r="B68" s="281" t="s">
        <v>1696</v>
      </c>
      <c r="C68" s="281"/>
    </row>
    <row r="70" spans="2:7">
      <c r="B70" s="267" t="s">
        <v>1689</v>
      </c>
      <c r="C70" s="267" t="s">
        <v>1689</v>
      </c>
      <c r="D70" s="267" t="s">
        <v>1690</v>
      </c>
      <c r="E70" s="267" t="s">
        <v>1691</v>
      </c>
      <c r="F70" s="267" t="s">
        <v>1680</v>
      </c>
      <c r="G70" s="267" t="s">
        <v>1692</v>
      </c>
    </row>
    <row r="71" spans="2:7">
      <c r="B71" s="269">
        <v>44287</v>
      </c>
      <c r="C71" s="269">
        <v>44377</v>
      </c>
      <c r="D71" s="268">
        <f>C71-B71+1</f>
        <v>91</v>
      </c>
      <c r="E71" s="270">
        <v>0.08</v>
      </c>
      <c r="F71" s="271">
        <v>3529583</v>
      </c>
      <c r="G71" s="280">
        <f>F71*E71/365*D71</f>
        <v>70398.258191780827</v>
      </c>
    </row>
    <row r="72" spans="2:7">
      <c r="B72" s="269">
        <v>44377</v>
      </c>
      <c r="C72" s="269">
        <v>44469</v>
      </c>
      <c r="D72" s="268">
        <f t="shared" ref="D72:D74" si="7">C72-B72</f>
        <v>92</v>
      </c>
      <c r="E72" s="270">
        <v>0.08</v>
      </c>
      <c r="F72" s="271">
        <v>3592941</v>
      </c>
      <c r="G72" s="280">
        <f>F72*E72/365*D72</f>
        <v>72449.440438356178</v>
      </c>
    </row>
    <row r="73" spans="2:7">
      <c r="B73" s="269">
        <v>44469</v>
      </c>
      <c r="C73" s="269">
        <v>44561</v>
      </c>
      <c r="D73" s="268">
        <f t="shared" si="7"/>
        <v>92</v>
      </c>
      <c r="E73" s="270">
        <v>0.08</v>
      </c>
      <c r="F73" s="271">
        <v>3658145</v>
      </c>
      <c r="G73" s="280">
        <f>F73*E73/365*D73</f>
        <v>73764.238904109603</v>
      </c>
    </row>
    <row r="74" spans="2:7">
      <c r="B74" s="269">
        <v>44561</v>
      </c>
      <c r="C74" s="269">
        <v>44651</v>
      </c>
      <c r="D74" s="268">
        <f t="shared" si="7"/>
        <v>90</v>
      </c>
      <c r="E74" s="270">
        <v>0.08</v>
      </c>
      <c r="F74" s="271">
        <v>3724533</v>
      </c>
      <c r="G74" s="280">
        <f>F74*E74/365*D74</f>
        <v>73470.240000000005</v>
      </c>
    </row>
    <row r="75" spans="2:7">
      <c r="B75" s="267" t="s">
        <v>1249</v>
      </c>
      <c r="C75" s="267"/>
      <c r="D75" s="267"/>
      <c r="E75" s="267"/>
      <c r="F75" s="273"/>
      <c r="G75" s="273">
        <f>SUM(G71:G74)</f>
        <v>290082.17753424664</v>
      </c>
    </row>
    <row r="77" spans="2:7">
      <c r="F77" s="274"/>
      <c r="G77" s="274"/>
    </row>
    <row r="78" spans="2:7">
      <c r="B78" s="2410" t="s">
        <v>1697</v>
      </c>
      <c r="C78" s="2410"/>
    </row>
    <row r="80" spans="2:7">
      <c r="B80" s="267" t="s">
        <v>1689</v>
      </c>
      <c r="C80" s="267" t="s">
        <v>1689</v>
      </c>
      <c r="D80" s="267" t="s">
        <v>1690</v>
      </c>
      <c r="E80" s="267" t="s">
        <v>1691</v>
      </c>
      <c r="F80" s="267" t="s">
        <v>1680</v>
      </c>
      <c r="G80" s="267" t="s">
        <v>1692</v>
      </c>
    </row>
    <row r="81" spans="2:8">
      <c r="B81" s="268"/>
      <c r="C81" s="268"/>
      <c r="D81" s="268"/>
      <c r="E81" s="268"/>
      <c r="F81" s="268"/>
      <c r="G81" s="268"/>
    </row>
    <row r="82" spans="2:8">
      <c r="B82" s="269">
        <v>44287</v>
      </c>
      <c r="C82" s="269">
        <v>44377</v>
      </c>
      <c r="D82" s="268">
        <f>1+C82-B82</f>
        <v>91</v>
      </c>
      <c r="E82" s="270">
        <v>0.08</v>
      </c>
      <c r="F82" s="271">
        <v>941222</v>
      </c>
      <c r="G82" s="278">
        <f t="shared" ref="G82:G88" si="8">ROUND(F82*E82/365*D82,0)</f>
        <v>18773</v>
      </c>
    </row>
    <row r="83" spans="2:8">
      <c r="B83" s="269">
        <v>44377</v>
      </c>
      <c r="C83" s="269">
        <v>44454</v>
      </c>
      <c r="D83" s="268">
        <f>+C83-B83</f>
        <v>77</v>
      </c>
      <c r="E83" s="270">
        <v>0.08</v>
      </c>
      <c r="F83" s="271">
        <v>958118</v>
      </c>
      <c r="G83" s="278">
        <f t="shared" si="8"/>
        <v>16170</v>
      </c>
    </row>
    <row r="84" spans="2:8">
      <c r="B84" s="282">
        <v>44454</v>
      </c>
      <c r="C84" s="282">
        <v>44455</v>
      </c>
      <c r="D84" s="283">
        <f>+C84-B84</f>
        <v>1</v>
      </c>
      <c r="E84" s="284">
        <v>0.08</v>
      </c>
      <c r="F84" s="285">
        <v>972671</v>
      </c>
      <c r="G84" s="286">
        <f t="shared" si="8"/>
        <v>213</v>
      </c>
      <c r="H84" s="287">
        <v>257</v>
      </c>
    </row>
    <row r="85" spans="2:8">
      <c r="B85" s="269">
        <v>44455</v>
      </c>
      <c r="C85" s="269">
        <v>44462</v>
      </c>
      <c r="D85" s="268">
        <f t="shared" ref="D85:D88" si="9">+C85-B85</f>
        <v>7</v>
      </c>
      <c r="E85" s="270">
        <v>0.08</v>
      </c>
      <c r="F85" s="271">
        <v>972902</v>
      </c>
      <c r="G85" s="278">
        <f t="shared" si="8"/>
        <v>1493</v>
      </c>
    </row>
    <row r="86" spans="2:8">
      <c r="B86" s="269">
        <v>44462</v>
      </c>
      <c r="C86" s="269">
        <v>44469</v>
      </c>
      <c r="D86" s="268">
        <f t="shared" si="9"/>
        <v>7</v>
      </c>
      <c r="E86" s="270">
        <v>0.08</v>
      </c>
      <c r="F86" s="271">
        <v>1174246</v>
      </c>
      <c r="G86" s="278">
        <f t="shared" si="8"/>
        <v>1802</v>
      </c>
    </row>
    <row r="87" spans="2:8">
      <c r="B87" s="269">
        <v>44469</v>
      </c>
      <c r="C87" s="269">
        <v>44561</v>
      </c>
      <c r="D87" s="268">
        <f t="shared" si="9"/>
        <v>92</v>
      </c>
      <c r="E87" s="270">
        <v>0.08</v>
      </c>
      <c r="F87" s="271">
        <v>1175868</v>
      </c>
      <c r="G87" s="278">
        <f t="shared" si="8"/>
        <v>23711</v>
      </c>
    </row>
    <row r="88" spans="2:8">
      <c r="B88" s="269">
        <v>44561</v>
      </c>
      <c r="C88" s="269">
        <v>44651</v>
      </c>
      <c r="D88" s="268">
        <f t="shared" si="9"/>
        <v>90</v>
      </c>
      <c r="E88" s="270">
        <v>0.08</v>
      </c>
      <c r="F88" s="271">
        <v>1197208</v>
      </c>
      <c r="G88" s="278">
        <f t="shared" si="8"/>
        <v>23616</v>
      </c>
    </row>
    <row r="89" spans="2:8">
      <c r="B89" s="267" t="s">
        <v>1249</v>
      </c>
      <c r="C89" s="267"/>
      <c r="D89" s="267"/>
      <c r="E89" s="267"/>
      <c r="F89" s="273">
        <v>0</v>
      </c>
      <c r="G89" s="279">
        <f>SUM(G82:G88)</f>
        <v>85778</v>
      </c>
    </row>
    <row r="90" spans="2:8">
      <c r="F90" s="274"/>
      <c r="G90" s="274"/>
    </row>
    <row r="92" spans="2:8">
      <c r="B92" s="2410" t="s">
        <v>1698</v>
      </c>
      <c r="C92" s="2410"/>
    </row>
    <row r="94" spans="2:8">
      <c r="B94" s="267" t="s">
        <v>1689</v>
      </c>
      <c r="C94" s="267" t="s">
        <v>1689</v>
      </c>
      <c r="D94" s="267" t="s">
        <v>1690</v>
      </c>
      <c r="E94" s="267" t="s">
        <v>1691</v>
      </c>
      <c r="F94" s="267" t="s">
        <v>1680</v>
      </c>
      <c r="G94" s="267" t="s">
        <v>1692</v>
      </c>
    </row>
    <row r="95" spans="2:8">
      <c r="B95" s="269">
        <v>44287</v>
      </c>
      <c r="C95" s="269">
        <v>44377</v>
      </c>
      <c r="D95" s="268">
        <f>C95-B95+1</f>
        <v>91</v>
      </c>
      <c r="E95" s="270">
        <v>0.08</v>
      </c>
      <c r="F95" s="271">
        <v>1764791</v>
      </c>
      <c r="G95" s="280">
        <f>F95*E95/365*D95</f>
        <v>35199.119123287674</v>
      </c>
    </row>
    <row r="96" spans="2:8">
      <c r="B96" s="269">
        <v>44377</v>
      </c>
      <c r="C96" s="269">
        <v>44469</v>
      </c>
      <c r="D96" s="268">
        <f t="shared" ref="D96:D98" si="10">C96-B96</f>
        <v>92</v>
      </c>
      <c r="E96" s="270">
        <v>0.08</v>
      </c>
      <c r="F96" s="271">
        <v>1796470</v>
      </c>
      <c r="G96" s="280">
        <f>F96*E96/365*D96</f>
        <v>36224.710136986301</v>
      </c>
    </row>
    <row r="97" spans="2:7">
      <c r="B97" s="269">
        <v>44469</v>
      </c>
      <c r="C97" s="269">
        <v>44561</v>
      </c>
      <c r="D97" s="268">
        <f t="shared" si="10"/>
        <v>92</v>
      </c>
      <c r="E97" s="270">
        <v>0.08</v>
      </c>
      <c r="F97" s="271">
        <v>1829073</v>
      </c>
      <c r="G97" s="280">
        <f>F97*E97/365*D97</f>
        <v>36882.129534246575</v>
      </c>
    </row>
    <row r="98" spans="2:7">
      <c r="B98" s="269">
        <v>44561</v>
      </c>
      <c r="C98" s="269">
        <v>44651</v>
      </c>
      <c r="D98" s="268">
        <f t="shared" si="10"/>
        <v>90</v>
      </c>
      <c r="E98" s="270">
        <v>0.08</v>
      </c>
      <c r="F98" s="271">
        <v>1862267</v>
      </c>
      <c r="G98" s="280">
        <f>F98*E98/365*D98</f>
        <v>36735.129863013703</v>
      </c>
    </row>
    <row r="99" spans="2:7">
      <c r="B99" s="267" t="s">
        <v>1249</v>
      </c>
      <c r="C99" s="267"/>
      <c r="D99" s="267"/>
      <c r="E99" s="267"/>
      <c r="F99" s="273"/>
      <c r="G99" s="273">
        <f>SUM(G95:G98)</f>
        <v>145041.08865753427</v>
      </c>
    </row>
    <row r="101" spans="2:7">
      <c r="B101" s="2410" t="s">
        <v>1699</v>
      </c>
      <c r="C101" s="2410"/>
    </row>
    <row r="103" spans="2:7">
      <c r="B103" s="267" t="s">
        <v>1689</v>
      </c>
      <c r="C103" s="267" t="s">
        <v>1689</v>
      </c>
      <c r="D103" s="267" t="s">
        <v>1690</v>
      </c>
      <c r="E103" s="267" t="s">
        <v>1691</v>
      </c>
      <c r="F103" s="267" t="s">
        <v>1680</v>
      </c>
      <c r="G103" s="267" t="s">
        <v>1692</v>
      </c>
    </row>
    <row r="104" spans="2:7">
      <c r="B104" s="269">
        <v>44287</v>
      </c>
      <c r="C104" s="269">
        <v>44377</v>
      </c>
      <c r="D104" s="268">
        <f>C104-B104+1</f>
        <v>91</v>
      </c>
      <c r="E104" s="270">
        <v>0.08</v>
      </c>
      <c r="F104" s="271">
        <v>1882446</v>
      </c>
      <c r="G104" s="280">
        <f>F104*E104/365*D104</f>
        <v>37545.772273972601</v>
      </c>
    </row>
    <row r="105" spans="2:7">
      <c r="B105" s="269">
        <v>44377</v>
      </c>
      <c r="C105" s="269">
        <v>44398</v>
      </c>
      <c r="D105" s="268">
        <f t="shared" ref="D105:D108" si="11">C105-B105</f>
        <v>21</v>
      </c>
      <c r="E105" s="270">
        <v>0.08</v>
      </c>
      <c r="F105" s="271">
        <v>1916237</v>
      </c>
      <c r="G105" s="280">
        <f>F105*E105/365*D105</f>
        <v>8819.9401643835627</v>
      </c>
    </row>
    <row r="106" spans="2:7">
      <c r="B106" s="269">
        <v>44398</v>
      </c>
      <c r="C106" s="269">
        <v>44469</v>
      </c>
      <c r="D106" s="268">
        <f t="shared" si="11"/>
        <v>71</v>
      </c>
      <c r="E106" s="270">
        <v>0.08</v>
      </c>
      <c r="F106" s="271">
        <v>2924175</v>
      </c>
      <c r="G106" s="280">
        <f>F106*E106/365*D106</f>
        <v>45504.969863013699</v>
      </c>
    </row>
    <row r="107" spans="2:7">
      <c r="B107" s="269">
        <v>44469</v>
      </c>
      <c r="C107" s="269">
        <v>44561</v>
      </c>
      <c r="D107" s="268">
        <f t="shared" si="11"/>
        <v>92</v>
      </c>
      <c r="E107" s="270">
        <v>0.08</v>
      </c>
      <c r="F107" s="271">
        <v>2965130</v>
      </c>
      <c r="G107" s="280">
        <f>F107*E107/365*D107</f>
        <v>59790.01863013699</v>
      </c>
    </row>
    <row r="108" spans="2:7">
      <c r="B108" s="269">
        <v>44561</v>
      </c>
      <c r="C108" s="269">
        <v>44651</v>
      </c>
      <c r="D108" s="268">
        <f t="shared" si="11"/>
        <v>90</v>
      </c>
      <c r="E108" s="270">
        <v>0.08</v>
      </c>
      <c r="F108" s="271">
        <v>3018941</v>
      </c>
      <c r="G108" s="280">
        <f>F108*E108/365*D108</f>
        <v>59551.712876712336</v>
      </c>
    </row>
    <row r="109" spans="2:7">
      <c r="B109" s="267" t="s">
        <v>1249</v>
      </c>
      <c r="C109" s="267"/>
      <c r="D109" s="267"/>
      <c r="E109" s="267"/>
      <c r="F109" s="273"/>
      <c r="G109" s="273">
        <f>SUM(G104:G108)</f>
        <v>211212.41380821919</v>
      </c>
    </row>
    <row r="113" spans="2:7" ht="19.5">
      <c r="B113" s="2411" t="s">
        <v>1700</v>
      </c>
      <c r="C113" s="2411"/>
      <c r="D113" s="2411"/>
      <c r="E113" s="2411"/>
      <c r="F113" s="2412"/>
      <c r="G113" s="288">
        <f>+G109+G99+G89+G75+G65+G54+G43+G33+G24+G12</f>
        <v>1795659.1388493152</v>
      </c>
    </row>
    <row r="115" spans="2:7" ht="19.5">
      <c r="B115" s="289" t="s">
        <v>1701</v>
      </c>
      <c r="C115" s="289"/>
      <c r="D115" s="289"/>
      <c r="E115" s="289"/>
      <c r="F115" s="289"/>
      <c r="G115" s="289">
        <f>+GETPIVOTDATA("Sum of Dr. Final 21-22",Pivot!$A$3,"PARTICULARS","Interest To Others","Note",26,"BS Main Head","Finance Costs","BS Sub Head","Interest Expenses")</f>
        <v>1795701</v>
      </c>
    </row>
    <row r="116" spans="2:7" ht="19.5">
      <c r="B116" s="289"/>
      <c r="C116" s="289"/>
      <c r="D116" s="289"/>
      <c r="E116" s="289"/>
      <c r="F116" s="289"/>
      <c r="G116" s="290"/>
    </row>
    <row r="117" spans="2:7" ht="19.5">
      <c r="B117" s="291" t="s">
        <v>1702</v>
      </c>
      <c r="C117" s="291"/>
      <c r="D117" s="291"/>
      <c r="E117" s="291"/>
      <c r="F117" s="291"/>
      <c r="G117" s="292">
        <f>+G113-G115</f>
        <v>-41.861150684766471</v>
      </c>
    </row>
  </sheetData>
  <mergeCells count="10">
    <mergeCell ref="B78:C78"/>
    <mergeCell ref="B92:C92"/>
    <mergeCell ref="B101:C101"/>
    <mergeCell ref="B113:F113"/>
    <mergeCell ref="B2:C2"/>
    <mergeCell ref="B14:C14"/>
    <mergeCell ref="B26:C26"/>
    <mergeCell ref="B35:C35"/>
    <mergeCell ref="B45:C45"/>
    <mergeCell ref="B57:C57"/>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3:D30"/>
  <sheetViews>
    <sheetView topLeftCell="A15" workbookViewId="0">
      <selection activeCell="B18" sqref="B18"/>
    </sheetView>
  </sheetViews>
  <sheetFormatPr defaultRowHeight="15"/>
  <cols>
    <col min="1" max="1" width="8.85546875" style="219"/>
    <col min="2" max="2" width="102" style="14" customWidth="1"/>
    <col min="3" max="3" width="16.28515625" style="14" customWidth="1"/>
    <col min="4" max="4" width="12.28515625" style="2" bestFit="1" customWidth="1"/>
  </cols>
  <sheetData>
    <row r="3" spans="1:4">
      <c r="B3" s="14" t="s">
        <v>1627</v>
      </c>
    </row>
    <row r="5" spans="1:4">
      <c r="B5" s="220" t="s">
        <v>9</v>
      </c>
      <c r="C5" s="220" t="s">
        <v>1652</v>
      </c>
      <c r="D5" s="221" t="s">
        <v>1628</v>
      </c>
    </row>
    <row r="7" spans="1:4">
      <c r="B7" s="14" t="s">
        <v>1629</v>
      </c>
      <c r="D7" s="2">
        <f>+BSPL!H93</f>
        <v>3085726.7607851028</v>
      </c>
    </row>
    <row r="9" spans="1:4">
      <c r="B9" s="218" t="s">
        <v>1631</v>
      </c>
      <c r="C9" s="218"/>
    </row>
    <row r="10" spans="1:4" ht="30">
      <c r="A10" s="219">
        <v>1</v>
      </c>
      <c r="B10" s="14" t="s">
        <v>1630</v>
      </c>
      <c r="C10" s="222" t="s">
        <v>1653</v>
      </c>
    </row>
    <row r="11" spans="1:4" ht="45">
      <c r="A11" s="219">
        <v>2</v>
      </c>
      <c r="B11" s="14" t="s">
        <v>1633</v>
      </c>
    </row>
    <row r="12" spans="1:4">
      <c r="B12" s="218" t="s">
        <v>1634</v>
      </c>
      <c r="C12" s="218"/>
    </row>
    <row r="13" spans="1:4">
      <c r="A13" s="219">
        <v>1</v>
      </c>
      <c r="B13" s="14" t="s">
        <v>1632</v>
      </c>
    </row>
    <row r="14" spans="1:4">
      <c r="A14" s="219">
        <v>2</v>
      </c>
      <c r="B14" s="14" t="s">
        <v>1635</v>
      </c>
    </row>
    <row r="15" spans="1:4" ht="30">
      <c r="A15" s="219">
        <v>3</v>
      </c>
      <c r="B15" s="14" t="s">
        <v>1636</v>
      </c>
    </row>
    <row r="16" spans="1:4" ht="45">
      <c r="A16" s="219">
        <v>4</v>
      </c>
      <c r="B16" s="217" t="s">
        <v>1637</v>
      </c>
      <c r="C16" s="217"/>
    </row>
    <row r="17" spans="1:2" ht="30">
      <c r="A17" s="219">
        <v>5</v>
      </c>
      <c r="B17" s="14" t="s">
        <v>1638</v>
      </c>
    </row>
    <row r="18" spans="1:2">
      <c r="A18" s="219">
        <v>6</v>
      </c>
      <c r="B18" s="14" t="s">
        <v>1639</v>
      </c>
    </row>
    <row r="19" spans="1:2">
      <c r="A19" s="219">
        <v>7</v>
      </c>
      <c r="B19" s="14" t="s">
        <v>1640</v>
      </c>
    </row>
    <row r="20" spans="1:2" ht="30">
      <c r="A20" s="219">
        <v>8</v>
      </c>
      <c r="B20" s="14" t="s">
        <v>1641</v>
      </c>
    </row>
    <row r="21" spans="1:2">
      <c r="A21" s="219">
        <v>9</v>
      </c>
      <c r="B21" s="14" t="s">
        <v>1642</v>
      </c>
    </row>
    <row r="22" spans="1:2" ht="30">
      <c r="A22" s="219">
        <v>10</v>
      </c>
      <c r="B22" s="14" t="s">
        <v>1643</v>
      </c>
    </row>
    <row r="23" spans="1:2">
      <c r="A23" s="219">
        <v>11</v>
      </c>
      <c r="B23" s="14" t="s">
        <v>1644</v>
      </c>
    </row>
    <row r="24" spans="1:2" ht="30">
      <c r="A24" s="219">
        <v>12</v>
      </c>
      <c r="B24" s="14" t="s">
        <v>1645</v>
      </c>
    </row>
    <row r="25" spans="1:2">
      <c r="A25" s="219">
        <v>13</v>
      </c>
      <c r="B25" s="14" t="s">
        <v>1646</v>
      </c>
    </row>
    <row r="26" spans="1:2">
      <c r="A26" s="219">
        <v>14</v>
      </c>
      <c r="B26" s="14" t="s">
        <v>1647</v>
      </c>
    </row>
    <row r="27" spans="1:2" ht="60">
      <c r="A27" s="219">
        <v>15</v>
      </c>
      <c r="B27" s="14" t="s">
        <v>1648</v>
      </c>
    </row>
    <row r="28" spans="1:2" ht="18.600000000000001" customHeight="1">
      <c r="A28" s="219">
        <v>16</v>
      </c>
      <c r="B28" s="14" t="s">
        <v>1649</v>
      </c>
    </row>
    <row r="29" spans="1:2">
      <c r="A29" s="219">
        <v>17</v>
      </c>
      <c r="B29" s="14" t="s">
        <v>1650</v>
      </c>
    </row>
    <row r="30" spans="1:2">
      <c r="A30" s="219">
        <v>18</v>
      </c>
      <c r="B30" s="14" t="s">
        <v>1651</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3:I20"/>
  <sheetViews>
    <sheetView workbookViewId="0">
      <selection activeCell="I9" sqref="I9"/>
    </sheetView>
  </sheetViews>
  <sheetFormatPr defaultRowHeight="15"/>
  <cols>
    <col min="2" max="2" width="7.5703125" bestFit="1" customWidth="1"/>
    <col min="3" max="3" width="12.5703125" style="2" bestFit="1" customWidth="1"/>
    <col min="4" max="4" width="14.28515625" style="2" bestFit="1" customWidth="1"/>
    <col min="5" max="5" width="11.5703125" style="2" bestFit="1" customWidth="1"/>
    <col min="6" max="6" width="11.7109375" style="2" bestFit="1" customWidth="1"/>
    <col min="7" max="7" width="12.5703125" style="2" bestFit="1" customWidth="1"/>
    <col min="9" max="9" width="10.5703125" bestFit="1" customWidth="1"/>
  </cols>
  <sheetData>
    <row r="3" spans="2:9" s="220" customFormat="1" ht="45">
      <c r="B3" s="223" t="s">
        <v>1654</v>
      </c>
      <c r="C3" s="224" t="s">
        <v>1655</v>
      </c>
      <c r="D3" s="224" t="s">
        <v>1656</v>
      </c>
      <c r="E3" s="224" t="s">
        <v>1657</v>
      </c>
      <c r="F3" s="224" t="s">
        <v>1658</v>
      </c>
      <c r="G3" s="224" t="s">
        <v>1249</v>
      </c>
      <c r="H3" s="223" t="s">
        <v>1659</v>
      </c>
    </row>
    <row r="4" spans="2:9">
      <c r="B4" s="225">
        <v>44287</v>
      </c>
      <c r="C4" s="226">
        <v>140000</v>
      </c>
      <c r="D4" s="226">
        <v>60000</v>
      </c>
      <c r="E4" s="226">
        <v>60000</v>
      </c>
      <c r="F4" s="226">
        <v>60000</v>
      </c>
      <c r="G4" s="226">
        <f>+SUM(C4:F4)</f>
        <v>320000</v>
      </c>
      <c r="H4" s="225">
        <v>44287</v>
      </c>
    </row>
    <row r="5" spans="2:9">
      <c r="B5" s="225">
        <v>44317</v>
      </c>
      <c r="C5" s="226">
        <v>140000</v>
      </c>
      <c r="D5" s="226">
        <v>60000</v>
      </c>
      <c r="E5" s="226">
        <v>60000</v>
      </c>
      <c r="F5" s="226">
        <v>60000</v>
      </c>
      <c r="G5" s="226">
        <f t="shared" ref="G5:G17" si="0">+SUM(C5:F5)</f>
        <v>320000</v>
      </c>
      <c r="H5" s="225">
        <v>44317</v>
      </c>
    </row>
    <row r="6" spans="2:9">
      <c r="B6" s="225">
        <v>44348</v>
      </c>
      <c r="C6" s="226">
        <v>160000</v>
      </c>
      <c r="D6" s="226">
        <v>80000</v>
      </c>
      <c r="E6" s="226">
        <v>60000</v>
      </c>
      <c r="F6" s="226">
        <v>80000</v>
      </c>
      <c r="G6" s="226">
        <f t="shared" si="0"/>
        <v>380000</v>
      </c>
      <c r="H6" s="225">
        <v>44348</v>
      </c>
    </row>
    <row r="7" spans="2:9">
      <c r="B7" s="225">
        <v>44287</v>
      </c>
      <c r="C7" s="226">
        <v>20000</v>
      </c>
      <c r="D7" s="226">
        <v>20000</v>
      </c>
      <c r="E7" s="226">
        <v>0</v>
      </c>
      <c r="F7" s="226">
        <v>20000</v>
      </c>
      <c r="G7" s="226">
        <f>+SUM(C7:F7)</f>
        <v>60000</v>
      </c>
      <c r="H7" s="225">
        <v>44348</v>
      </c>
    </row>
    <row r="8" spans="2:9">
      <c r="B8" s="225">
        <v>44317</v>
      </c>
      <c r="C8" s="226">
        <v>20000</v>
      </c>
      <c r="D8" s="226">
        <v>20000</v>
      </c>
      <c r="E8" s="226">
        <v>0</v>
      </c>
      <c r="F8" s="226">
        <v>20000</v>
      </c>
      <c r="G8" s="226">
        <f>+SUM(C8:F8)</f>
        <v>60000</v>
      </c>
      <c r="H8" s="225">
        <v>44348</v>
      </c>
    </row>
    <row r="9" spans="2:9">
      <c r="B9" s="225">
        <v>44378</v>
      </c>
      <c r="C9" s="226">
        <v>160000</v>
      </c>
      <c r="D9" s="226">
        <v>80000</v>
      </c>
      <c r="E9" s="226">
        <f>+ROUND(80000*0.193548387096774,0)</f>
        <v>15484</v>
      </c>
      <c r="F9" s="226">
        <v>80000</v>
      </c>
      <c r="G9" s="226">
        <f t="shared" si="0"/>
        <v>335484</v>
      </c>
      <c r="H9" s="225">
        <v>44378</v>
      </c>
      <c r="I9" s="1523"/>
    </row>
    <row r="10" spans="2:9">
      <c r="B10" s="225">
        <v>44409</v>
      </c>
      <c r="C10" s="226">
        <v>160000</v>
      </c>
      <c r="D10" s="226">
        <v>80000</v>
      </c>
      <c r="E10" s="226">
        <v>80000</v>
      </c>
      <c r="F10" s="226">
        <v>80000</v>
      </c>
      <c r="G10" s="226">
        <f t="shared" si="0"/>
        <v>400000</v>
      </c>
      <c r="H10" s="225">
        <v>44409</v>
      </c>
    </row>
    <row r="11" spans="2:9">
      <c r="B11" s="225">
        <v>44440</v>
      </c>
      <c r="C11" s="226">
        <v>160000</v>
      </c>
      <c r="D11" s="226">
        <v>80000</v>
      </c>
      <c r="E11" s="226">
        <v>80000</v>
      </c>
      <c r="F11" s="226">
        <v>80000</v>
      </c>
      <c r="G11" s="226">
        <f t="shared" si="0"/>
        <v>400000</v>
      </c>
      <c r="H11" s="225">
        <v>44440</v>
      </c>
    </row>
    <row r="12" spans="2:9">
      <c r="B12" s="225">
        <v>44470</v>
      </c>
      <c r="C12" s="226">
        <v>160000</v>
      </c>
      <c r="D12" s="226">
        <v>80000</v>
      </c>
      <c r="E12" s="226">
        <v>80000</v>
      </c>
      <c r="F12" s="226">
        <v>80000</v>
      </c>
      <c r="G12" s="226">
        <f t="shared" si="0"/>
        <v>400000</v>
      </c>
      <c r="H12" s="225">
        <v>44470</v>
      </c>
    </row>
    <row r="13" spans="2:9">
      <c r="B13" s="225">
        <v>44501</v>
      </c>
      <c r="C13" s="226">
        <v>160000</v>
      </c>
      <c r="D13" s="226">
        <v>80000</v>
      </c>
      <c r="E13" s="226">
        <v>80000</v>
      </c>
      <c r="F13" s="226">
        <v>80000</v>
      </c>
      <c r="G13" s="226">
        <f t="shared" si="0"/>
        <v>400000</v>
      </c>
      <c r="H13" s="225">
        <v>44501</v>
      </c>
    </row>
    <row r="14" spans="2:9">
      <c r="B14" s="225">
        <v>44531</v>
      </c>
      <c r="C14" s="226">
        <v>160000</v>
      </c>
      <c r="D14" s="226">
        <v>80000</v>
      </c>
      <c r="E14" s="226">
        <v>80000</v>
      </c>
      <c r="F14" s="226">
        <v>80000</v>
      </c>
      <c r="G14" s="226">
        <f t="shared" si="0"/>
        <v>400000</v>
      </c>
      <c r="H14" s="225">
        <v>44531</v>
      </c>
    </row>
    <row r="15" spans="2:9">
      <c r="B15" s="225">
        <v>44562</v>
      </c>
      <c r="C15" s="226">
        <v>160000</v>
      </c>
      <c r="D15" s="226">
        <v>80000</v>
      </c>
      <c r="E15" s="226">
        <v>80000</v>
      </c>
      <c r="F15" s="226">
        <v>80000</v>
      </c>
      <c r="G15" s="226">
        <f t="shared" si="0"/>
        <v>400000</v>
      </c>
      <c r="H15" s="225">
        <v>44562</v>
      </c>
    </row>
    <row r="16" spans="2:9">
      <c r="B16" s="225">
        <v>44593</v>
      </c>
      <c r="C16" s="226">
        <v>160000</v>
      </c>
      <c r="D16" s="226">
        <v>80000</v>
      </c>
      <c r="E16" s="226">
        <v>80000</v>
      </c>
      <c r="F16" s="226">
        <v>80000</v>
      </c>
      <c r="G16" s="226">
        <f t="shared" si="0"/>
        <v>400000</v>
      </c>
      <c r="H16" s="225">
        <v>44593</v>
      </c>
    </row>
    <row r="17" spans="2:8">
      <c r="B17" s="225">
        <v>44621</v>
      </c>
      <c r="C17" s="226">
        <v>160000</v>
      </c>
      <c r="D17" s="226">
        <v>80000</v>
      </c>
      <c r="E17" s="226">
        <v>80000</v>
      </c>
      <c r="F17" s="226">
        <v>80000</v>
      </c>
      <c r="G17" s="226">
        <f t="shared" si="0"/>
        <v>400000</v>
      </c>
      <c r="H17" s="225">
        <v>44621</v>
      </c>
    </row>
    <row r="18" spans="2:8">
      <c r="B18" s="227" t="s">
        <v>1249</v>
      </c>
      <c r="C18" s="228">
        <f>+SUM(C4:C17)</f>
        <v>1920000</v>
      </c>
      <c r="D18" s="228">
        <f>+SUM(D4:D17)</f>
        <v>960000</v>
      </c>
      <c r="E18" s="228">
        <f>+SUM(E4:E17)</f>
        <v>835484</v>
      </c>
      <c r="F18" s="228">
        <f>+SUM(F4:F17)</f>
        <v>960000</v>
      </c>
      <c r="G18" s="228">
        <f>+SUM(G4:G17)</f>
        <v>4675484</v>
      </c>
      <c r="H18" s="229"/>
    </row>
    <row r="19" spans="2:8">
      <c r="E19" s="2">
        <v>883871</v>
      </c>
      <c r="G19" s="2">
        <f>4763871-40000</f>
        <v>4723871</v>
      </c>
    </row>
    <row r="20" spans="2:8">
      <c r="E20" s="2">
        <f>+E19-E18</f>
        <v>48387</v>
      </c>
      <c r="G20" s="2">
        <f>+G18-G19</f>
        <v>-48387</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D4:F7"/>
  <sheetViews>
    <sheetView workbookViewId="0">
      <selection activeCell="D8" sqref="D8"/>
    </sheetView>
  </sheetViews>
  <sheetFormatPr defaultRowHeight="15"/>
  <cols>
    <col min="4" max="4" width="28.7109375" bestFit="1" customWidth="1"/>
    <col min="5" max="5" width="11.28515625" style="2" bestFit="1" customWidth="1"/>
  </cols>
  <sheetData>
    <row r="4" spans="4:6">
      <c r="D4" t="s">
        <v>1660</v>
      </c>
    </row>
    <row r="5" spans="4:6">
      <c r="D5" t="s">
        <v>1662</v>
      </c>
      <c r="E5" s="2">
        <v>896</v>
      </c>
      <c r="F5" t="s">
        <v>1661</v>
      </c>
    </row>
    <row r="6" spans="4:6">
      <c r="D6" t="s">
        <v>165</v>
      </c>
      <c r="E6" s="2">
        <v>106080</v>
      </c>
    </row>
    <row r="7" spans="4:6">
      <c r="D7" t="s">
        <v>1663</v>
      </c>
      <c r="E7" s="2">
        <v>6791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811"/>
  <sheetViews>
    <sheetView topLeftCell="A3" workbookViewId="0">
      <selection activeCell="A3" sqref="A3"/>
    </sheetView>
  </sheetViews>
  <sheetFormatPr defaultColWidth="8.85546875" defaultRowHeight="15"/>
  <cols>
    <col min="1" max="1" width="51.85546875" style="2" bestFit="1" customWidth="1"/>
    <col min="2" max="2" width="7.140625" style="9" bestFit="1" customWidth="1"/>
    <col min="3" max="3" width="31.7109375" style="2" bestFit="1" customWidth="1"/>
    <col min="4" max="4" width="50.85546875" style="2" bestFit="1" customWidth="1"/>
    <col min="5" max="5" width="16.7109375" style="2" bestFit="1" customWidth="1"/>
    <col min="6" max="6" width="13.42578125" style="2" bestFit="1" customWidth="1"/>
    <col min="7" max="8" width="16.7109375" style="2" bestFit="1" customWidth="1"/>
    <col min="9" max="9" width="13.42578125" style="2" bestFit="1" customWidth="1"/>
    <col min="10" max="11" width="16.7109375" style="2" bestFit="1" customWidth="1"/>
    <col min="12" max="12" width="13.140625" style="2" bestFit="1" customWidth="1"/>
    <col min="13" max="13" width="20.7109375" style="2" bestFit="1" customWidth="1"/>
    <col min="14" max="14" width="16.7109375" style="2" bestFit="1" customWidth="1"/>
    <col min="15" max="15" width="13.140625" style="2" bestFit="1" customWidth="1"/>
    <col min="16" max="16" width="20.7109375" style="2" bestFit="1" customWidth="1"/>
    <col min="17" max="16384" width="8.85546875" style="2"/>
  </cols>
  <sheetData>
    <row r="1" spans="1:16">
      <c r="F1" s="2">
        <f>+SUM(F4:F808)</f>
        <v>0</v>
      </c>
      <c r="I1" s="2">
        <f>+SUM(I4:I808)</f>
        <v>0</v>
      </c>
    </row>
    <row r="2" spans="1:16" ht="18.75">
      <c r="A2" s="1"/>
      <c r="B2" s="7"/>
      <c r="C2" s="1"/>
      <c r="D2" s="1"/>
      <c r="E2" s="2413" t="s">
        <v>409</v>
      </c>
      <c r="F2" s="2413"/>
      <c r="G2" s="2413"/>
      <c r="H2" s="2413"/>
      <c r="I2" s="2413"/>
      <c r="J2" s="2413"/>
      <c r="K2" s="2413" t="s">
        <v>410</v>
      </c>
      <c r="L2" s="2413"/>
      <c r="M2" s="2413"/>
      <c r="N2" s="2413"/>
      <c r="O2" s="2413"/>
      <c r="P2" s="2413"/>
    </row>
    <row r="3" spans="1:16">
      <c r="A3" s="3" t="s">
        <v>402</v>
      </c>
      <c r="B3" s="8" t="s">
        <v>403</v>
      </c>
      <c r="C3" s="3" t="s">
        <v>404</v>
      </c>
      <c r="D3" s="3" t="s">
        <v>405</v>
      </c>
      <c r="E3" s="3" t="s">
        <v>406</v>
      </c>
      <c r="F3" s="3" t="s">
        <v>407</v>
      </c>
      <c r="G3" s="3" t="s">
        <v>1061</v>
      </c>
      <c r="H3" s="3" t="s">
        <v>408</v>
      </c>
      <c r="I3" s="3" t="s">
        <v>407</v>
      </c>
      <c r="J3" s="3" t="s">
        <v>1062</v>
      </c>
      <c r="K3" s="3" t="s">
        <v>414</v>
      </c>
      <c r="L3" s="3" t="s">
        <v>407</v>
      </c>
      <c r="M3" s="3" t="s">
        <v>411</v>
      </c>
      <c r="N3" s="3" t="s">
        <v>412</v>
      </c>
      <c r="O3" s="3" t="s">
        <v>407</v>
      </c>
      <c r="P3" s="3" t="s">
        <v>413</v>
      </c>
    </row>
    <row r="4" spans="1:16">
      <c r="A4" s="2" t="s">
        <v>21</v>
      </c>
      <c r="B4" s="9">
        <v>17</v>
      </c>
      <c r="C4" s="2" t="s">
        <v>415</v>
      </c>
      <c r="D4" s="2" t="s">
        <v>416</v>
      </c>
      <c r="E4" s="2">
        <f>+IFERROR(VLOOKUP(A4,'2122'!$A$12:$C$389,2,),0)</f>
        <v>0</v>
      </c>
      <c r="F4" s="2">
        <v>0</v>
      </c>
      <c r="G4" s="2">
        <f>+E4+F4</f>
        <v>0</v>
      </c>
      <c r="H4" s="2">
        <f>+IFERROR(VLOOKUP(A4,'2122'!$A$12:$C$389,3,),0)</f>
        <v>63720</v>
      </c>
      <c r="I4" s="2">
        <v>0</v>
      </c>
      <c r="J4" s="2">
        <f>+H4+I4</f>
        <v>63720</v>
      </c>
      <c r="K4" s="2">
        <v>0</v>
      </c>
      <c r="M4" s="2">
        <v>0</v>
      </c>
      <c r="N4" s="2">
        <v>156125</v>
      </c>
      <c r="P4" s="2">
        <v>156125</v>
      </c>
    </row>
    <row r="5" spans="1:16">
      <c r="A5" s="2" t="s">
        <v>417</v>
      </c>
      <c r="B5" s="9">
        <v>17</v>
      </c>
      <c r="C5" s="2" t="s">
        <v>415</v>
      </c>
      <c r="D5" s="2" t="s">
        <v>416</v>
      </c>
      <c r="E5" s="2">
        <f>+IFERROR(VLOOKUP(A5,'2122'!$A$12:$C$389,2,),0)</f>
        <v>0</v>
      </c>
      <c r="F5" s="2">
        <v>0</v>
      </c>
      <c r="G5" s="2">
        <f t="shared" ref="G5" si="0">+E5+F5</f>
        <v>0</v>
      </c>
      <c r="H5" s="2">
        <f>+IFERROR(VLOOKUP(A5,'2122'!$A$12:$C$389,3,),0)</f>
        <v>0</v>
      </c>
      <c r="I5" s="2">
        <v>0</v>
      </c>
      <c r="J5" s="2">
        <f t="shared" ref="J5" si="1">+H5+I5</f>
        <v>0</v>
      </c>
      <c r="K5" s="2">
        <v>0</v>
      </c>
      <c r="M5" s="2">
        <v>0</v>
      </c>
      <c r="N5" s="2">
        <v>247500</v>
      </c>
      <c r="P5" s="2">
        <v>247500</v>
      </c>
    </row>
    <row r="6" spans="1:16">
      <c r="A6" s="2" t="s">
        <v>418</v>
      </c>
      <c r="B6" s="9">
        <v>17</v>
      </c>
      <c r="C6" s="2" t="s">
        <v>415</v>
      </c>
      <c r="D6" s="2" t="s">
        <v>415</v>
      </c>
      <c r="E6" s="2">
        <f>+IFERROR(VLOOKUP(A6,'2122'!$A$12:$C$389,2,),0)</f>
        <v>0</v>
      </c>
      <c r="F6" s="2">
        <v>0</v>
      </c>
      <c r="G6" s="2">
        <f t="shared" ref="G6:G73" si="2">+E6+F6</f>
        <v>0</v>
      </c>
      <c r="H6" s="2">
        <f>+IFERROR(VLOOKUP(A6,'2122'!$A$12:$C$389,3,),0)</f>
        <v>0</v>
      </c>
      <c r="I6" s="2">
        <v>0</v>
      </c>
      <c r="J6" s="2">
        <f t="shared" ref="J6:J73" si="3">+H6+I6</f>
        <v>0</v>
      </c>
      <c r="K6" s="2">
        <v>0</v>
      </c>
      <c r="M6" s="2">
        <v>0</v>
      </c>
      <c r="N6" s="2">
        <v>0</v>
      </c>
      <c r="P6" s="2">
        <v>0</v>
      </c>
    </row>
    <row r="7" spans="1:16">
      <c r="A7" s="2" t="s">
        <v>419</v>
      </c>
      <c r="B7" s="9">
        <v>17</v>
      </c>
      <c r="C7" s="2" t="s">
        <v>415</v>
      </c>
      <c r="D7" s="2" t="s">
        <v>415</v>
      </c>
      <c r="E7" s="2">
        <f>+IFERROR(VLOOKUP(A7,'2122'!$A$12:$C$389,2,),0)</f>
        <v>0</v>
      </c>
      <c r="F7" s="2">
        <v>0</v>
      </c>
      <c r="G7" s="2">
        <f t="shared" si="2"/>
        <v>0</v>
      </c>
      <c r="H7" s="2">
        <f>+IFERROR(VLOOKUP(A7,'2122'!$A$12:$C$389,3,),0)</f>
        <v>0</v>
      </c>
      <c r="I7" s="2">
        <v>0</v>
      </c>
      <c r="J7" s="2">
        <f t="shared" si="3"/>
        <v>0</v>
      </c>
      <c r="K7" s="2">
        <v>0</v>
      </c>
      <c r="M7" s="2">
        <v>0</v>
      </c>
      <c r="N7" s="2">
        <v>4370857</v>
      </c>
      <c r="P7" s="2">
        <v>4370857</v>
      </c>
    </row>
    <row r="8" spans="1:16">
      <c r="A8" s="2" t="s">
        <v>383</v>
      </c>
      <c r="B8" s="9">
        <v>17</v>
      </c>
      <c r="C8" s="2" t="s">
        <v>415</v>
      </c>
      <c r="D8" s="2" t="s">
        <v>415</v>
      </c>
      <c r="E8" s="2">
        <f>+IFERROR(VLOOKUP(A8,'2122'!$A$12:$C$389,2,),0)</f>
        <v>0</v>
      </c>
      <c r="F8" s="2">
        <v>0</v>
      </c>
      <c r="G8" s="2">
        <f t="shared" si="2"/>
        <v>0</v>
      </c>
      <c r="H8" s="2">
        <f>+IFERROR(VLOOKUP(A8,'2122'!$A$12:$C$389,3,),0)</f>
        <v>377600</v>
      </c>
      <c r="I8" s="2">
        <v>0</v>
      </c>
      <c r="J8" s="2">
        <f t="shared" si="3"/>
        <v>377600</v>
      </c>
      <c r="K8" s="2">
        <v>0</v>
      </c>
      <c r="M8" s="2">
        <v>0</v>
      </c>
      <c r="N8" s="2">
        <v>377600</v>
      </c>
      <c r="P8" s="2">
        <v>377600</v>
      </c>
    </row>
    <row r="9" spans="1:16">
      <c r="A9" s="2" t="s">
        <v>420</v>
      </c>
      <c r="B9" s="9">
        <v>17</v>
      </c>
      <c r="C9" s="2" t="s">
        <v>415</v>
      </c>
      <c r="D9" s="2" t="s">
        <v>416</v>
      </c>
      <c r="E9" s="2">
        <f>+IFERROR(VLOOKUP(A9,'2122'!$A$12:$C$389,2,),0)</f>
        <v>0</v>
      </c>
      <c r="F9" s="2">
        <v>0</v>
      </c>
      <c r="G9" s="2">
        <f t="shared" si="2"/>
        <v>0</v>
      </c>
      <c r="H9" s="2">
        <f>+IFERROR(VLOOKUP(A9,'2122'!$A$12:$C$389,3,),0)</f>
        <v>0</v>
      </c>
      <c r="I9" s="2">
        <v>0</v>
      </c>
      <c r="J9" s="2">
        <f t="shared" si="3"/>
        <v>0</v>
      </c>
      <c r="K9" s="2">
        <v>20183</v>
      </c>
      <c r="M9" s="2">
        <v>20183</v>
      </c>
      <c r="N9" s="2">
        <v>0</v>
      </c>
      <c r="P9" s="2">
        <v>0</v>
      </c>
    </row>
    <row r="10" spans="1:16">
      <c r="A10" s="2" t="s">
        <v>421</v>
      </c>
      <c r="B10" s="9">
        <v>17</v>
      </c>
      <c r="C10" s="2" t="s">
        <v>415</v>
      </c>
      <c r="D10" s="2" t="s">
        <v>416</v>
      </c>
      <c r="E10" s="2">
        <f>+IFERROR(VLOOKUP(A10,'2122'!$A$12:$C$389,2,),0)</f>
        <v>0</v>
      </c>
      <c r="F10" s="2">
        <v>0</v>
      </c>
      <c r="G10" s="2">
        <f t="shared" si="2"/>
        <v>0</v>
      </c>
      <c r="H10" s="2">
        <f>+IFERROR(VLOOKUP(A10,'2122'!$A$12:$C$389,3,),0)</f>
        <v>0</v>
      </c>
      <c r="I10" s="2">
        <v>0</v>
      </c>
      <c r="J10" s="2">
        <f t="shared" si="3"/>
        <v>0</v>
      </c>
      <c r="K10" s="2">
        <v>0</v>
      </c>
      <c r="M10" s="2">
        <v>0</v>
      </c>
      <c r="N10" s="2">
        <v>25470</v>
      </c>
      <c r="P10" s="2">
        <v>25470</v>
      </c>
    </row>
    <row r="11" spans="1:16">
      <c r="A11" s="2" t="s">
        <v>1827</v>
      </c>
      <c r="B11" s="9">
        <v>17</v>
      </c>
      <c r="C11" s="2" t="s">
        <v>415</v>
      </c>
      <c r="D11" s="2" t="s">
        <v>416</v>
      </c>
      <c r="E11" s="2">
        <f>+IFERROR(VLOOKUP(A11,'2122'!$A$12:$C$389,2,),0)</f>
        <v>0</v>
      </c>
      <c r="F11" s="2">
        <v>0</v>
      </c>
      <c r="G11" s="2">
        <f t="shared" ref="G11" si="4">+E11+F11</f>
        <v>0</v>
      </c>
      <c r="H11" s="2">
        <f>+IFERROR(VLOOKUP(A11,'2122'!$A$12:$C$389,3,),0)</f>
        <v>14868</v>
      </c>
      <c r="I11" s="2">
        <v>0</v>
      </c>
      <c r="J11" s="2">
        <f t="shared" ref="J11" si="5">+H11+I11</f>
        <v>14868</v>
      </c>
      <c r="K11" s="2">
        <v>0</v>
      </c>
    </row>
    <row r="12" spans="1:16">
      <c r="A12" s="2" t="s">
        <v>422</v>
      </c>
      <c r="B12" s="9">
        <v>17</v>
      </c>
      <c r="C12" s="2" t="s">
        <v>415</v>
      </c>
      <c r="D12" s="2" t="s">
        <v>416</v>
      </c>
      <c r="E12" s="2">
        <f>+IFERROR(VLOOKUP(A12,'2122'!$A$12:$C$389,2,),0)</f>
        <v>0</v>
      </c>
      <c r="F12" s="2">
        <v>0</v>
      </c>
      <c r="G12" s="2">
        <f t="shared" si="2"/>
        <v>0</v>
      </c>
      <c r="H12" s="2">
        <f>+IFERROR(VLOOKUP(A12,'2122'!$A$12:$C$389,3,),0)</f>
        <v>0</v>
      </c>
      <c r="I12" s="2">
        <v>0</v>
      </c>
      <c r="J12" s="2">
        <f t="shared" si="3"/>
        <v>0</v>
      </c>
      <c r="K12" s="2">
        <v>0</v>
      </c>
      <c r="M12" s="2">
        <v>0</v>
      </c>
      <c r="N12" s="2">
        <v>2195</v>
      </c>
      <c r="P12" s="2">
        <v>2195</v>
      </c>
    </row>
    <row r="13" spans="1:16">
      <c r="A13" s="2" t="s">
        <v>337</v>
      </c>
      <c r="B13" s="9">
        <v>6</v>
      </c>
      <c r="C13" s="2" t="s">
        <v>1074</v>
      </c>
      <c r="D13" s="2" t="s">
        <v>423</v>
      </c>
      <c r="E13" s="2">
        <f>+IFERROR(VLOOKUP(A13,'2122'!$A$12:$C$389,2,),0)</f>
        <v>1958488</v>
      </c>
      <c r="F13" s="2">
        <v>0</v>
      </c>
      <c r="G13" s="2">
        <f t="shared" si="2"/>
        <v>1958488</v>
      </c>
      <c r="H13" s="2">
        <f>+IFERROR(VLOOKUP(A13,'2122'!$A$12:$C$389,3,),0)</f>
        <v>0</v>
      </c>
      <c r="I13" s="2">
        <v>0</v>
      </c>
      <c r="J13" s="2">
        <f t="shared" si="3"/>
        <v>0</v>
      </c>
      <c r="K13" s="2">
        <v>173031</v>
      </c>
      <c r="M13" s="2">
        <v>173031</v>
      </c>
      <c r="N13" s="2">
        <v>0</v>
      </c>
      <c r="P13" s="2">
        <v>0</v>
      </c>
    </row>
    <row r="14" spans="1:16">
      <c r="A14" s="2" t="s">
        <v>24</v>
      </c>
      <c r="B14" s="9">
        <v>6</v>
      </c>
      <c r="C14" s="2" t="s">
        <v>1074</v>
      </c>
      <c r="D14" s="2" t="s">
        <v>423</v>
      </c>
      <c r="E14" s="2">
        <f>+IFERROR(VLOOKUP(A14,'2122'!$A$12:$C$389,2,),0)</f>
        <v>10176297</v>
      </c>
      <c r="F14" s="2">
        <v>0</v>
      </c>
      <c r="G14" s="2">
        <f t="shared" ref="G14" si="6">+E14+F14</f>
        <v>10176297</v>
      </c>
      <c r="H14" s="2">
        <f>+IFERROR(VLOOKUP(A14,'2122'!$A$12:$C$389,3,),0)</f>
        <v>0</v>
      </c>
      <c r="I14" s="2">
        <v>0</v>
      </c>
      <c r="J14" s="2">
        <f t="shared" ref="J14" si="7">+H14+I14</f>
        <v>0</v>
      </c>
    </row>
    <row r="15" spans="1:16">
      <c r="A15" s="2" t="s">
        <v>424</v>
      </c>
      <c r="B15" s="9">
        <v>17</v>
      </c>
      <c r="C15" s="2" t="s">
        <v>415</v>
      </c>
      <c r="D15" s="2" t="s">
        <v>415</v>
      </c>
      <c r="E15" s="2">
        <f>+IFERROR(VLOOKUP(A15,'2122'!$A$12:$C$389,2,),0)</f>
        <v>0</v>
      </c>
      <c r="F15" s="2">
        <v>0</v>
      </c>
      <c r="G15" s="2">
        <f t="shared" si="2"/>
        <v>0</v>
      </c>
      <c r="H15" s="2">
        <f>+IFERROR(VLOOKUP(A15,'2122'!$A$12:$C$389,3,),0)</f>
        <v>0</v>
      </c>
      <c r="I15" s="2">
        <v>0</v>
      </c>
      <c r="J15" s="2">
        <f t="shared" si="3"/>
        <v>0</v>
      </c>
      <c r="K15" s="2">
        <v>0</v>
      </c>
      <c r="M15" s="2">
        <v>0</v>
      </c>
      <c r="N15" s="2">
        <v>0</v>
      </c>
      <c r="P15" s="2">
        <v>0</v>
      </c>
    </row>
    <row r="16" spans="1:16">
      <c r="A16" s="2" t="s">
        <v>425</v>
      </c>
      <c r="B16" s="9">
        <v>17</v>
      </c>
      <c r="C16" s="2" t="s">
        <v>415</v>
      </c>
      <c r="D16" s="2" t="s">
        <v>415</v>
      </c>
      <c r="E16" s="2">
        <f>+IFERROR(VLOOKUP(A16,'2122'!$A$12:$C$389,2,),0)</f>
        <v>0</v>
      </c>
      <c r="F16" s="2">
        <v>0</v>
      </c>
      <c r="G16" s="2">
        <f t="shared" si="2"/>
        <v>0</v>
      </c>
      <c r="H16" s="2">
        <f>+IFERROR(VLOOKUP(A16,'2122'!$A$12:$C$389,3,),0)</f>
        <v>0</v>
      </c>
      <c r="I16" s="2">
        <v>0</v>
      </c>
      <c r="J16" s="2">
        <f t="shared" si="3"/>
        <v>0</v>
      </c>
      <c r="K16" s="2">
        <v>0</v>
      </c>
      <c r="M16" s="2">
        <v>0</v>
      </c>
      <c r="N16" s="2">
        <v>401154</v>
      </c>
      <c r="P16" s="2">
        <v>401154</v>
      </c>
    </row>
    <row r="17" spans="1:16">
      <c r="A17" s="2" t="s">
        <v>320</v>
      </c>
      <c r="B17" s="9">
        <v>17</v>
      </c>
      <c r="C17" s="2" t="s">
        <v>415</v>
      </c>
      <c r="D17" s="2" t="s">
        <v>415</v>
      </c>
      <c r="E17" s="2">
        <f>+IFERROR(VLOOKUP(A17,'2122'!$A$12:$C$389,2,),0)</f>
        <v>0</v>
      </c>
      <c r="F17" s="2">
        <v>0</v>
      </c>
      <c r="G17" s="2">
        <f t="shared" si="2"/>
        <v>0</v>
      </c>
      <c r="H17" s="2">
        <f>+IFERROR(VLOOKUP(A17,'2122'!$A$12:$C$389,3,),0)</f>
        <v>85432</v>
      </c>
      <c r="I17" s="2">
        <v>0</v>
      </c>
      <c r="J17" s="2">
        <f t="shared" si="3"/>
        <v>85432</v>
      </c>
      <c r="K17" s="2">
        <v>0</v>
      </c>
      <c r="M17" s="2">
        <v>0</v>
      </c>
      <c r="N17" s="2">
        <v>204940</v>
      </c>
      <c r="P17" s="2">
        <v>204940</v>
      </c>
    </row>
    <row r="18" spans="1:16">
      <c r="A18" s="2" t="s">
        <v>246</v>
      </c>
      <c r="B18" s="9">
        <v>17</v>
      </c>
      <c r="C18" s="2" t="s">
        <v>415</v>
      </c>
      <c r="D18" s="2" t="s">
        <v>415</v>
      </c>
      <c r="E18" s="2">
        <f>+IFERROR(VLOOKUP(A18,'2122'!$A$12:$C$389,2,),0)</f>
        <v>0</v>
      </c>
      <c r="F18" s="2">
        <v>0</v>
      </c>
      <c r="G18" s="2">
        <f t="shared" si="2"/>
        <v>0</v>
      </c>
      <c r="H18" s="2">
        <f>+IFERROR(VLOOKUP(A18,'2122'!$A$12:$C$389,3,),0)</f>
        <v>2844884</v>
      </c>
      <c r="I18" s="2">
        <v>0</v>
      </c>
      <c r="J18" s="2">
        <f t="shared" si="3"/>
        <v>2844884</v>
      </c>
      <c r="K18" s="2">
        <v>0</v>
      </c>
      <c r="M18" s="2">
        <v>0</v>
      </c>
      <c r="N18" s="2">
        <v>1343333</v>
      </c>
      <c r="P18" s="2">
        <v>1343333</v>
      </c>
    </row>
    <row r="19" spans="1:16">
      <c r="A19" s="2" t="s">
        <v>25</v>
      </c>
      <c r="B19" s="9">
        <v>17</v>
      </c>
      <c r="C19" s="2" t="s">
        <v>415</v>
      </c>
      <c r="D19" s="2" t="s">
        <v>415</v>
      </c>
      <c r="E19" s="2">
        <f>+IFERROR(VLOOKUP(A19,'2122'!$A$12:$C$389,2,),0)</f>
        <v>0</v>
      </c>
      <c r="F19" s="2">
        <v>0</v>
      </c>
      <c r="G19" s="2">
        <f t="shared" ref="G19" si="8">+E19+F19</f>
        <v>0</v>
      </c>
      <c r="H19" s="2">
        <f>+IFERROR(VLOOKUP(A19,'2122'!$A$12:$C$389,3,),0)</f>
        <v>782311</v>
      </c>
      <c r="I19" s="2">
        <v>0</v>
      </c>
      <c r="J19" s="2">
        <f t="shared" ref="J19" si="9">+H19+I19</f>
        <v>782311</v>
      </c>
    </row>
    <row r="20" spans="1:16">
      <c r="A20" s="2" t="s">
        <v>426</v>
      </c>
      <c r="B20" s="9">
        <v>17</v>
      </c>
      <c r="C20" s="2" t="s">
        <v>415</v>
      </c>
      <c r="D20" s="2" t="s">
        <v>415</v>
      </c>
      <c r="E20" s="2">
        <f>+IFERROR(VLOOKUP(A20,'2122'!$A$12:$C$389,2,),0)</f>
        <v>0</v>
      </c>
      <c r="F20" s="2">
        <v>0</v>
      </c>
      <c r="G20" s="2">
        <f t="shared" si="2"/>
        <v>0</v>
      </c>
      <c r="H20" s="2">
        <f>+IFERROR(VLOOKUP(A20,'2122'!$A$12:$C$389,3,),0)</f>
        <v>0</v>
      </c>
      <c r="I20" s="2">
        <v>0</v>
      </c>
      <c r="J20" s="2">
        <f t="shared" si="3"/>
        <v>0</v>
      </c>
      <c r="K20" s="2">
        <v>0</v>
      </c>
      <c r="M20" s="2">
        <v>0</v>
      </c>
      <c r="N20" s="2">
        <v>379282</v>
      </c>
      <c r="P20" s="2">
        <v>379282</v>
      </c>
    </row>
    <row r="21" spans="1:16">
      <c r="A21" s="2" t="s">
        <v>202</v>
      </c>
      <c r="B21" s="9">
        <v>17</v>
      </c>
      <c r="C21" s="2" t="s">
        <v>415</v>
      </c>
      <c r="D21" s="2" t="s">
        <v>415</v>
      </c>
      <c r="E21" s="2">
        <f>+IFERROR(VLOOKUP(A21,'2122'!$A$12:$C$389,2,),0)</f>
        <v>0</v>
      </c>
      <c r="F21" s="2">
        <v>0</v>
      </c>
      <c r="G21" s="2">
        <f t="shared" si="2"/>
        <v>0</v>
      </c>
      <c r="H21" s="2">
        <f>+IFERROR(VLOOKUP(A21,'2122'!$A$12:$C$389,3,),0)</f>
        <v>4974989</v>
      </c>
      <c r="I21" s="2">
        <v>0</v>
      </c>
      <c r="J21" s="2">
        <f t="shared" si="3"/>
        <v>4974989</v>
      </c>
      <c r="K21" s="2">
        <v>0</v>
      </c>
      <c r="M21" s="2">
        <v>0</v>
      </c>
      <c r="N21" s="2">
        <v>2568965</v>
      </c>
      <c r="P21" s="2">
        <v>2568965</v>
      </c>
    </row>
    <row r="22" spans="1:16">
      <c r="A22" s="2" t="s">
        <v>427</v>
      </c>
      <c r="B22" s="9">
        <v>17</v>
      </c>
      <c r="C22" s="2" t="s">
        <v>415</v>
      </c>
      <c r="D22" s="2" t="s">
        <v>415</v>
      </c>
      <c r="E22" s="2">
        <f>+IFERROR(VLOOKUP(A22,'2122'!$A$12:$C$389,2,),0)</f>
        <v>0</v>
      </c>
      <c r="F22" s="2">
        <v>0</v>
      </c>
      <c r="G22" s="2">
        <f t="shared" si="2"/>
        <v>0</v>
      </c>
      <c r="H22" s="2">
        <f>+IFERROR(VLOOKUP(A22,'2122'!$A$12:$C$389,3,),0)</f>
        <v>0</v>
      </c>
      <c r="I22" s="2">
        <v>0</v>
      </c>
      <c r="J22" s="2">
        <f t="shared" si="3"/>
        <v>0</v>
      </c>
      <c r="K22" s="2">
        <v>0</v>
      </c>
      <c r="M22" s="2">
        <v>0</v>
      </c>
      <c r="N22" s="2">
        <v>334448</v>
      </c>
      <c r="P22" s="2">
        <v>334448</v>
      </c>
    </row>
    <row r="23" spans="1:16">
      <c r="A23" s="2" t="s">
        <v>428</v>
      </c>
      <c r="B23" s="9">
        <v>17</v>
      </c>
      <c r="C23" s="2" t="s">
        <v>415</v>
      </c>
      <c r="D23" s="2" t="s">
        <v>416</v>
      </c>
      <c r="E23" s="2">
        <f>+IFERROR(VLOOKUP(A23,'2122'!$A$12:$C$389,2,),0)</f>
        <v>0</v>
      </c>
      <c r="F23" s="2">
        <v>0</v>
      </c>
      <c r="G23" s="2">
        <f t="shared" si="2"/>
        <v>0</v>
      </c>
      <c r="H23" s="2">
        <f>+IFERROR(VLOOKUP(A23,'2122'!$A$12:$C$389,3,),0)</f>
        <v>0</v>
      </c>
      <c r="I23" s="2">
        <v>0</v>
      </c>
      <c r="J23" s="2">
        <f t="shared" si="3"/>
        <v>0</v>
      </c>
      <c r="K23" s="2">
        <v>10000</v>
      </c>
      <c r="M23" s="2">
        <v>10000</v>
      </c>
      <c r="N23" s="2">
        <v>0</v>
      </c>
      <c r="P23" s="2">
        <v>0</v>
      </c>
    </row>
    <row r="24" spans="1:16">
      <c r="A24" s="2" t="s">
        <v>429</v>
      </c>
      <c r="B24" s="9">
        <v>17</v>
      </c>
      <c r="C24" s="2" t="s">
        <v>415</v>
      </c>
      <c r="D24" s="2" t="s">
        <v>416</v>
      </c>
      <c r="E24" s="2">
        <f>+IFERROR(VLOOKUP(A24,'2122'!$A$12:$C$389,2,),0)</f>
        <v>0</v>
      </c>
      <c r="F24" s="2">
        <v>0</v>
      </c>
      <c r="G24" s="2">
        <f t="shared" si="2"/>
        <v>0</v>
      </c>
      <c r="H24" s="2">
        <f>+IFERROR(VLOOKUP(A24,'2122'!$A$12:$C$389,3,),0)</f>
        <v>0</v>
      </c>
      <c r="I24" s="2">
        <v>0</v>
      </c>
      <c r="J24" s="2">
        <f t="shared" si="3"/>
        <v>0</v>
      </c>
      <c r="K24" s="2">
        <v>0</v>
      </c>
      <c r="M24" s="2">
        <v>0</v>
      </c>
      <c r="N24" s="2">
        <v>0</v>
      </c>
      <c r="P24" s="2">
        <v>0</v>
      </c>
    </row>
    <row r="25" spans="1:16">
      <c r="A25" s="2" t="s">
        <v>430</v>
      </c>
      <c r="B25" s="9">
        <v>17</v>
      </c>
      <c r="C25" s="2" t="s">
        <v>415</v>
      </c>
      <c r="D25" s="2" t="s">
        <v>416</v>
      </c>
      <c r="E25" s="2">
        <f>+IFERROR(VLOOKUP(A25,'2122'!$A$12:$C$389,2,),0)</f>
        <v>0</v>
      </c>
      <c r="F25" s="2">
        <v>0</v>
      </c>
      <c r="G25" s="2">
        <f t="shared" si="2"/>
        <v>0</v>
      </c>
      <c r="H25" s="2">
        <f>+IFERROR(VLOOKUP(A25,'2122'!$A$12:$C$389,3,),0)</f>
        <v>0</v>
      </c>
      <c r="I25" s="2">
        <v>0</v>
      </c>
      <c r="J25" s="2">
        <f t="shared" si="3"/>
        <v>0</v>
      </c>
      <c r="K25" s="2">
        <v>0</v>
      </c>
      <c r="M25" s="2">
        <v>0</v>
      </c>
      <c r="N25" s="2">
        <v>50553</v>
      </c>
      <c r="P25" s="2">
        <v>50553</v>
      </c>
    </row>
    <row r="26" spans="1:16">
      <c r="A26" s="2" t="s">
        <v>431</v>
      </c>
      <c r="B26" s="9">
        <v>17</v>
      </c>
      <c r="C26" s="2" t="s">
        <v>415</v>
      </c>
      <c r="D26" s="2" t="s">
        <v>416</v>
      </c>
      <c r="E26" s="2">
        <f>+IFERROR(VLOOKUP(A26,'2122'!$A$12:$C$389,2,),0)</f>
        <v>0</v>
      </c>
      <c r="F26" s="2">
        <v>0</v>
      </c>
      <c r="G26" s="2">
        <f t="shared" si="2"/>
        <v>0</v>
      </c>
      <c r="H26" s="2">
        <f>+IFERROR(VLOOKUP(A26,'2122'!$A$12:$C$389,3,),0)</f>
        <v>0</v>
      </c>
      <c r="I26" s="2">
        <v>0</v>
      </c>
      <c r="J26" s="2">
        <f t="shared" si="3"/>
        <v>0</v>
      </c>
      <c r="K26" s="2">
        <v>0</v>
      </c>
      <c r="M26" s="2">
        <v>0</v>
      </c>
      <c r="N26" s="2">
        <v>0</v>
      </c>
      <c r="P26" s="2">
        <v>0</v>
      </c>
    </row>
    <row r="27" spans="1:16">
      <c r="A27" s="2" t="s">
        <v>210</v>
      </c>
      <c r="B27" s="9">
        <v>4</v>
      </c>
      <c r="C27" s="2" t="s">
        <v>1547</v>
      </c>
      <c r="D27" s="2" t="s">
        <v>958</v>
      </c>
      <c r="E27" s="2">
        <f>+IFERROR(VLOOKUP(A27,'2122'!$A$12:$C$389,2,),0)</f>
        <v>1389464</v>
      </c>
      <c r="F27" s="2">
        <v>0</v>
      </c>
      <c r="G27" s="2">
        <f t="shared" si="2"/>
        <v>1389464</v>
      </c>
      <c r="H27" s="2">
        <f>+IFERROR(VLOOKUP(A27,'2122'!$A$12:$C$389,3,),0)</f>
        <v>0</v>
      </c>
      <c r="I27" s="2">
        <v>0</v>
      </c>
      <c r="J27" s="2">
        <f t="shared" si="3"/>
        <v>0</v>
      </c>
      <c r="K27" s="2">
        <v>0</v>
      </c>
      <c r="M27" s="2">
        <v>0</v>
      </c>
      <c r="N27" s="2">
        <v>0</v>
      </c>
      <c r="P27" s="2">
        <v>0</v>
      </c>
    </row>
    <row r="28" spans="1:16">
      <c r="A28" s="2" t="s">
        <v>432</v>
      </c>
      <c r="B28" s="9">
        <v>17</v>
      </c>
      <c r="C28" s="2" t="s">
        <v>415</v>
      </c>
      <c r="D28" s="2" t="s">
        <v>416</v>
      </c>
      <c r="E28" s="2">
        <f>+IFERROR(VLOOKUP(A28,'2122'!$A$12:$C$389,2,),0)</f>
        <v>0</v>
      </c>
      <c r="F28" s="2">
        <v>0</v>
      </c>
      <c r="G28" s="2">
        <f t="shared" si="2"/>
        <v>0</v>
      </c>
      <c r="H28" s="2">
        <f>+IFERROR(VLOOKUP(A28,'2122'!$A$12:$C$389,3,),0)</f>
        <v>0</v>
      </c>
      <c r="I28" s="2">
        <v>0</v>
      </c>
      <c r="J28" s="2">
        <f t="shared" si="3"/>
        <v>0</v>
      </c>
      <c r="K28" s="2">
        <v>0</v>
      </c>
      <c r="M28" s="2">
        <v>0</v>
      </c>
      <c r="N28" s="2">
        <v>82125</v>
      </c>
      <c r="P28" s="2">
        <v>82125</v>
      </c>
    </row>
    <row r="29" spans="1:16">
      <c r="A29" s="2" t="s">
        <v>433</v>
      </c>
      <c r="B29" s="9">
        <v>17</v>
      </c>
      <c r="C29" s="2" t="s">
        <v>415</v>
      </c>
      <c r="D29" s="2" t="s">
        <v>416</v>
      </c>
      <c r="E29" s="2">
        <f>+IFERROR(VLOOKUP(A29,'2122'!$A$12:$C$389,2,),0)</f>
        <v>0</v>
      </c>
      <c r="F29" s="2">
        <v>0</v>
      </c>
      <c r="G29" s="2">
        <f t="shared" si="2"/>
        <v>0</v>
      </c>
      <c r="H29" s="2">
        <f>+IFERROR(VLOOKUP(A29,'2122'!$A$12:$C$389,3,),0)</f>
        <v>0</v>
      </c>
      <c r="I29" s="2">
        <v>0</v>
      </c>
      <c r="J29" s="2">
        <f t="shared" si="3"/>
        <v>0</v>
      </c>
      <c r="K29" s="2">
        <v>0</v>
      </c>
      <c r="M29" s="2">
        <v>0</v>
      </c>
      <c r="N29" s="2">
        <v>3244</v>
      </c>
      <c r="P29" s="2">
        <v>3244</v>
      </c>
    </row>
    <row r="30" spans="1:16">
      <c r="A30" s="2" t="s">
        <v>434</v>
      </c>
      <c r="B30" s="9">
        <v>17</v>
      </c>
      <c r="C30" s="2" t="s">
        <v>415</v>
      </c>
      <c r="D30" s="2" t="s">
        <v>416</v>
      </c>
      <c r="E30" s="2">
        <f>+IFERROR(VLOOKUP(A30,'2122'!$A$12:$C$389,2,),0)</f>
        <v>0</v>
      </c>
      <c r="F30" s="2">
        <v>0</v>
      </c>
      <c r="G30" s="2">
        <f t="shared" si="2"/>
        <v>0</v>
      </c>
      <c r="H30" s="2">
        <f>+IFERROR(VLOOKUP(A30,'2122'!$A$12:$C$389,3,),0)</f>
        <v>0</v>
      </c>
      <c r="I30" s="2">
        <v>0</v>
      </c>
      <c r="J30" s="2">
        <f t="shared" si="3"/>
        <v>0</v>
      </c>
      <c r="K30" s="2">
        <v>0</v>
      </c>
      <c r="M30" s="2">
        <v>0</v>
      </c>
      <c r="N30" s="2">
        <v>117270</v>
      </c>
      <c r="P30" s="2">
        <v>117270</v>
      </c>
    </row>
    <row r="31" spans="1:16">
      <c r="A31" s="2" t="s">
        <v>435</v>
      </c>
      <c r="B31" s="9">
        <v>17</v>
      </c>
      <c r="C31" s="2" t="s">
        <v>415</v>
      </c>
      <c r="D31" s="2" t="s">
        <v>416</v>
      </c>
      <c r="E31" s="2">
        <f>+IFERROR(VLOOKUP(A31,'2122'!$A$12:$C$389,2,),0)</f>
        <v>0</v>
      </c>
      <c r="F31" s="2">
        <v>0</v>
      </c>
      <c r="G31" s="2">
        <f t="shared" si="2"/>
        <v>0</v>
      </c>
      <c r="H31" s="2">
        <f>+IFERROR(VLOOKUP(A31,'2122'!$A$12:$C$389,3,),0)</f>
        <v>0</v>
      </c>
      <c r="I31" s="2">
        <v>0</v>
      </c>
      <c r="J31" s="2">
        <f t="shared" si="3"/>
        <v>0</v>
      </c>
      <c r="K31" s="2">
        <v>0</v>
      </c>
      <c r="M31" s="2">
        <v>0</v>
      </c>
      <c r="N31" s="2">
        <v>0</v>
      </c>
      <c r="P31" s="2">
        <v>0</v>
      </c>
    </row>
    <row r="32" spans="1:16">
      <c r="A32" s="2" t="s">
        <v>436</v>
      </c>
      <c r="B32" s="9">
        <v>17</v>
      </c>
      <c r="C32" s="2" t="s">
        <v>415</v>
      </c>
      <c r="D32" s="2" t="s">
        <v>416</v>
      </c>
      <c r="E32" s="2">
        <f>+IFERROR(VLOOKUP(A32,'2122'!$A$12:$C$389,2,),0)</f>
        <v>0</v>
      </c>
      <c r="F32" s="2">
        <v>0</v>
      </c>
      <c r="G32" s="2">
        <f t="shared" si="2"/>
        <v>0</v>
      </c>
      <c r="H32" s="2">
        <f>+IFERROR(VLOOKUP(A32,'2122'!$A$12:$C$389,3,),0)</f>
        <v>0</v>
      </c>
      <c r="I32" s="2">
        <v>0</v>
      </c>
      <c r="J32" s="2">
        <f t="shared" si="3"/>
        <v>0</v>
      </c>
      <c r="K32" s="2">
        <v>0</v>
      </c>
      <c r="M32" s="2">
        <v>0</v>
      </c>
      <c r="N32" s="2">
        <v>32332</v>
      </c>
      <c r="P32" s="2">
        <v>32332</v>
      </c>
    </row>
    <row r="33" spans="1:16">
      <c r="A33" s="2" t="s">
        <v>437</v>
      </c>
      <c r="B33" s="9">
        <v>17</v>
      </c>
      <c r="C33" s="2" t="s">
        <v>415</v>
      </c>
      <c r="D33" s="2" t="s">
        <v>416</v>
      </c>
      <c r="E33" s="2">
        <f>+IFERROR(VLOOKUP(A33,'2122'!$A$12:$C$389,2,),0)</f>
        <v>0</v>
      </c>
      <c r="F33" s="2">
        <v>0</v>
      </c>
      <c r="G33" s="2">
        <f t="shared" si="2"/>
        <v>0</v>
      </c>
      <c r="H33" s="2">
        <f>+IFERROR(VLOOKUP(A33,'2122'!$A$12:$C$389,3,),0)</f>
        <v>0</v>
      </c>
      <c r="I33" s="2">
        <v>0</v>
      </c>
      <c r="J33" s="2">
        <f t="shared" si="3"/>
        <v>0</v>
      </c>
      <c r="K33" s="2">
        <v>0</v>
      </c>
      <c r="M33" s="2">
        <v>0</v>
      </c>
      <c r="N33" s="2">
        <v>4520</v>
      </c>
      <c r="P33" s="2">
        <v>4520</v>
      </c>
    </row>
    <row r="34" spans="1:16">
      <c r="A34" s="2" t="s">
        <v>438</v>
      </c>
      <c r="B34" s="9">
        <v>11</v>
      </c>
      <c r="C34" s="2" t="s">
        <v>1550</v>
      </c>
      <c r="D34" s="2" t="s">
        <v>440</v>
      </c>
      <c r="E34" s="2">
        <f>+IFERROR(VLOOKUP(A34,'2122'!$A$12:$C$389,2,),0)</f>
        <v>0</v>
      </c>
      <c r="F34" s="2">
        <v>0</v>
      </c>
      <c r="G34" s="2">
        <f t="shared" si="2"/>
        <v>0</v>
      </c>
      <c r="H34" s="2">
        <f>+IFERROR(VLOOKUP(A34,'2122'!$A$12:$C$389,3,),0)</f>
        <v>0</v>
      </c>
      <c r="I34" s="2">
        <v>0</v>
      </c>
      <c r="J34" s="2">
        <f t="shared" si="3"/>
        <v>0</v>
      </c>
      <c r="K34" s="2">
        <v>0</v>
      </c>
      <c r="M34" s="2">
        <v>0</v>
      </c>
      <c r="N34" s="2">
        <v>0</v>
      </c>
      <c r="P34" s="2">
        <v>0</v>
      </c>
    </row>
    <row r="35" spans="1:16">
      <c r="A35" s="2" t="s">
        <v>361</v>
      </c>
      <c r="B35" s="9">
        <v>11</v>
      </c>
      <c r="C35" s="2" t="s">
        <v>1550</v>
      </c>
      <c r="D35" s="2" t="s">
        <v>440</v>
      </c>
      <c r="E35" s="2">
        <f>+IFERROR(VLOOKUP(A35,'2122'!$A$12:$C$389,2,),0)</f>
        <v>0</v>
      </c>
      <c r="F35" s="2">
        <v>0</v>
      </c>
      <c r="G35" s="2">
        <f t="shared" si="2"/>
        <v>0</v>
      </c>
      <c r="H35" s="2">
        <f>+IFERROR(VLOOKUP(A35,'2122'!$A$12:$C$389,3,),0)</f>
        <v>0</v>
      </c>
      <c r="I35" s="2">
        <v>0</v>
      </c>
      <c r="J35" s="2">
        <f t="shared" si="3"/>
        <v>0</v>
      </c>
      <c r="K35" s="2">
        <v>12349</v>
      </c>
      <c r="M35" s="2">
        <v>12349</v>
      </c>
      <c r="N35" s="2">
        <v>0</v>
      </c>
      <c r="P35" s="2">
        <v>0</v>
      </c>
    </row>
    <row r="36" spans="1:16">
      <c r="A36" s="2" t="s">
        <v>441</v>
      </c>
      <c r="B36" s="9">
        <v>11</v>
      </c>
      <c r="C36" s="2" t="s">
        <v>1550</v>
      </c>
      <c r="D36" s="2" t="s">
        <v>440</v>
      </c>
      <c r="E36" s="2">
        <f>+IFERROR(VLOOKUP(A36,'2122'!$A$12:$C$389,2,),0)</f>
        <v>0</v>
      </c>
      <c r="F36" s="2">
        <v>0</v>
      </c>
      <c r="G36" s="2">
        <f t="shared" si="2"/>
        <v>0</v>
      </c>
      <c r="H36" s="2">
        <f>+IFERROR(VLOOKUP(A36,'2122'!$A$12:$C$389,3,),0)</f>
        <v>0</v>
      </c>
      <c r="I36" s="2">
        <v>0</v>
      </c>
      <c r="J36" s="2">
        <f t="shared" si="3"/>
        <v>0</v>
      </c>
      <c r="K36" s="2">
        <v>0</v>
      </c>
      <c r="M36" s="2">
        <v>0</v>
      </c>
      <c r="N36" s="2">
        <v>0</v>
      </c>
      <c r="P36" s="2">
        <v>0</v>
      </c>
    </row>
    <row r="37" spans="1:16">
      <c r="A37" s="2" t="s">
        <v>16</v>
      </c>
      <c r="B37" s="9">
        <v>11</v>
      </c>
      <c r="C37" s="2" t="s">
        <v>1550</v>
      </c>
      <c r="D37" s="2" t="s">
        <v>440</v>
      </c>
      <c r="E37" s="2">
        <f>+IFERROR(VLOOKUP(A37,'2122'!$A$12:$C$389,2,),0)</f>
        <v>0</v>
      </c>
      <c r="F37" s="2">
        <v>0</v>
      </c>
      <c r="G37" s="2">
        <f t="shared" si="2"/>
        <v>0</v>
      </c>
      <c r="H37" s="2">
        <f>+IFERROR(VLOOKUP(A37,'2122'!$A$12:$C$389,3,),0)</f>
        <v>0</v>
      </c>
      <c r="I37" s="2">
        <v>0</v>
      </c>
      <c r="J37" s="2">
        <f t="shared" si="3"/>
        <v>0</v>
      </c>
      <c r="K37" s="2">
        <v>13000000</v>
      </c>
      <c r="M37" s="2">
        <v>13000000</v>
      </c>
      <c r="N37" s="2">
        <v>0</v>
      </c>
      <c r="P37" s="2">
        <v>0</v>
      </c>
    </row>
    <row r="38" spans="1:16">
      <c r="A38" s="2" t="s">
        <v>18</v>
      </c>
      <c r="B38" s="9">
        <v>27</v>
      </c>
      <c r="C38" s="2" t="s">
        <v>1568</v>
      </c>
      <c r="D38" s="2" t="s">
        <v>18</v>
      </c>
      <c r="E38" s="2">
        <f>+IFERROR(VLOOKUP(A38,'2122'!$A$12:$C$389,2,),0)</f>
        <v>125580</v>
      </c>
      <c r="F38" s="2">
        <v>0</v>
      </c>
      <c r="G38" s="2">
        <f t="shared" si="2"/>
        <v>125580</v>
      </c>
      <c r="H38" s="2">
        <f>+IFERROR(VLOOKUP(A38,'2122'!$A$12:$C$389,3,),0)</f>
        <v>0</v>
      </c>
      <c r="I38" s="2">
        <v>0</v>
      </c>
      <c r="J38" s="2">
        <f t="shared" si="3"/>
        <v>0</v>
      </c>
      <c r="K38" s="2">
        <v>69186</v>
      </c>
      <c r="M38" s="2">
        <v>69186</v>
      </c>
      <c r="N38" s="2">
        <v>0</v>
      </c>
      <c r="P38" s="2">
        <v>0</v>
      </c>
    </row>
    <row r="39" spans="1:16">
      <c r="A39" s="2" t="s">
        <v>20</v>
      </c>
      <c r="B39" s="9">
        <v>6</v>
      </c>
      <c r="C39" s="2" t="s">
        <v>1074</v>
      </c>
      <c r="D39" s="2" t="s">
        <v>423</v>
      </c>
      <c r="E39" s="2">
        <f>+IFERROR(VLOOKUP(A39,'2122'!$A$12:$C$389,2,),0)</f>
        <v>1519590</v>
      </c>
      <c r="F39" s="2">
        <v>0</v>
      </c>
      <c r="G39" s="2">
        <f t="shared" si="2"/>
        <v>1519590</v>
      </c>
      <c r="H39" s="2">
        <f>+IFERROR(VLOOKUP(A39,'2122'!$A$12:$C$389,3,),0)</f>
        <v>0</v>
      </c>
      <c r="I39" s="2">
        <v>0</v>
      </c>
      <c r="J39" s="2">
        <f t="shared" si="3"/>
        <v>0</v>
      </c>
      <c r="K39" s="2">
        <v>3825310</v>
      </c>
      <c r="M39" s="2">
        <v>3825310</v>
      </c>
      <c r="N39" s="2">
        <v>0</v>
      </c>
      <c r="P39" s="2">
        <v>0</v>
      </c>
    </row>
    <row r="40" spans="1:16">
      <c r="A40" s="2" t="s">
        <v>15</v>
      </c>
      <c r="B40" s="9">
        <v>6</v>
      </c>
      <c r="C40" s="2" t="s">
        <v>1074</v>
      </c>
      <c r="D40" s="2" t="s">
        <v>423</v>
      </c>
      <c r="E40" s="2">
        <f>+IFERROR(VLOOKUP(A40,'2122'!$A$12:$C$389,2,),0)</f>
        <v>451631</v>
      </c>
      <c r="F40" s="2">
        <v>0</v>
      </c>
      <c r="G40" s="2">
        <f t="shared" ref="G40" si="10">+E40+F40</f>
        <v>451631</v>
      </c>
      <c r="H40" s="2">
        <f>+IFERROR(VLOOKUP(A40,'2122'!$A$12:$C$389,3,),0)</f>
        <v>0</v>
      </c>
      <c r="I40" s="2">
        <v>0</v>
      </c>
      <c r="J40" s="2">
        <f t="shared" ref="J40" si="11">+H40+I40</f>
        <v>0</v>
      </c>
      <c r="K40" s="2">
        <v>3825310</v>
      </c>
    </row>
    <row r="41" spans="1:16">
      <c r="A41" s="2" t="s">
        <v>442</v>
      </c>
      <c r="B41" s="9">
        <v>17</v>
      </c>
      <c r="C41" s="2" t="s">
        <v>415</v>
      </c>
      <c r="D41" s="2" t="s">
        <v>416</v>
      </c>
      <c r="E41" s="2">
        <f>+IFERROR(VLOOKUP(A41,'2122'!$A$12:$C$389,2,),0)</f>
        <v>0</v>
      </c>
      <c r="F41" s="2">
        <v>0</v>
      </c>
      <c r="G41" s="2">
        <f t="shared" si="2"/>
        <v>0</v>
      </c>
      <c r="H41" s="2">
        <f>+IFERROR(VLOOKUP(A41,'2122'!$A$12:$C$389,3,),0)</f>
        <v>0</v>
      </c>
      <c r="I41" s="2">
        <v>0</v>
      </c>
      <c r="J41" s="2">
        <f t="shared" si="3"/>
        <v>0</v>
      </c>
      <c r="K41" s="2">
        <v>0</v>
      </c>
      <c r="M41" s="2">
        <v>0</v>
      </c>
      <c r="N41" s="2">
        <v>0</v>
      </c>
      <c r="P41" s="2">
        <v>0</v>
      </c>
    </row>
    <row r="42" spans="1:16">
      <c r="A42" s="2" t="s">
        <v>443</v>
      </c>
      <c r="B42" s="9">
        <v>6</v>
      </c>
      <c r="C42" s="2" t="s">
        <v>1074</v>
      </c>
      <c r="D42" s="2" t="s">
        <v>423</v>
      </c>
      <c r="E42" s="2">
        <f>+IFERROR(VLOOKUP(A42,'2122'!$A$12:$C$389,2,),0)</f>
        <v>0</v>
      </c>
      <c r="F42" s="2">
        <v>0</v>
      </c>
      <c r="G42" s="2">
        <f t="shared" si="2"/>
        <v>0</v>
      </c>
      <c r="H42" s="2">
        <f>+IFERROR(VLOOKUP(A42,'2122'!$A$12:$C$389,3,),0)</f>
        <v>0</v>
      </c>
      <c r="I42" s="2">
        <v>0</v>
      </c>
      <c r="J42" s="2">
        <f t="shared" si="3"/>
        <v>0</v>
      </c>
      <c r="K42" s="2">
        <v>3124400</v>
      </c>
      <c r="M42" s="2">
        <v>3124400</v>
      </c>
      <c r="N42" s="2">
        <v>0</v>
      </c>
      <c r="P42" s="2">
        <v>0</v>
      </c>
    </row>
    <row r="43" spans="1:16">
      <c r="A43" s="2" t="s">
        <v>22</v>
      </c>
      <c r="B43" s="9">
        <v>6</v>
      </c>
      <c r="C43" s="2" t="s">
        <v>1074</v>
      </c>
      <c r="D43" s="2" t="s">
        <v>423</v>
      </c>
      <c r="E43" s="2">
        <f>+IFERROR(VLOOKUP(A43,'2122'!$A$12:$C$389,2,),0)</f>
        <v>5363383.43</v>
      </c>
      <c r="F43" s="2">
        <v>0</v>
      </c>
      <c r="G43" s="2">
        <f t="shared" si="2"/>
        <v>5363383.43</v>
      </c>
      <c r="H43" s="2">
        <f>+IFERROR(VLOOKUP(A43,'2122'!$A$12:$C$389,3,),0)</f>
        <v>0</v>
      </c>
      <c r="I43" s="2">
        <v>0</v>
      </c>
      <c r="J43" s="2">
        <f t="shared" si="3"/>
        <v>0</v>
      </c>
      <c r="K43" s="2">
        <v>7858026.4299999997</v>
      </c>
      <c r="M43" s="2">
        <v>7858026.4299999997</v>
      </c>
      <c r="N43" s="2">
        <v>0</v>
      </c>
      <c r="P43" s="2">
        <v>0</v>
      </c>
    </row>
    <row r="44" spans="1:16">
      <c r="A44" s="2" t="s">
        <v>444</v>
      </c>
      <c r="B44" s="9">
        <v>10</v>
      </c>
      <c r="C44" s="2" t="s">
        <v>598</v>
      </c>
      <c r="D44" s="2" t="s">
        <v>445</v>
      </c>
      <c r="E44" s="2">
        <f>+IFERROR(VLOOKUP(A44,'2122'!$A$12:$C$389,2,),0)</f>
        <v>0</v>
      </c>
      <c r="F44" s="2">
        <v>0</v>
      </c>
      <c r="G44" s="2">
        <f t="shared" si="2"/>
        <v>0</v>
      </c>
      <c r="H44" s="2">
        <f>+IFERROR(VLOOKUP(A44,'2122'!$A$12:$C$389,3,),0)</f>
        <v>0</v>
      </c>
      <c r="I44" s="2">
        <v>0</v>
      </c>
      <c r="J44" s="2">
        <f t="shared" si="3"/>
        <v>0</v>
      </c>
      <c r="K44" s="2">
        <v>0</v>
      </c>
      <c r="M44" s="2">
        <v>0</v>
      </c>
      <c r="N44" s="2">
        <v>0</v>
      </c>
      <c r="P44" s="2">
        <v>0</v>
      </c>
    </row>
    <row r="45" spans="1:16">
      <c r="A45" s="2" t="s">
        <v>446</v>
      </c>
      <c r="B45" s="9">
        <v>17</v>
      </c>
      <c r="C45" s="2" t="s">
        <v>415</v>
      </c>
      <c r="D45" s="2" t="s">
        <v>416</v>
      </c>
      <c r="E45" s="2">
        <f>+IFERROR(VLOOKUP(A45,'2122'!$A$12:$C$389,2,),0)</f>
        <v>0</v>
      </c>
      <c r="F45" s="2">
        <v>0</v>
      </c>
      <c r="G45" s="2">
        <f t="shared" si="2"/>
        <v>0</v>
      </c>
      <c r="H45" s="2">
        <f>+IFERROR(VLOOKUP(A45,'2122'!$A$12:$C$389,3,),0)</f>
        <v>0</v>
      </c>
      <c r="I45" s="2">
        <v>0</v>
      </c>
      <c r="J45" s="2">
        <f t="shared" si="3"/>
        <v>0</v>
      </c>
      <c r="K45" s="2">
        <v>0</v>
      </c>
      <c r="M45" s="2">
        <v>0</v>
      </c>
      <c r="N45" s="2">
        <v>33750</v>
      </c>
      <c r="P45" s="2">
        <v>33750</v>
      </c>
    </row>
    <row r="46" spans="1:16">
      <c r="A46" s="2" t="s">
        <v>447</v>
      </c>
      <c r="B46" s="9">
        <v>10</v>
      </c>
      <c r="C46" s="2" t="s">
        <v>598</v>
      </c>
      <c r="D46" s="2" t="s">
        <v>445</v>
      </c>
      <c r="E46" s="2">
        <f>+IFERROR(VLOOKUP(A46,'2122'!$A$12:$C$389,2,),0)</f>
        <v>0</v>
      </c>
      <c r="F46" s="2">
        <v>0</v>
      </c>
      <c r="G46" s="2">
        <f t="shared" si="2"/>
        <v>0</v>
      </c>
      <c r="H46" s="2">
        <f>+IFERROR(VLOOKUP(A46,'2122'!$A$12:$C$389,3,),0)</f>
        <v>0</v>
      </c>
      <c r="I46" s="2">
        <v>0</v>
      </c>
      <c r="J46" s="2">
        <f t="shared" si="3"/>
        <v>0</v>
      </c>
      <c r="K46" s="2">
        <v>0</v>
      </c>
      <c r="M46" s="2">
        <v>0</v>
      </c>
      <c r="N46" s="2">
        <v>0</v>
      </c>
      <c r="P46" s="2">
        <v>0</v>
      </c>
    </row>
    <row r="47" spans="1:16">
      <c r="A47" s="2" t="s">
        <v>448</v>
      </c>
      <c r="B47" s="9">
        <v>17</v>
      </c>
      <c r="C47" s="2" t="s">
        <v>415</v>
      </c>
      <c r="D47" s="2" t="s">
        <v>415</v>
      </c>
      <c r="E47" s="2">
        <f>+IFERROR(VLOOKUP(A47,'2122'!$A$12:$C$389,2,),0)</f>
        <v>0</v>
      </c>
      <c r="F47" s="2">
        <v>0</v>
      </c>
      <c r="G47" s="2">
        <f t="shared" si="2"/>
        <v>0</v>
      </c>
      <c r="H47" s="2">
        <f>+IFERROR(VLOOKUP(A47,'2122'!$A$12:$C$389,3,),0)</f>
        <v>0</v>
      </c>
      <c r="I47" s="2">
        <v>0</v>
      </c>
      <c r="J47" s="2">
        <f t="shared" si="3"/>
        <v>0</v>
      </c>
      <c r="K47" s="2">
        <v>0</v>
      </c>
      <c r="M47" s="2">
        <v>0</v>
      </c>
      <c r="N47" s="2">
        <v>0</v>
      </c>
      <c r="P47" s="2">
        <v>0</v>
      </c>
    </row>
    <row r="48" spans="1:16">
      <c r="A48" s="2" t="s">
        <v>449</v>
      </c>
      <c r="B48" s="9">
        <v>9</v>
      </c>
      <c r="C48" s="2" t="s">
        <v>602</v>
      </c>
      <c r="D48" s="2" t="s">
        <v>450</v>
      </c>
      <c r="E48" s="2">
        <f>+IFERROR(VLOOKUP(A48,'2122'!$A$12:$C$389,2,),0)</f>
        <v>0</v>
      </c>
      <c r="F48" s="2">
        <v>0</v>
      </c>
      <c r="G48" s="2">
        <f t="shared" si="2"/>
        <v>0</v>
      </c>
      <c r="H48" s="2">
        <f>+IFERROR(VLOOKUP(A48,'2122'!$A$12:$C$389,3,),0)</f>
        <v>0</v>
      </c>
      <c r="I48" s="2">
        <v>0</v>
      </c>
      <c r="J48" s="2">
        <f t="shared" si="3"/>
        <v>0</v>
      </c>
      <c r="K48" s="2">
        <v>11000</v>
      </c>
      <c r="M48" s="2">
        <v>11000</v>
      </c>
      <c r="N48" s="2">
        <v>0</v>
      </c>
      <c r="P48" s="2">
        <v>0</v>
      </c>
    </row>
    <row r="49" spans="1:16">
      <c r="A49" s="2" t="s">
        <v>451</v>
      </c>
      <c r="B49" s="9">
        <v>9</v>
      </c>
      <c r="C49" s="2" t="s">
        <v>602</v>
      </c>
      <c r="D49" s="2" t="s">
        <v>450</v>
      </c>
      <c r="E49" s="2">
        <f>+IFERROR(VLOOKUP(A49,'2122'!$A$12:$C$389,2,),0)</f>
        <v>0</v>
      </c>
      <c r="F49" s="2">
        <v>0</v>
      </c>
      <c r="G49" s="2">
        <f t="shared" si="2"/>
        <v>0</v>
      </c>
      <c r="H49" s="2">
        <f>+IFERROR(VLOOKUP(A49,'2122'!$A$12:$C$389,3,),0)</f>
        <v>0</v>
      </c>
      <c r="I49" s="2">
        <v>0</v>
      </c>
      <c r="J49" s="2">
        <f t="shared" si="3"/>
        <v>0</v>
      </c>
      <c r="K49" s="2">
        <v>5000</v>
      </c>
      <c r="M49" s="2">
        <v>5000</v>
      </c>
      <c r="N49" s="2">
        <v>0</v>
      </c>
      <c r="P49" s="2">
        <v>0</v>
      </c>
    </row>
    <row r="50" spans="1:16">
      <c r="A50" s="2" t="s">
        <v>350</v>
      </c>
      <c r="B50" s="9">
        <v>9</v>
      </c>
      <c r="C50" s="2" t="s">
        <v>602</v>
      </c>
      <c r="D50" s="2" t="s">
        <v>450</v>
      </c>
      <c r="E50" s="2">
        <f>+IFERROR(VLOOKUP(A50,'2122'!$A$12:$C$389,2,),0)</f>
        <v>1500</v>
      </c>
      <c r="F50" s="2">
        <v>0</v>
      </c>
      <c r="G50" s="2">
        <f t="shared" si="2"/>
        <v>1500</v>
      </c>
      <c r="H50" s="2">
        <f>+IFERROR(VLOOKUP(A50,'2122'!$A$12:$C$389,3,),0)</f>
        <v>0</v>
      </c>
      <c r="I50" s="2">
        <v>0</v>
      </c>
      <c r="J50" s="2">
        <f t="shared" si="3"/>
        <v>0</v>
      </c>
      <c r="K50" s="2">
        <v>2500</v>
      </c>
      <c r="M50" s="2">
        <v>2500</v>
      </c>
      <c r="N50" s="2">
        <v>0</v>
      </c>
      <c r="P50" s="2">
        <v>0</v>
      </c>
    </row>
    <row r="51" spans="1:16">
      <c r="A51" s="2" t="s">
        <v>452</v>
      </c>
      <c r="B51" s="9">
        <v>9</v>
      </c>
      <c r="C51" s="2" t="s">
        <v>602</v>
      </c>
      <c r="D51" s="2" t="s">
        <v>450</v>
      </c>
      <c r="E51" s="2">
        <f>+IFERROR(VLOOKUP(A51,'2122'!$A$12:$C$389,2,),0)</f>
        <v>0</v>
      </c>
      <c r="F51" s="2">
        <v>0</v>
      </c>
      <c r="G51" s="2">
        <f t="shared" si="2"/>
        <v>0</v>
      </c>
      <c r="H51" s="2">
        <f>+IFERROR(VLOOKUP(A51,'2122'!$A$12:$C$389,3,),0)</f>
        <v>0</v>
      </c>
      <c r="I51" s="2">
        <v>0</v>
      </c>
      <c r="J51" s="2">
        <f t="shared" si="3"/>
        <v>0</v>
      </c>
      <c r="K51" s="2">
        <v>4500</v>
      </c>
      <c r="M51" s="2">
        <v>4500</v>
      </c>
      <c r="N51" s="2">
        <v>0</v>
      </c>
      <c r="P51" s="2">
        <v>0</v>
      </c>
    </row>
    <row r="52" spans="1:16">
      <c r="A52" s="2" t="s">
        <v>212</v>
      </c>
      <c r="B52" s="9">
        <v>9</v>
      </c>
      <c r="C52" s="2" t="s">
        <v>602</v>
      </c>
      <c r="D52" s="2" t="s">
        <v>450</v>
      </c>
      <c r="E52" s="2">
        <f>+IFERROR(VLOOKUP(A52,'2122'!$A$12:$C$389,2,),0)</f>
        <v>62000</v>
      </c>
      <c r="F52" s="2">
        <v>0</v>
      </c>
      <c r="G52" s="2">
        <f t="shared" si="2"/>
        <v>62000</v>
      </c>
      <c r="H52" s="2">
        <f>+IFERROR(VLOOKUP(A52,'2122'!$A$12:$C$389,3,),0)</f>
        <v>0</v>
      </c>
      <c r="I52" s="2">
        <v>0</v>
      </c>
      <c r="J52" s="2">
        <f t="shared" si="3"/>
        <v>0</v>
      </c>
      <c r="K52" s="2">
        <v>12000</v>
      </c>
      <c r="M52" s="2">
        <v>12000</v>
      </c>
      <c r="N52" s="2">
        <v>0</v>
      </c>
      <c r="P52" s="2">
        <v>0</v>
      </c>
    </row>
    <row r="53" spans="1:16">
      <c r="A53" s="2" t="s">
        <v>453</v>
      </c>
      <c r="B53" s="9">
        <v>9</v>
      </c>
      <c r="C53" s="2" t="s">
        <v>602</v>
      </c>
      <c r="D53" s="2" t="s">
        <v>450</v>
      </c>
      <c r="E53" s="2">
        <f>+IFERROR(VLOOKUP(A53,'2122'!$A$12:$C$389,2,),0)</f>
        <v>0</v>
      </c>
      <c r="F53" s="2">
        <v>0</v>
      </c>
      <c r="G53" s="2">
        <f t="shared" si="2"/>
        <v>0</v>
      </c>
      <c r="H53" s="2">
        <f>+IFERROR(VLOOKUP(A53,'2122'!$A$12:$C$389,3,),0)</f>
        <v>0</v>
      </c>
      <c r="I53" s="2">
        <v>0</v>
      </c>
      <c r="J53" s="2">
        <f t="shared" si="3"/>
        <v>0</v>
      </c>
      <c r="K53" s="2">
        <v>1000</v>
      </c>
      <c r="M53" s="2">
        <v>1000</v>
      </c>
      <c r="N53" s="2">
        <v>0</v>
      </c>
      <c r="P53" s="2">
        <v>0</v>
      </c>
    </row>
    <row r="54" spans="1:16">
      <c r="A54" s="2" t="s">
        <v>454</v>
      </c>
      <c r="B54" s="9">
        <v>9</v>
      </c>
      <c r="C54" s="2" t="s">
        <v>602</v>
      </c>
      <c r="D54" s="2" t="s">
        <v>450</v>
      </c>
      <c r="E54" s="2">
        <f>+IFERROR(VLOOKUP(A54,'2122'!$A$12:$C$389,2,),0)</f>
        <v>0</v>
      </c>
      <c r="F54" s="2">
        <v>0</v>
      </c>
      <c r="G54" s="2">
        <f t="shared" si="2"/>
        <v>0</v>
      </c>
      <c r="H54" s="2">
        <f>+IFERROR(VLOOKUP(A54,'2122'!$A$12:$C$389,3,),0)</f>
        <v>0</v>
      </c>
      <c r="I54" s="2">
        <v>0</v>
      </c>
      <c r="J54" s="2">
        <f t="shared" si="3"/>
        <v>0</v>
      </c>
      <c r="K54" s="2">
        <v>0</v>
      </c>
      <c r="M54" s="2">
        <v>0</v>
      </c>
      <c r="N54" s="2">
        <v>0</v>
      </c>
      <c r="P54" s="2">
        <v>0</v>
      </c>
    </row>
    <row r="55" spans="1:16">
      <c r="A55" s="2" t="s">
        <v>455</v>
      </c>
      <c r="B55" s="9">
        <v>9</v>
      </c>
      <c r="C55" s="2" t="s">
        <v>602</v>
      </c>
      <c r="D55" s="2" t="s">
        <v>450</v>
      </c>
      <c r="E55" s="2">
        <f>+IFERROR(VLOOKUP(A55,'2122'!$A$12:$C$389,2,),0)</f>
        <v>0</v>
      </c>
      <c r="F55" s="2">
        <v>0</v>
      </c>
      <c r="G55" s="2">
        <f t="shared" si="2"/>
        <v>0</v>
      </c>
      <c r="H55" s="2">
        <f>+IFERROR(VLOOKUP(A55,'2122'!$A$12:$C$389,3,),0)</f>
        <v>0</v>
      </c>
      <c r="I55" s="2">
        <v>0</v>
      </c>
      <c r="J55" s="2">
        <f t="shared" si="3"/>
        <v>0</v>
      </c>
      <c r="K55" s="2">
        <v>0</v>
      </c>
      <c r="M55" s="2">
        <v>0</v>
      </c>
      <c r="N55" s="2">
        <v>0</v>
      </c>
      <c r="P55" s="2">
        <v>0</v>
      </c>
    </row>
    <row r="56" spans="1:16">
      <c r="A56" s="2" t="s">
        <v>456</v>
      </c>
      <c r="B56" s="9">
        <v>17</v>
      </c>
      <c r="C56" s="2" t="s">
        <v>415</v>
      </c>
      <c r="D56" s="2" t="s">
        <v>415</v>
      </c>
      <c r="E56" s="2">
        <f>+IFERROR(VLOOKUP(A56,'2122'!$A$12:$C$389,2,),0)</f>
        <v>0</v>
      </c>
      <c r="F56" s="2">
        <v>0</v>
      </c>
      <c r="G56" s="2">
        <f t="shared" si="2"/>
        <v>0</v>
      </c>
      <c r="H56" s="2">
        <f>+IFERROR(VLOOKUP(A56,'2122'!$A$12:$C$389,3,),0)</f>
        <v>0</v>
      </c>
      <c r="I56" s="2">
        <v>0</v>
      </c>
      <c r="J56" s="2">
        <f t="shared" si="3"/>
        <v>0</v>
      </c>
      <c r="K56" s="2">
        <v>0</v>
      </c>
      <c r="M56" s="2">
        <v>0</v>
      </c>
      <c r="N56" s="2">
        <v>0</v>
      </c>
      <c r="P56" s="2">
        <v>0</v>
      </c>
    </row>
    <row r="57" spans="1:16">
      <c r="A57" s="2" t="s">
        <v>457</v>
      </c>
      <c r="B57" s="9">
        <v>17</v>
      </c>
      <c r="C57" s="2" t="s">
        <v>415</v>
      </c>
      <c r="D57" s="2" t="s">
        <v>415</v>
      </c>
      <c r="E57" s="2">
        <f>+IFERROR(VLOOKUP(A57,'2122'!$A$12:$C$389,2,),0)</f>
        <v>0</v>
      </c>
      <c r="F57" s="2">
        <v>0</v>
      </c>
      <c r="G57" s="2">
        <f t="shared" si="2"/>
        <v>0</v>
      </c>
      <c r="H57" s="2">
        <f>+IFERROR(VLOOKUP(A57,'2122'!$A$12:$C$389,3,),0)</f>
        <v>0</v>
      </c>
      <c r="I57" s="2">
        <v>0</v>
      </c>
      <c r="J57" s="2">
        <f t="shared" si="3"/>
        <v>0</v>
      </c>
      <c r="K57" s="2">
        <v>0</v>
      </c>
      <c r="M57" s="2">
        <v>0</v>
      </c>
      <c r="N57" s="2">
        <v>0</v>
      </c>
      <c r="P57" s="2">
        <v>0</v>
      </c>
    </row>
    <row r="58" spans="1:16">
      <c r="A58" s="2" t="s">
        <v>458</v>
      </c>
      <c r="B58" s="9">
        <v>17</v>
      </c>
      <c r="C58" s="2" t="s">
        <v>415</v>
      </c>
      <c r="D58" s="2" t="s">
        <v>415</v>
      </c>
      <c r="E58" s="2">
        <f>+IFERROR(VLOOKUP(A58,'2122'!$A$12:$C$389,2,),0)</f>
        <v>0</v>
      </c>
      <c r="F58" s="2">
        <v>0</v>
      </c>
      <c r="G58" s="2">
        <f t="shared" si="2"/>
        <v>0</v>
      </c>
      <c r="H58" s="2">
        <f>+IFERROR(VLOOKUP(A58,'2122'!$A$12:$C$389,3,),0)</f>
        <v>141516</v>
      </c>
      <c r="I58" s="2">
        <v>0</v>
      </c>
      <c r="J58" s="2">
        <f t="shared" si="3"/>
        <v>141516</v>
      </c>
      <c r="K58" s="2">
        <v>0</v>
      </c>
      <c r="M58" s="2">
        <v>0</v>
      </c>
      <c r="N58" s="2">
        <v>68388</v>
      </c>
      <c r="P58" s="2">
        <v>68388</v>
      </c>
    </row>
    <row r="59" spans="1:16">
      <c r="A59" s="2" t="s">
        <v>459</v>
      </c>
      <c r="B59" s="9">
        <v>17</v>
      </c>
      <c r="C59" s="2" t="s">
        <v>415</v>
      </c>
      <c r="D59" s="2" t="s">
        <v>415</v>
      </c>
      <c r="E59" s="2">
        <f>+IFERROR(VLOOKUP(A59,'2122'!$A$12:$C$389,2,),0)</f>
        <v>0</v>
      </c>
      <c r="F59" s="2">
        <v>0</v>
      </c>
      <c r="G59" s="2">
        <f t="shared" si="2"/>
        <v>0</v>
      </c>
      <c r="H59" s="2">
        <f>+IFERROR(VLOOKUP(A59,'2122'!$A$12:$C$389,3,),0)</f>
        <v>0</v>
      </c>
      <c r="I59" s="2">
        <v>0</v>
      </c>
      <c r="J59" s="2">
        <f t="shared" si="3"/>
        <v>0</v>
      </c>
      <c r="K59" s="2">
        <v>6461</v>
      </c>
      <c r="M59" s="2">
        <v>6461</v>
      </c>
      <c r="N59" s="2">
        <v>0</v>
      </c>
      <c r="P59" s="2">
        <v>0</v>
      </c>
    </row>
    <row r="60" spans="1:16">
      <c r="A60" s="2" t="s">
        <v>460</v>
      </c>
      <c r="B60" s="9">
        <v>17</v>
      </c>
      <c r="C60" s="2" t="s">
        <v>415</v>
      </c>
      <c r="D60" s="2" t="s">
        <v>415</v>
      </c>
      <c r="E60" s="2">
        <f>+IFERROR(VLOOKUP(A60,'2122'!$A$12:$C$389,2,),0)</f>
        <v>0</v>
      </c>
      <c r="F60" s="2">
        <v>0</v>
      </c>
      <c r="G60" s="2">
        <f t="shared" si="2"/>
        <v>0</v>
      </c>
      <c r="H60" s="2">
        <f>+IFERROR(VLOOKUP(A60,'2122'!$A$12:$C$389,3,),0)</f>
        <v>0</v>
      </c>
      <c r="I60" s="2">
        <v>0</v>
      </c>
      <c r="J60" s="2">
        <f t="shared" si="3"/>
        <v>0</v>
      </c>
      <c r="K60" s="2">
        <v>0</v>
      </c>
      <c r="M60" s="2">
        <v>0</v>
      </c>
      <c r="N60" s="2">
        <v>0</v>
      </c>
      <c r="P60" s="2">
        <v>0</v>
      </c>
    </row>
    <row r="61" spans="1:16">
      <c r="A61" s="2" t="s">
        <v>461</v>
      </c>
      <c r="B61" s="9">
        <v>6</v>
      </c>
      <c r="C61" s="2" t="s">
        <v>1074</v>
      </c>
      <c r="D61" s="2" t="s">
        <v>423</v>
      </c>
      <c r="E61" s="2">
        <f>+IFERROR(VLOOKUP(A61,'2122'!$A$12:$C$389,2,),0)</f>
        <v>0</v>
      </c>
      <c r="F61" s="2">
        <v>0</v>
      </c>
      <c r="G61" s="2">
        <f t="shared" si="2"/>
        <v>0</v>
      </c>
      <c r="H61" s="2">
        <f>+IFERROR(VLOOKUP(A61,'2122'!$A$12:$C$389,3,),0)</f>
        <v>0</v>
      </c>
      <c r="I61" s="2">
        <v>0</v>
      </c>
      <c r="J61" s="2">
        <f t="shared" si="3"/>
        <v>0</v>
      </c>
      <c r="K61" s="2">
        <v>0</v>
      </c>
      <c r="M61" s="2">
        <v>0</v>
      </c>
      <c r="N61" s="2">
        <v>0</v>
      </c>
      <c r="P61" s="2">
        <v>0</v>
      </c>
    </row>
    <row r="62" spans="1:16">
      <c r="A62" s="2" t="s">
        <v>462</v>
      </c>
      <c r="B62" s="9">
        <v>6</v>
      </c>
      <c r="C62" s="2" t="s">
        <v>1074</v>
      </c>
      <c r="D62" s="2" t="s">
        <v>423</v>
      </c>
      <c r="E62" s="2">
        <f>+IFERROR(VLOOKUP(A62,'2122'!$A$12:$C$389,2,),0)</f>
        <v>0</v>
      </c>
      <c r="F62" s="2">
        <v>0</v>
      </c>
      <c r="G62" s="2">
        <f t="shared" si="2"/>
        <v>0</v>
      </c>
      <c r="H62" s="2">
        <f>+IFERROR(VLOOKUP(A62,'2122'!$A$12:$C$389,3,),0)</f>
        <v>0</v>
      </c>
      <c r="I62" s="2">
        <v>0</v>
      </c>
      <c r="J62" s="2">
        <f t="shared" si="3"/>
        <v>0</v>
      </c>
      <c r="K62" s="2">
        <v>0</v>
      </c>
      <c r="M62" s="2">
        <v>0</v>
      </c>
      <c r="N62" s="2">
        <v>0</v>
      </c>
      <c r="P62" s="2">
        <v>0</v>
      </c>
    </row>
    <row r="63" spans="1:16">
      <c r="A63" s="2" t="s">
        <v>463</v>
      </c>
      <c r="B63" s="9">
        <v>6</v>
      </c>
      <c r="C63" s="2" t="s">
        <v>1074</v>
      </c>
      <c r="D63" s="2" t="s">
        <v>423</v>
      </c>
      <c r="E63" s="2">
        <f>+IFERROR(VLOOKUP(A63,'2122'!$A$12:$C$389,2,),0)</f>
        <v>0</v>
      </c>
      <c r="F63" s="2">
        <v>0</v>
      </c>
      <c r="G63" s="2">
        <f t="shared" si="2"/>
        <v>0</v>
      </c>
      <c r="H63" s="2">
        <f>+IFERROR(VLOOKUP(A63,'2122'!$A$12:$C$389,3,),0)</f>
        <v>0</v>
      </c>
      <c r="I63" s="2">
        <v>0</v>
      </c>
      <c r="J63" s="2">
        <f t="shared" si="3"/>
        <v>0</v>
      </c>
      <c r="K63" s="2">
        <v>0</v>
      </c>
      <c r="M63" s="2">
        <v>0</v>
      </c>
      <c r="N63" s="2">
        <v>0</v>
      </c>
      <c r="P63" s="2">
        <v>0</v>
      </c>
    </row>
    <row r="64" spans="1:16">
      <c r="A64" s="2" t="s">
        <v>464</v>
      </c>
      <c r="B64" s="9">
        <v>6</v>
      </c>
      <c r="C64" s="2" t="s">
        <v>1074</v>
      </c>
      <c r="D64" s="2" t="s">
        <v>423</v>
      </c>
      <c r="E64" s="2">
        <f>+IFERROR(VLOOKUP(A64,'2122'!$A$12:$C$389,2,),0)</f>
        <v>0</v>
      </c>
      <c r="F64" s="2">
        <v>0</v>
      </c>
      <c r="G64" s="2">
        <f t="shared" si="2"/>
        <v>0</v>
      </c>
      <c r="H64" s="2">
        <f>+IFERROR(VLOOKUP(A64,'2122'!$A$12:$C$389,3,),0)</f>
        <v>0</v>
      </c>
      <c r="I64" s="2">
        <v>0</v>
      </c>
      <c r="J64" s="2">
        <f t="shared" si="3"/>
        <v>0</v>
      </c>
      <c r="K64" s="2">
        <v>0</v>
      </c>
      <c r="M64" s="2">
        <v>0</v>
      </c>
      <c r="N64" s="2">
        <v>34754</v>
      </c>
      <c r="P64" s="2">
        <v>34754</v>
      </c>
    </row>
    <row r="65" spans="1:16">
      <c r="A65" s="2" t="s">
        <v>312</v>
      </c>
      <c r="B65" s="9">
        <v>6</v>
      </c>
      <c r="C65" s="2" t="s">
        <v>1074</v>
      </c>
      <c r="D65" s="2" t="s">
        <v>423</v>
      </c>
      <c r="E65" s="2">
        <f>+IFERROR(VLOOKUP(A65,'2122'!$A$12:$C$389,2,),0)</f>
        <v>1231667</v>
      </c>
      <c r="F65" s="2">
        <v>0</v>
      </c>
      <c r="G65" s="2">
        <f t="shared" si="2"/>
        <v>1231667</v>
      </c>
      <c r="H65" s="2">
        <f>+IFERROR(VLOOKUP(A65,'2122'!$A$12:$C$389,3,),0)</f>
        <v>0</v>
      </c>
      <c r="I65" s="2">
        <v>0</v>
      </c>
      <c r="J65" s="2">
        <f t="shared" si="3"/>
        <v>0</v>
      </c>
      <c r="K65" s="2">
        <v>0</v>
      </c>
      <c r="M65" s="2">
        <v>0</v>
      </c>
      <c r="N65" s="2">
        <v>0</v>
      </c>
      <c r="P65" s="2">
        <v>0</v>
      </c>
    </row>
    <row r="66" spans="1:16">
      <c r="A66" s="2" t="s">
        <v>465</v>
      </c>
      <c r="B66" s="9">
        <v>6</v>
      </c>
      <c r="C66" s="2" t="s">
        <v>1074</v>
      </c>
      <c r="D66" s="2" t="s">
        <v>423</v>
      </c>
      <c r="E66" s="2">
        <f>+IFERROR(VLOOKUP(A66,'2122'!$A$12:$C$389,2,),0)</f>
        <v>0</v>
      </c>
      <c r="F66" s="2">
        <v>0</v>
      </c>
      <c r="G66" s="2">
        <f t="shared" si="2"/>
        <v>0</v>
      </c>
      <c r="H66" s="2">
        <f>+IFERROR(VLOOKUP(A66,'2122'!$A$12:$C$389,3,),0)</f>
        <v>0</v>
      </c>
      <c r="I66" s="2">
        <v>0</v>
      </c>
      <c r="J66" s="2">
        <f t="shared" si="3"/>
        <v>0</v>
      </c>
      <c r="K66" s="2">
        <v>3430</v>
      </c>
      <c r="M66" s="2">
        <v>3430</v>
      </c>
      <c r="N66" s="2">
        <v>0</v>
      </c>
      <c r="P66" s="2">
        <v>0</v>
      </c>
    </row>
    <row r="67" spans="1:16">
      <c r="A67" s="2" t="s">
        <v>466</v>
      </c>
      <c r="B67" s="9">
        <v>6</v>
      </c>
      <c r="C67" s="2" t="s">
        <v>1074</v>
      </c>
      <c r="D67" s="2" t="s">
        <v>423</v>
      </c>
      <c r="E67" s="2">
        <f>+IFERROR(VLOOKUP(A67,'2122'!$A$12:$C$389,2,),0)</f>
        <v>0</v>
      </c>
      <c r="F67" s="2">
        <v>0</v>
      </c>
      <c r="G67" s="2">
        <f t="shared" si="2"/>
        <v>0</v>
      </c>
      <c r="H67" s="2">
        <f>+IFERROR(VLOOKUP(A67,'2122'!$A$12:$C$389,3,),0)</f>
        <v>0</v>
      </c>
      <c r="I67" s="2">
        <v>0</v>
      </c>
      <c r="J67" s="2">
        <f t="shared" si="3"/>
        <v>0</v>
      </c>
      <c r="K67" s="2">
        <v>890949</v>
      </c>
      <c r="M67" s="2">
        <v>890949</v>
      </c>
      <c r="N67" s="2">
        <v>0</v>
      </c>
      <c r="P67" s="2">
        <v>0</v>
      </c>
    </row>
    <row r="68" spans="1:16">
      <c r="A68" s="2" t="s">
        <v>104</v>
      </c>
      <c r="B68" s="9">
        <v>17</v>
      </c>
      <c r="C68" s="2" t="s">
        <v>415</v>
      </c>
      <c r="D68" s="2" t="s">
        <v>416</v>
      </c>
      <c r="E68" s="2">
        <f>+IFERROR(VLOOKUP(A68,'2122'!$A$12:$C$389,2,),0)</f>
        <v>0</v>
      </c>
      <c r="F68" s="2">
        <v>0</v>
      </c>
      <c r="G68" s="2">
        <f t="shared" si="2"/>
        <v>0</v>
      </c>
      <c r="H68" s="2">
        <f>+IFERROR(VLOOKUP(A68,'2122'!$A$12:$C$389,3,),0)</f>
        <v>41913</v>
      </c>
      <c r="I68" s="2">
        <v>0</v>
      </c>
      <c r="J68" s="2">
        <f t="shared" si="3"/>
        <v>41913</v>
      </c>
      <c r="K68" s="2">
        <v>0</v>
      </c>
      <c r="M68" s="2">
        <v>0</v>
      </c>
      <c r="N68" s="2">
        <v>0</v>
      </c>
      <c r="P68" s="2">
        <v>0</v>
      </c>
    </row>
    <row r="69" spans="1:16">
      <c r="A69" s="2" t="s">
        <v>467</v>
      </c>
      <c r="B69" s="9">
        <v>17</v>
      </c>
      <c r="C69" s="2" t="s">
        <v>415</v>
      </c>
      <c r="D69" s="2" t="s">
        <v>416</v>
      </c>
      <c r="E69" s="2">
        <f>+IFERROR(VLOOKUP(A69,'2122'!$A$12:$C$389,2,),0)</f>
        <v>0</v>
      </c>
      <c r="F69" s="2">
        <v>0</v>
      </c>
      <c r="G69" s="2">
        <f t="shared" si="2"/>
        <v>0</v>
      </c>
      <c r="H69" s="2">
        <f>+IFERROR(VLOOKUP(A69,'2122'!$A$12:$C$389,3,),0)</f>
        <v>0</v>
      </c>
      <c r="I69" s="2">
        <v>0</v>
      </c>
      <c r="J69" s="2">
        <f t="shared" si="3"/>
        <v>0</v>
      </c>
      <c r="K69" s="2">
        <v>0</v>
      </c>
      <c r="M69" s="2">
        <v>0</v>
      </c>
      <c r="N69" s="2">
        <v>0</v>
      </c>
      <c r="P69" s="2">
        <v>0</v>
      </c>
    </row>
    <row r="70" spans="1:16">
      <c r="A70" s="2" t="s">
        <v>468</v>
      </c>
      <c r="B70" s="9">
        <v>17</v>
      </c>
      <c r="C70" s="2" t="s">
        <v>415</v>
      </c>
      <c r="D70" s="2" t="s">
        <v>416</v>
      </c>
      <c r="E70" s="2">
        <f>+IFERROR(VLOOKUP(A70,'2122'!$A$12:$C$389,2,),0)</f>
        <v>0</v>
      </c>
      <c r="F70" s="2">
        <v>0</v>
      </c>
      <c r="G70" s="2">
        <f t="shared" si="2"/>
        <v>0</v>
      </c>
      <c r="H70" s="2">
        <f>+IFERROR(VLOOKUP(A70,'2122'!$A$12:$C$389,3,),0)</f>
        <v>0</v>
      </c>
      <c r="I70" s="2">
        <v>0</v>
      </c>
      <c r="J70" s="2">
        <f t="shared" si="3"/>
        <v>0</v>
      </c>
      <c r="K70" s="2">
        <v>0</v>
      </c>
      <c r="M70" s="2">
        <v>0</v>
      </c>
      <c r="N70" s="2">
        <v>58240</v>
      </c>
      <c r="P70" s="2">
        <v>58240</v>
      </c>
    </row>
    <row r="71" spans="1:16">
      <c r="A71" s="2" t="s">
        <v>469</v>
      </c>
      <c r="B71" s="9">
        <v>17</v>
      </c>
      <c r="C71" s="2" t="s">
        <v>415</v>
      </c>
      <c r="D71" s="2" t="s">
        <v>416</v>
      </c>
      <c r="E71" s="2">
        <f>+IFERROR(VLOOKUP(A71,'2122'!$A$12:$C$389,2,),0)</f>
        <v>0</v>
      </c>
      <c r="F71" s="2">
        <v>0</v>
      </c>
      <c r="G71" s="2">
        <f t="shared" si="2"/>
        <v>0</v>
      </c>
      <c r="H71" s="2">
        <f>+IFERROR(VLOOKUP(A71,'2122'!$A$12:$C$389,3,),0)</f>
        <v>0</v>
      </c>
      <c r="I71" s="2">
        <v>0</v>
      </c>
      <c r="J71" s="2">
        <f t="shared" si="3"/>
        <v>0</v>
      </c>
      <c r="K71" s="2">
        <v>0</v>
      </c>
      <c r="M71" s="2">
        <v>0</v>
      </c>
      <c r="N71" s="2">
        <v>0</v>
      </c>
      <c r="P71" s="2">
        <v>0</v>
      </c>
    </row>
    <row r="72" spans="1:16">
      <c r="A72" s="2" t="s">
        <v>470</v>
      </c>
      <c r="B72" s="9">
        <v>10</v>
      </c>
      <c r="C72" s="2" t="s">
        <v>598</v>
      </c>
      <c r="D72" s="2" t="s">
        <v>445</v>
      </c>
      <c r="E72" s="2">
        <f>+IFERROR(VLOOKUP(A72,'2122'!$A$12:$C$389,2,),0)</f>
        <v>0</v>
      </c>
      <c r="F72" s="2">
        <v>0</v>
      </c>
      <c r="G72" s="2">
        <f t="shared" si="2"/>
        <v>0</v>
      </c>
      <c r="H72" s="2">
        <f>+IFERROR(VLOOKUP(A72,'2122'!$A$12:$C$389,3,),0)</f>
        <v>0</v>
      </c>
      <c r="I72" s="2">
        <v>0</v>
      </c>
      <c r="J72" s="2">
        <f t="shared" si="3"/>
        <v>0</v>
      </c>
      <c r="K72" s="2">
        <v>0</v>
      </c>
      <c r="M72" s="2">
        <v>0</v>
      </c>
      <c r="N72" s="2">
        <v>0</v>
      </c>
      <c r="P72" s="2">
        <v>0</v>
      </c>
    </row>
    <row r="73" spans="1:16">
      <c r="A73" s="2" t="s">
        <v>471</v>
      </c>
      <c r="B73" s="9">
        <v>17</v>
      </c>
      <c r="C73" s="2" t="s">
        <v>415</v>
      </c>
      <c r="D73" s="2" t="s">
        <v>416</v>
      </c>
      <c r="E73" s="2">
        <f>+IFERROR(VLOOKUP(A73,'2122'!$A$12:$C$389,2,),0)</f>
        <v>0</v>
      </c>
      <c r="F73" s="2">
        <v>0</v>
      </c>
      <c r="G73" s="2">
        <f t="shared" si="2"/>
        <v>0</v>
      </c>
      <c r="H73" s="2">
        <f>+IFERROR(VLOOKUP(A73,'2122'!$A$12:$C$389,3,),0)</f>
        <v>0</v>
      </c>
      <c r="I73" s="2">
        <v>0</v>
      </c>
      <c r="J73" s="2">
        <f t="shared" si="3"/>
        <v>0</v>
      </c>
      <c r="K73" s="2">
        <v>0</v>
      </c>
      <c r="M73" s="2">
        <v>0</v>
      </c>
      <c r="N73" s="2">
        <v>0</v>
      </c>
      <c r="P73" s="2">
        <v>0</v>
      </c>
    </row>
    <row r="74" spans="1:16">
      <c r="A74" s="2" t="s">
        <v>472</v>
      </c>
      <c r="B74" s="9">
        <v>17</v>
      </c>
      <c r="C74" s="2" t="s">
        <v>415</v>
      </c>
      <c r="D74" s="2" t="s">
        <v>416</v>
      </c>
      <c r="E74" s="2">
        <f>+IFERROR(VLOOKUP(A74,'2122'!$A$12:$C$389,2,),0)</f>
        <v>0</v>
      </c>
      <c r="F74" s="2">
        <v>0</v>
      </c>
      <c r="G74" s="2">
        <f t="shared" ref="G74:G137" si="12">+E74+F74</f>
        <v>0</v>
      </c>
      <c r="H74" s="2">
        <f>+IFERROR(VLOOKUP(A74,'2122'!$A$12:$C$389,3,),0)</f>
        <v>0</v>
      </c>
      <c r="I74" s="2">
        <v>0</v>
      </c>
      <c r="J74" s="2">
        <f t="shared" ref="J74:J137" si="13">+H74+I74</f>
        <v>0</v>
      </c>
      <c r="K74" s="2">
        <v>0</v>
      </c>
      <c r="M74" s="2">
        <v>0</v>
      </c>
      <c r="N74" s="2">
        <v>0</v>
      </c>
      <c r="P74" s="2">
        <v>0</v>
      </c>
    </row>
    <row r="75" spans="1:16">
      <c r="A75" s="2" t="s">
        <v>473</v>
      </c>
      <c r="B75" s="9">
        <v>13</v>
      </c>
      <c r="C75" s="2" t="s">
        <v>474</v>
      </c>
      <c r="D75" s="2" t="s">
        <v>475</v>
      </c>
      <c r="E75" s="2">
        <f>+IFERROR(VLOOKUP(A75,'2122'!$A$12:$C$389,2,),0)</f>
        <v>0</v>
      </c>
      <c r="F75" s="2">
        <v>0</v>
      </c>
      <c r="G75" s="2">
        <f t="shared" si="12"/>
        <v>0</v>
      </c>
      <c r="H75" s="2">
        <f>+IFERROR(VLOOKUP(A75,'2122'!$A$12:$C$389,3,),0)</f>
        <v>2535850</v>
      </c>
      <c r="I75" s="2">
        <v>0</v>
      </c>
      <c r="J75" s="2">
        <f t="shared" si="13"/>
        <v>2535850</v>
      </c>
      <c r="K75" s="2">
        <v>0</v>
      </c>
      <c r="M75" s="2">
        <v>0</v>
      </c>
      <c r="N75" s="2">
        <v>2353055</v>
      </c>
      <c r="P75" s="2">
        <v>2353055</v>
      </c>
    </row>
    <row r="76" spans="1:16">
      <c r="A76" s="2" t="s">
        <v>476</v>
      </c>
      <c r="B76" s="9">
        <v>17</v>
      </c>
      <c r="C76" s="2" t="s">
        <v>415</v>
      </c>
      <c r="D76" s="2" t="s">
        <v>416</v>
      </c>
      <c r="E76" s="2">
        <f>+IFERROR(VLOOKUP(A76,'2122'!$A$12:$C$389,2,),0)</f>
        <v>0</v>
      </c>
      <c r="F76" s="2">
        <v>0</v>
      </c>
      <c r="G76" s="2">
        <f t="shared" si="12"/>
        <v>0</v>
      </c>
      <c r="H76" s="2">
        <f>+IFERROR(VLOOKUP(A76,'2122'!$A$12:$C$389,3,),0)</f>
        <v>0</v>
      </c>
      <c r="I76" s="2">
        <v>0</v>
      </c>
      <c r="J76" s="2">
        <f t="shared" si="13"/>
        <v>0</v>
      </c>
      <c r="K76" s="2">
        <v>0</v>
      </c>
      <c r="M76" s="2">
        <v>0</v>
      </c>
      <c r="N76" s="2">
        <v>0</v>
      </c>
      <c r="P76" s="2">
        <v>0</v>
      </c>
    </row>
    <row r="77" spans="1:16">
      <c r="A77" s="2" t="s">
        <v>28</v>
      </c>
      <c r="B77" s="9">
        <v>13</v>
      </c>
      <c r="C77" s="2" t="s">
        <v>474</v>
      </c>
      <c r="D77" s="2" t="s">
        <v>475</v>
      </c>
      <c r="E77" s="2">
        <f>+IFERROR(VLOOKUP(A77,'2122'!$A$12:$C$389,2,),0)</f>
        <v>0</v>
      </c>
      <c r="F77" s="2">
        <v>0</v>
      </c>
      <c r="G77" s="2">
        <f t="shared" si="12"/>
        <v>0</v>
      </c>
      <c r="H77" s="2">
        <f>+IFERROR(VLOOKUP(A77,'2122'!$A$12:$C$389,3,),0)</f>
        <v>1010842</v>
      </c>
      <c r="I77" s="2">
        <v>0</v>
      </c>
      <c r="J77" s="2">
        <f t="shared" si="13"/>
        <v>1010842</v>
      </c>
      <c r="K77" s="2">
        <v>0</v>
      </c>
      <c r="M77" s="2">
        <v>0</v>
      </c>
      <c r="N77" s="2">
        <v>941222</v>
      </c>
      <c r="P77" s="2">
        <v>941222</v>
      </c>
    </row>
    <row r="78" spans="1:16">
      <c r="A78" s="2" t="s">
        <v>477</v>
      </c>
      <c r="B78" s="9">
        <v>17</v>
      </c>
      <c r="C78" s="2" t="s">
        <v>415</v>
      </c>
      <c r="D78" s="2" t="s">
        <v>415</v>
      </c>
      <c r="E78" s="2">
        <f>+IFERROR(VLOOKUP(A78,'2122'!$A$12:$C$389,2,),0)</f>
        <v>0</v>
      </c>
      <c r="F78" s="2">
        <v>0</v>
      </c>
      <c r="G78" s="2">
        <f t="shared" si="12"/>
        <v>0</v>
      </c>
      <c r="H78" s="2">
        <f>+IFERROR(VLOOKUP(A78,'2122'!$A$12:$C$389,3,),0)</f>
        <v>0</v>
      </c>
      <c r="I78" s="2">
        <v>0</v>
      </c>
      <c r="J78" s="2">
        <f t="shared" si="13"/>
        <v>0</v>
      </c>
      <c r="K78" s="2">
        <v>0</v>
      </c>
      <c r="M78" s="2">
        <v>0</v>
      </c>
      <c r="N78" s="2">
        <v>0</v>
      </c>
      <c r="P78" s="2">
        <v>0</v>
      </c>
    </row>
    <row r="79" spans="1:16">
      <c r="A79" s="2" t="s">
        <v>121</v>
      </c>
      <c r="B79" s="9">
        <v>27</v>
      </c>
      <c r="C79" s="2" t="s">
        <v>1560</v>
      </c>
      <c r="D79" s="2" t="s">
        <v>1312</v>
      </c>
      <c r="E79" s="2">
        <f>+IFERROR(VLOOKUP(A79,'2122'!$A$12:$C$389,2,),0)</f>
        <v>148357</v>
      </c>
      <c r="F79" s="2">
        <v>0</v>
      </c>
      <c r="G79" s="2">
        <f t="shared" si="12"/>
        <v>148357</v>
      </c>
      <c r="H79" s="2">
        <f>+IFERROR(VLOOKUP(A79,'2122'!$A$12:$C$389,3,),0)</f>
        <v>0</v>
      </c>
      <c r="I79" s="2">
        <v>0</v>
      </c>
      <c r="J79" s="2">
        <f t="shared" si="13"/>
        <v>0</v>
      </c>
      <c r="K79" s="2">
        <v>116330</v>
      </c>
      <c r="M79" s="2">
        <v>116330</v>
      </c>
      <c r="N79" s="2">
        <v>0</v>
      </c>
      <c r="P79" s="2">
        <v>0</v>
      </c>
    </row>
    <row r="80" spans="1:16">
      <c r="A80" s="2" t="s">
        <v>478</v>
      </c>
      <c r="B80" s="9">
        <v>27</v>
      </c>
      <c r="C80" s="2" t="s">
        <v>1560</v>
      </c>
      <c r="D80" s="2" t="s">
        <v>1312</v>
      </c>
      <c r="E80" s="2">
        <f>+IFERROR(VLOOKUP(A80,'2122'!$A$12:$C$389,2,),0)</f>
        <v>0</v>
      </c>
      <c r="F80" s="2">
        <v>0</v>
      </c>
      <c r="G80" s="2">
        <f t="shared" si="12"/>
        <v>0</v>
      </c>
      <c r="H80" s="2">
        <f>+IFERROR(VLOOKUP(A80,'2122'!$A$12:$C$389,3,),0)</f>
        <v>0</v>
      </c>
      <c r="I80" s="2">
        <v>0</v>
      </c>
      <c r="J80" s="2">
        <f t="shared" si="13"/>
        <v>0</v>
      </c>
      <c r="K80" s="2">
        <v>1353054</v>
      </c>
      <c r="M80" s="2">
        <v>1353054</v>
      </c>
      <c r="N80" s="2">
        <v>0</v>
      </c>
      <c r="P80" s="2">
        <v>0</v>
      </c>
    </row>
    <row r="81" spans="1:16">
      <c r="A81" s="2" t="s">
        <v>479</v>
      </c>
      <c r="B81" s="9">
        <v>27</v>
      </c>
      <c r="C81" s="2" t="s">
        <v>1560</v>
      </c>
      <c r="D81" s="2" t="s">
        <v>1312</v>
      </c>
      <c r="E81" s="2">
        <f>+IFERROR(VLOOKUP(A81,'2122'!$A$12:$C$389,2,),0)</f>
        <v>0</v>
      </c>
      <c r="F81" s="2">
        <v>0</v>
      </c>
      <c r="G81" s="2">
        <f t="shared" si="12"/>
        <v>0</v>
      </c>
      <c r="H81" s="2">
        <f>+IFERROR(VLOOKUP(A81,'2122'!$A$12:$C$389,3,),0)</f>
        <v>0</v>
      </c>
      <c r="I81" s="2">
        <v>0</v>
      </c>
      <c r="J81" s="2">
        <f t="shared" si="13"/>
        <v>0</v>
      </c>
      <c r="K81" s="2">
        <v>31846</v>
      </c>
      <c r="M81" s="2">
        <v>31846</v>
      </c>
      <c r="N81" s="2">
        <v>0</v>
      </c>
      <c r="P81" s="2">
        <v>0</v>
      </c>
    </row>
    <row r="82" spans="1:16">
      <c r="A82" s="2" t="s">
        <v>480</v>
      </c>
      <c r="B82" s="9">
        <v>27</v>
      </c>
      <c r="C82" s="2" t="s">
        <v>1560</v>
      </c>
      <c r="D82" s="2" t="s">
        <v>1312</v>
      </c>
      <c r="E82" s="2">
        <f>+IFERROR(VLOOKUP(A82,'2122'!$A$12:$C$389,2,),0)</f>
        <v>0</v>
      </c>
      <c r="F82" s="2">
        <v>0</v>
      </c>
      <c r="G82" s="2">
        <f t="shared" si="12"/>
        <v>0</v>
      </c>
      <c r="H82" s="2">
        <f>+IFERROR(VLOOKUP(A82,'2122'!$A$12:$C$389,3,),0)</f>
        <v>0</v>
      </c>
      <c r="I82" s="2">
        <v>0</v>
      </c>
      <c r="J82" s="2">
        <f t="shared" si="13"/>
        <v>0</v>
      </c>
      <c r="K82" s="2">
        <v>0</v>
      </c>
      <c r="M82" s="2">
        <v>0</v>
      </c>
      <c r="N82" s="2">
        <v>0</v>
      </c>
      <c r="P82" s="2">
        <v>0</v>
      </c>
    </row>
    <row r="83" spans="1:16">
      <c r="A83" s="2" t="s">
        <v>29</v>
      </c>
      <c r="B83" s="9">
        <v>27</v>
      </c>
      <c r="C83" s="2" t="s">
        <v>1560</v>
      </c>
      <c r="D83" s="2" t="s">
        <v>1312</v>
      </c>
      <c r="E83" s="2">
        <f>+IFERROR(VLOOKUP(A83,'2122'!$A$12:$C$389,2,),0)</f>
        <v>12424</v>
      </c>
      <c r="F83" s="2">
        <v>0</v>
      </c>
      <c r="G83" s="2">
        <f t="shared" si="12"/>
        <v>12424</v>
      </c>
      <c r="H83" s="2">
        <f>+IFERROR(VLOOKUP(A83,'2122'!$A$12:$C$389,3,),0)</f>
        <v>0</v>
      </c>
      <c r="I83" s="2">
        <v>0</v>
      </c>
      <c r="J83" s="2">
        <f t="shared" si="13"/>
        <v>0</v>
      </c>
      <c r="K83" s="2">
        <v>19000</v>
      </c>
      <c r="M83" s="2">
        <v>19000</v>
      </c>
      <c r="N83" s="2">
        <v>0</v>
      </c>
      <c r="P83" s="2">
        <v>0</v>
      </c>
    </row>
    <row r="84" spans="1:16">
      <c r="A84" s="2" t="s">
        <v>30</v>
      </c>
      <c r="B84" s="9">
        <v>27</v>
      </c>
      <c r="C84" s="2" t="s">
        <v>1560</v>
      </c>
      <c r="D84" s="2" t="s">
        <v>1562</v>
      </c>
      <c r="E84" s="2">
        <f>+IFERROR(VLOOKUP(A84,'2122'!$A$12:$C$389,2,),0)</f>
        <v>55000</v>
      </c>
      <c r="F84" s="2">
        <v>0</v>
      </c>
      <c r="G84" s="2">
        <f t="shared" si="12"/>
        <v>55000</v>
      </c>
      <c r="H84" s="2">
        <f>+IFERROR(VLOOKUP(A84,'2122'!$A$12:$C$389,3,),0)</f>
        <v>0</v>
      </c>
      <c r="I84" s="2">
        <v>0</v>
      </c>
      <c r="J84" s="2">
        <f t="shared" si="13"/>
        <v>0</v>
      </c>
      <c r="K84" s="2">
        <v>9000</v>
      </c>
      <c r="M84" s="2">
        <v>9000</v>
      </c>
      <c r="N84" s="2">
        <v>0</v>
      </c>
      <c r="P84" s="2">
        <v>0</v>
      </c>
    </row>
    <row r="85" spans="1:16">
      <c r="A85" s="2" t="s">
        <v>252</v>
      </c>
      <c r="B85" s="9">
        <v>27</v>
      </c>
      <c r="C85" s="2" t="s">
        <v>1560</v>
      </c>
      <c r="D85" s="2" t="s">
        <v>1562</v>
      </c>
      <c r="E85" s="2">
        <f>+IFERROR(VLOOKUP(A85,'2122'!$A$12:$C$389,2,),0)</f>
        <v>48000</v>
      </c>
      <c r="F85" s="2">
        <v>0</v>
      </c>
      <c r="G85" s="2">
        <f t="shared" si="12"/>
        <v>48000</v>
      </c>
      <c r="H85" s="2">
        <f>+IFERROR(VLOOKUP(A85,'2122'!$A$12:$C$389,3,),0)</f>
        <v>0</v>
      </c>
      <c r="I85" s="2">
        <v>0</v>
      </c>
      <c r="J85" s="2">
        <f t="shared" si="13"/>
        <v>0</v>
      </c>
      <c r="K85" s="2">
        <v>0</v>
      </c>
      <c r="M85" s="2">
        <v>0</v>
      </c>
      <c r="N85" s="2">
        <v>0</v>
      </c>
      <c r="P85" s="2">
        <v>0</v>
      </c>
    </row>
    <row r="86" spans="1:16">
      <c r="A86" s="2" t="s">
        <v>481</v>
      </c>
      <c r="C86" s="2" t="s">
        <v>482</v>
      </c>
      <c r="D86" s="2" t="s">
        <v>483</v>
      </c>
      <c r="E86" s="2">
        <f>+IFERROR(VLOOKUP(A86,'2122'!$A$12:$C$389,2,),0)</f>
        <v>0</v>
      </c>
      <c r="F86" s="2">
        <v>0</v>
      </c>
      <c r="G86" s="2">
        <f t="shared" si="12"/>
        <v>0</v>
      </c>
      <c r="H86" s="2">
        <f>+IFERROR(VLOOKUP(A86,'2122'!$A$12:$C$389,3,),0)</f>
        <v>0</v>
      </c>
      <c r="I86" s="2">
        <v>0</v>
      </c>
      <c r="J86" s="2">
        <f t="shared" si="13"/>
        <v>0</v>
      </c>
      <c r="K86" s="2">
        <v>0</v>
      </c>
      <c r="M86" s="2">
        <v>0</v>
      </c>
      <c r="N86" s="2">
        <v>0</v>
      </c>
      <c r="P86" s="2">
        <v>0</v>
      </c>
    </row>
    <row r="87" spans="1:16">
      <c r="A87" s="2" t="s">
        <v>484</v>
      </c>
      <c r="C87" s="2" t="s">
        <v>482</v>
      </c>
      <c r="D87" s="2" t="s">
        <v>483</v>
      </c>
      <c r="E87" s="2">
        <f>+IFERROR(VLOOKUP(A87,'2122'!$A$12:$C$389,2,),0)</f>
        <v>0</v>
      </c>
      <c r="F87" s="2">
        <v>0</v>
      </c>
      <c r="G87" s="2">
        <f t="shared" si="12"/>
        <v>0</v>
      </c>
      <c r="H87" s="2">
        <f>+IFERROR(VLOOKUP(A87,'2122'!$A$12:$C$389,3,),0)</f>
        <v>0</v>
      </c>
      <c r="I87" s="2">
        <v>0</v>
      </c>
      <c r="J87" s="2">
        <f t="shared" si="13"/>
        <v>0</v>
      </c>
      <c r="K87" s="2">
        <v>0</v>
      </c>
      <c r="M87" s="2">
        <v>0</v>
      </c>
      <c r="N87" s="2">
        <v>0</v>
      </c>
      <c r="P87" s="2">
        <v>0</v>
      </c>
    </row>
    <row r="88" spans="1:16">
      <c r="A88" s="2" t="s">
        <v>485</v>
      </c>
      <c r="B88" s="9">
        <v>10</v>
      </c>
      <c r="C88" s="2" t="s">
        <v>598</v>
      </c>
      <c r="D88" s="2" t="s">
        <v>445</v>
      </c>
      <c r="E88" s="2">
        <f>+IFERROR(VLOOKUP(A88,'2122'!$A$12:$C$389,2,),0)</f>
        <v>0</v>
      </c>
      <c r="F88" s="2">
        <v>0</v>
      </c>
      <c r="G88" s="2">
        <f t="shared" si="12"/>
        <v>0</v>
      </c>
      <c r="H88" s="2">
        <f>+IFERROR(VLOOKUP(A88,'2122'!$A$12:$C$389,3,),0)</f>
        <v>0</v>
      </c>
      <c r="I88" s="2">
        <v>0</v>
      </c>
      <c r="J88" s="2">
        <f t="shared" si="13"/>
        <v>0</v>
      </c>
      <c r="K88" s="2">
        <v>0</v>
      </c>
      <c r="M88" s="2">
        <v>0</v>
      </c>
      <c r="N88" s="2">
        <v>0</v>
      </c>
      <c r="P88" s="2">
        <v>0</v>
      </c>
    </row>
    <row r="89" spans="1:16">
      <c r="A89" s="2" t="s">
        <v>486</v>
      </c>
      <c r="B89" s="9">
        <v>6</v>
      </c>
      <c r="C89" s="2" t="s">
        <v>1074</v>
      </c>
      <c r="D89" s="2" t="s">
        <v>423</v>
      </c>
      <c r="E89" s="2">
        <f>+IFERROR(VLOOKUP(A89,'2122'!$A$12:$C$389,2,),0)</f>
        <v>0</v>
      </c>
      <c r="F89" s="2">
        <v>0</v>
      </c>
      <c r="G89" s="2">
        <f t="shared" si="12"/>
        <v>0</v>
      </c>
      <c r="H89" s="2">
        <f>+IFERROR(VLOOKUP(A89,'2122'!$A$12:$C$389,3,),0)</f>
        <v>0</v>
      </c>
      <c r="I89" s="2">
        <v>0</v>
      </c>
      <c r="J89" s="2">
        <f t="shared" si="13"/>
        <v>0</v>
      </c>
      <c r="K89" s="2">
        <v>0</v>
      </c>
      <c r="M89" s="2">
        <v>0</v>
      </c>
      <c r="N89" s="2">
        <v>0</v>
      </c>
      <c r="P89" s="2">
        <v>0</v>
      </c>
    </row>
    <row r="90" spans="1:16">
      <c r="A90" s="2" t="s">
        <v>487</v>
      </c>
      <c r="B90" s="9">
        <v>6</v>
      </c>
      <c r="C90" s="2" t="s">
        <v>1074</v>
      </c>
      <c r="D90" s="2" t="s">
        <v>423</v>
      </c>
      <c r="E90" s="2">
        <f>+IFERROR(VLOOKUP(A90,'2122'!$A$12:$C$389,2,),0)</f>
        <v>0</v>
      </c>
      <c r="F90" s="2">
        <v>0</v>
      </c>
      <c r="G90" s="2">
        <f t="shared" si="12"/>
        <v>0</v>
      </c>
      <c r="H90" s="2">
        <f>+IFERROR(VLOOKUP(A90,'2122'!$A$12:$C$389,3,),0)</f>
        <v>0</v>
      </c>
      <c r="I90" s="2">
        <v>0</v>
      </c>
      <c r="J90" s="2">
        <f t="shared" si="13"/>
        <v>0</v>
      </c>
      <c r="K90" s="2">
        <v>0</v>
      </c>
      <c r="M90" s="2">
        <v>0</v>
      </c>
      <c r="N90" s="2">
        <v>0</v>
      </c>
      <c r="P90" s="2">
        <v>0</v>
      </c>
    </row>
    <row r="91" spans="1:16">
      <c r="A91" s="2" t="s">
        <v>488</v>
      </c>
      <c r="B91" s="9">
        <v>17</v>
      </c>
      <c r="C91" s="2" t="s">
        <v>415</v>
      </c>
      <c r="D91" s="2" t="s">
        <v>415</v>
      </c>
      <c r="E91" s="2">
        <f>+IFERROR(VLOOKUP(A91,'2122'!$A$12:$C$389,2,),0)</f>
        <v>0</v>
      </c>
      <c r="F91" s="2">
        <v>0</v>
      </c>
      <c r="G91" s="2">
        <f t="shared" si="12"/>
        <v>0</v>
      </c>
      <c r="H91" s="2">
        <f>+IFERROR(VLOOKUP(A91,'2122'!$A$12:$C$389,3,),0)</f>
        <v>0</v>
      </c>
      <c r="I91" s="2">
        <v>0</v>
      </c>
      <c r="J91" s="2">
        <f t="shared" si="13"/>
        <v>0</v>
      </c>
      <c r="K91" s="2">
        <v>0</v>
      </c>
      <c r="M91" s="2">
        <v>0</v>
      </c>
      <c r="N91" s="2">
        <v>0</v>
      </c>
      <c r="P91" s="2">
        <v>0</v>
      </c>
    </row>
    <row r="92" spans="1:16">
      <c r="A92" s="2" t="s">
        <v>489</v>
      </c>
      <c r="B92" s="9">
        <v>17</v>
      </c>
      <c r="C92" s="2" t="s">
        <v>415</v>
      </c>
      <c r="D92" s="2" t="s">
        <v>416</v>
      </c>
      <c r="E92" s="2">
        <f>+IFERROR(VLOOKUP(A92,'2122'!$A$12:$C$389,2,),0)</f>
        <v>0</v>
      </c>
      <c r="F92" s="2">
        <v>0</v>
      </c>
      <c r="G92" s="2">
        <f t="shared" si="12"/>
        <v>0</v>
      </c>
      <c r="H92" s="2">
        <f>+IFERROR(VLOOKUP(A92,'2122'!$A$12:$C$389,3,),0)</f>
        <v>0</v>
      </c>
      <c r="I92" s="2">
        <v>0</v>
      </c>
      <c r="J92" s="2">
        <f t="shared" si="13"/>
        <v>0</v>
      </c>
      <c r="K92" s="2">
        <v>0</v>
      </c>
      <c r="M92" s="2">
        <v>0</v>
      </c>
      <c r="N92" s="2">
        <v>0</v>
      </c>
      <c r="P92" s="2">
        <v>0</v>
      </c>
    </row>
    <row r="93" spans="1:16">
      <c r="A93" s="2" t="s">
        <v>490</v>
      </c>
      <c r="C93" s="2" t="s">
        <v>491</v>
      </c>
      <c r="D93" s="2" t="s">
        <v>490</v>
      </c>
      <c r="E93" s="2">
        <f>+IFERROR(VLOOKUP(A93,'2122'!$A$12:$C$389,2,),0)</f>
        <v>0</v>
      </c>
      <c r="F93" s="2">
        <v>0</v>
      </c>
      <c r="G93" s="2">
        <f t="shared" si="12"/>
        <v>0</v>
      </c>
      <c r="H93" s="2">
        <f>+IFERROR(VLOOKUP(A93,'2122'!$A$12:$C$389,3,),0)</f>
        <v>0</v>
      </c>
      <c r="I93" s="2">
        <v>0</v>
      </c>
      <c r="J93" s="2">
        <f t="shared" si="13"/>
        <v>0</v>
      </c>
      <c r="K93" s="2">
        <v>0</v>
      </c>
      <c r="M93" s="2">
        <v>0</v>
      </c>
      <c r="N93" s="2">
        <v>0</v>
      </c>
      <c r="P93" s="2">
        <v>0</v>
      </c>
    </row>
    <row r="94" spans="1:16">
      <c r="A94" s="2" t="s">
        <v>492</v>
      </c>
      <c r="B94" s="9">
        <v>17</v>
      </c>
      <c r="C94" s="2" t="s">
        <v>415</v>
      </c>
      <c r="D94" s="2" t="s">
        <v>415</v>
      </c>
      <c r="E94" s="2">
        <f>+IFERROR(VLOOKUP(A94,'2122'!$A$12:$C$389,2,),0)</f>
        <v>0</v>
      </c>
      <c r="F94" s="2">
        <v>0</v>
      </c>
      <c r="G94" s="2">
        <f t="shared" si="12"/>
        <v>0</v>
      </c>
      <c r="H94" s="2">
        <f>+IFERROR(VLOOKUP(A94,'2122'!$A$12:$C$389,3,),0)</f>
        <v>0</v>
      </c>
      <c r="I94" s="2">
        <v>0</v>
      </c>
      <c r="J94" s="2">
        <f t="shared" si="13"/>
        <v>0</v>
      </c>
      <c r="K94" s="2">
        <v>0</v>
      </c>
      <c r="M94" s="2">
        <v>0</v>
      </c>
      <c r="N94" s="2">
        <v>0</v>
      </c>
      <c r="P94" s="2">
        <v>0</v>
      </c>
    </row>
    <row r="95" spans="1:16">
      <c r="A95" s="2" t="s">
        <v>33</v>
      </c>
      <c r="B95" s="9">
        <v>27</v>
      </c>
      <c r="C95" s="2" t="s">
        <v>1560</v>
      </c>
      <c r="D95" s="2" t="s">
        <v>1308</v>
      </c>
      <c r="E95" s="2">
        <f>+IFERROR(VLOOKUP(A95,'2122'!$A$12:$C$389,2,),0)</f>
        <v>762</v>
      </c>
      <c r="F95" s="2">
        <v>0</v>
      </c>
      <c r="G95" s="2">
        <f t="shared" si="12"/>
        <v>762</v>
      </c>
      <c r="H95" s="2">
        <f>+IFERROR(VLOOKUP(A95,'2122'!$A$12:$C$389,3,),0)</f>
        <v>0</v>
      </c>
      <c r="I95" s="2">
        <v>0</v>
      </c>
      <c r="J95" s="2">
        <f t="shared" si="13"/>
        <v>0</v>
      </c>
      <c r="K95" s="2">
        <v>0</v>
      </c>
      <c r="M95" s="2">
        <v>0</v>
      </c>
      <c r="N95" s="2">
        <v>0</v>
      </c>
      <c r="P95" s="2">
        <v>0</v>
      </c>
    </row>
    <row r="96" spans="1:16">
      <c r="A96" s="2" t="s">
        <v>493</v>
      </c>
      <c r="B96" s="9">
        <v>27</v>
      </c>
      <c r="C96" s="2" t="s">
        <v>1560</v>
      </c>
      <c r="D96" s="2" t="s">
        <v>1308</v>
      </c>
      <c r="E96" s="2">
        <f>+IFERROR(VLOOKUP(A96,'2122'!$A$12:$C$389,2,),0)</f>
        <v>0</v>
      </c>
      <c r="F96" s="2">
        <v>0</v>
      </c>
      <c r="G96" s="2">
        <f t="shared" si="12"/>
        <v>0</v>
      </c>
      <c r="H96" s="2">
        <f>+IFERROR(VLOOKUP(A96,'2122'!$A$12:$C$389,3,),0)</f>
        <v>0</v>
      </c>
      <c r="I96" s="2">
        <v>0</v>
      </c>
      <c r="J96" s="2">
        <f t="shared" si="13"/>
        <v>0</v>
      </c>
      <c r="K96" s="2">
        <v>4000</v>
      </c>
      <c r="M96" s="2">
        <v>4000</v>
      </c>
      <c r="N96" s="2">
        <v>0</v>
      </c>
      <c r="P96" s="2">
        <v>0</v>
      </c>
    </row>
    <row r="97" spans="1:16">
      <c r="A97" s="2" t="s">
        <v>494</v>
      </c>
      <c r="B97" s="9">
        <v>27</v>
      </c>
      <c r="C97" s="2" t="s">
        <v>1560</v>
      </c>
      <c r="D97" s="2" t="s">
        <v>1308</v>
      </c>
      <c r="E97" s="2">
        <f>+IFERROR(VLOOKUP(A97,'2122'!$A$12:$C$389,2,),0)</f>
        <v>0</v>
      </c>
      <c r="F97" s="2">
        <v>0</v>
      </c>
      <c r="G97" s="2">
        <f t="shared" si="12"/>
        <v>0</v>
      </c>
      <c r="H97" s="2">
        <f>+IFERROR(VLOOKUP(A97,'2122'!$A$12:$C$389,3,),0)</f>
        <v>0</v>
      </c>
      <c r="I97" s="2">
        <v>0</v>
      </c>
      <c r="J97" s="2">
        <f t="shared" si="13"/>
        <v>0</v>
      </c>
      <c r="K97" s="2">
        <v>0</v>
      </c>
      <c r="M97" s="2">
        <v>0</v>
      </c>
      <c r="N97" s="2">
        <v>0</v>
      </c>
      <c r="P97" s="2">
        <v>0</v>
      </c>
    </row>
    <row r="98" spans="1:16">
      <c r="A98" s="2" t="s">
        <v>495</v>
      </c>
      <c r="B98" s="9">
        <v>27</v>
      </c>
      <c r="C98" s="2" t="s">
        <v>1560</v>
      </c>
      <c r="D98" s="2" t="s">
        <v>1308</v>
      </c>
      <c r="E98" s="2">
        <f>+IFERROR(VLOOKUP(A98,'2122'!$A$12:$C$389,2,),0)</f>
        <v>0</v>
      </c>
      <c r="F98" s="2">
        <v>0</v>
      </c>
      <c r="G98" s="2">
        <f t="shared" si="12"/>
        <v>0</v>
      </c>
      <c r="H98" s="2">
        <f>+IFERROR(VLOOKUP(A98,'2122'!$A$12:$C$389,3,),0)</f>
        <v>0</v>
      </c>
      <c r="I98" s="2">
        <v>0</v>
      </c>
      <c r="J98" s="2">
        <f t="shared" si="13"/>
        <v>0</v>
      </c>
      <c r="K98" s="2">
        <v>0</v>
      </c>
      <c r="M98" s="2">
        <v>0</v>
      </c>
      <c r="N98" s="2">
        <v>0</v>
      </c>
      <c r="P98" s="2">
        <v>0</v>
      </c>
    </row>
    <row r="99" spans="1:16">
      <c r="A99" s="2" t="s">
        <v>34</v>
      </c>
      <c r="B99" s="9">
        <v>17</v>
      </c>
      <c r="C99" s="2" t="s">
        <v>415</v>
      </c>
      <c r="D99" s="2" t="s">
        <v>416</v>
      </c>
      <c r="E99" s="2">
        <f>+IFERROR(VLOOKUP(A99,'2122'!$A$12:$C$389,2,),0)</f>
        <v>0</v>
      </c>
      <c r="F99" s="2">
        <v>0</v>
      </c>
      <c r="G99" s="2">
        <f t="shared" si="12"/>
        <v>0</v>
      </c>
      <c r="H99" s="2">
        <f>+IFERROR(VLOOKUP(A99,'2122'!$A$12:$C$389,3,),0)</f>
        <v>247500</v>
      </c>
      <c r="I99" s="2">
        <v>0</v>
      </c>
      <c r="J99" s="2">
        <f t="shared" si="13"/>
        <v>247500</v>
      </c>
      <c r="K99" s="2">
        <v>0</v>
      </c>
      <c r="M99" s="2">
        <v>0</v>
      </c>
      <c r="N99" s="2">
        <v>0</v>
      </c>
      <c r="P99" s="2">
        <v>0</v>
      </c>
    </row>
    <row r="100" spans="1:16">
      <c r="A100" s="2" t="s">
        <v>496</v>
      </c>
      <c r="B100" s="9">
        <v>17</v>
      </c>
      <c r="C100" s="2" t="s">
        <v>415</v>
      </c>
      <c r="D100" s="2" t="s">
        <v>416</v>
      </c>
      <c r="E100" s="2">
        <f>+IFERROR(VLOOKUP(A100,'2122'!$A$12:$C$389,2,),0)</f>
        <v>0</v>
      </c>
      <c r="F100" s="2">
        <v>0</v>
      </c>
      <c r="G100" s="2">
        <f t="shared" si="12"/>
        <v>0</v>
      </c>
      <c r="H100" s="2">
        <f>+IFERROR(VLOOKUP(A100,'2122'!$A$12:$C$389,3,),0)</f>
        <v>0</v>
      </c>
      <c r="I100" s="2">
        <v>0</v>
      </c>
      <c r="J100" s="2">
        <f t="shared" si="13"/>
        <v>0</v>
      </c>
      <c r="K100" s="2">
        <v>36037</v>
      </c>
      <c r="M100" s="2">
        <v>36037</v>
      </c>
      <c r="N100" s="2">
        <v>0</v>
      </c>
      <c r="P100" s="2">
        <v>0</v>
      </c>
    </row>
    <row r="101" spans="1:16">
      <c r="A101" s="2" t="s">
        <v>497</v>
      </c>
      <c r="B101" s="9">
        <v>17</v>
      </c>
      <c r="C101" s="2" t="s">
        <v>415</v>
      </c>
      <c r="D101" s="2" t="s">
        <v>416</v>
      </c>
      <c r="E101" s="2">
        <f>+IFERROR(VLOOKUP(A101,'2122'!$A$12:$C$389,2,),0)</f>
        <v>0</v>
      </c>
      <c r="F101" s="2">
        <v>0</v>
      </c>
      <c r="G101" s="2">
        <f t="shared" si="12"/>
        <v>0</v>
      </c>
      <c r="H101" s="2">
        <f>+IFERROR(VLOOKUP(A101,'2122'!$A$12:$C$389,3,),0)</f>
        <v>0</v>
      </c>
      <c r="I101" s="2">
        <v>0</v>
      </c>
      <c r="J101" s="2">
        <f t="shared" si="13"/>
        <v>0</v>
      </c>
      <c r="K101" s="2">
        <v>0</v>
      </c>
      <c r="M101" s="2">
        <v>0</v>
      </c>
      <c r="N101" s="2">
        <v>0</v>
      </c>
      <c r="P101" s="2">
        <v>0</v>
      </c>
    </row>
    <row r="102" spans="1:16">
      <c r="A102" s="2" t="s">
        <v>498</v>
      </c>
      <c r="B102" s="9">
        <v>17</v>
      </c>
      <c r="C102" s="2" t="s">
        <v>415</v>
      </c>
      <c r="D102" s="2" t="s">
        <v>416</v>
      </c>
      <c r="E102" s="2">
        <f>+IFERROR(VLOOKUP(A102,'2122'!$A$12:$C$389,2,),0)</f>
        <v>0</v>
      </c>
      <c r="F102" s="2">
        <v>0</v>
      </c>
      <c r="G102" s="2">
        <f t="shared" si="12"/>
        <v>0</v>
      </c>
      <c r="H102" s="2">
        <f>+IFERROR(VLOOKUP(A102,'2122'!$A$12:$C$389,3,),0)</f>
        <v>0</v>
      </c>
      <c r="I102" s="2">
        <v>0</v>
      </c>
      <c r="J102" s="2">
        <f t="shared" si="13"/>
        <v>0</v>
      </c>
      <c r="K102" s="2">
        <v>0</v>
      </c>
      <c r="M102" s="2">
        <v>0</v>
      </c>
      <c r="N102" s="2">
        <v>0</v>
      </c>
      <c r="P102" s="2">
        <v>0</v>
      </c>
    </row>
    <row r="103" spans="1:16">
      <c r="A103" s="2" t="s">
        <v>499</v>
      </c>
      <c r="B103" s="9">
        <v>17</v>
      </c>
      <c r="C103" s="2" t="s">
        <v>415</v>
      </c>
      <c r="D103" s="2" t="s">
        <v>416</v>
      </c>
      <c r="E103" s="2">
        <f>+IFERROR(VLOOKUP(A103,'2122'!$A$12:$C$389,2,),0)</f>
        <v>0</v>
      </c>
      <c r="F103" s="2">
        <v>0</v>
      </c>
      <c r="G103" s="2">
        <f t="shared" si="12"/>
        <v>0</v>
      </c>
      <c r="H103" s="2">
        <f>+IFERROR(VLOOKUP(A103,'2122'!$A$12:$C$389,3,),0)</f>
        <v>0</v>
      </c>
      <c r="I103" s="2">
        <v>0</v>
      </c>
      <c r="J103" s="2">
        <f t="shared" si="13"/>
        <v>0</v>
      </c>
      <c r="K103" s="2">
        <v>0</v>
      </c>
      <c r="M103" s="2">
        <v>0</v>
      </c>
      <c r="N103" s="2">
        <v>0</v>
      </c>
      <c r="P103" s="2">
        <v>0</v>
      </c>
    </row>
    <row r="104" spans="1:16">
      <c r="A104" s="2" t="s">
        <v>500</v>
      </c>
      <c r="B104" s="9">
        <v>17</v>
      </c>
      <c r="C104" s="2" t="s">
        <v>415</v>
      </c>
      <c r="D104" s="2" t="s">
        <v>416</v>
      </c>
      <c r="E104" s="2">
        <f>+IFERROR(VLOOKUP(A104,'2122'!$A$12:$C$389,2,),0)</f>
        <v>0</v>
      </c>
      <c r="F104" s="2">
        <v>0</v>
      </c>
      <c r="G104" s="2">
        <f t="shared" si="12"/>
        <v>0</v>
      </c>
      <c r="H104" s="2">
        <f>+IFERROR(VLOOKUP(A104,'2122'!$A$12:$C$389,3,),0)</f>
        <v>0</v>
      </c>
      <c r="I104" s="2">
        <v>0</v>
      </c>
      <c r="J104" s="2">
        <f t="shared" si="13"/>
        <v>0</v>
      </c>
      <c r="K104" s="2">
        <v>0</v>
      </c>
      <c r="M104" s="2">
        <v>0</v>
      </c>
      <c r="N104" s="2">
        <v>0</v>
      </c>
      <c r="P104" s="2">
        <v>0</v>
      </c>
    </row>
    <row r="105" spans="1:16">
      <c r="A105" s="2" t="s">
        <v>501</v>
      </c>
      <c r="B105" s="9">
        <v>10</v>
      </c>
      <c r="C105" s="2" t="s">
        <v>598</v>
      </c>
      <c r="D105" s="2" t="s">
        <v>445</v>
      </c>
      <c r="E105" s="2">
        <f>+IFERROR(VLOOKUP(A105,'2122'!$A$12:$C$389,2,),0)</f>
        <v>0</v>
      </c>
      <c r="F105" s="2">
        <v>0</v>
      </c>
      <c r="G105" s="2">
        <f t="shared" si="12"/>
        <v>0</v>
      </c>
      <c r="H105" s="2">
        <f>+IFERROR(VLOOKUP(A105,'2122'!$A$12:$C$389,3,),0)</f>
        <v>0</v>
      </c>
      <c r="I105" s="2">
        <v>0</v>
      </c>
      <c r="J105" s="2">
        <f t="shared" si="13"/>
        <v>0</v>
      </c>
      <c r="K105" s="2">
        <v>57713</v>
      </c>
      <c r="M105" s="2">
        <v>57713</v>
      </c>
      <c r="N105" s="2">
        <v>0</v>
      </c>
      <c r="P105" s="2">
        <v>0</v>
      </c>
    </row>
    <row r="106" spans="1:16">
      <c r="A106" s="2" t="s">
        <v>502</v>
      </c>
      <c r="B106" s="9">
        <v>17</v>
      </c>
      <c r="C106" s="2" t="s">
        <v>415</v>
      </c>
      <c r="D106" s="2" t="s">
        <v>416</v>
      </c>
      <c r="E106" s="2">
        <f>+IFERROR(VLOOKUP(A106,'2122'!$A$12:$C$389,2,),0)</f>
        <v>0</v>
      </c>
      <c r="F106" s="2">
        <v>0</v>
      </c>
      <c r="G106" s="2">
        <f t="shared" si="12"/>
        <v>0</v>
      </c>
      <c r="H106" s="2">
        <f>+IFERROR(VLOOKUP(A106,'2122'!$A$12:$C$389,3,),0)</f>
        <v>0</v>
      </c>
      <c r="I106" s="2">
        <v>0</v>
      </c>
      <c r="J106" s="2">
        <f t="shared" si="13"/>
        <v>0</v>
      </c>
      <c r="K106" s="2">
        <v>0</v>
      </c>
      <c r="M106" s="2">
        <v>0</v>
      </c>
      <c r="N106" s="2">
        <v>0</v>
      </c>
      <c r="P106" s="2">
        <v>0</v>
      </c>
    </row>
    <row r="107" spans="1:16">
      <c r="A107" s="2" t="s">
        <v>503</v>
      </c>
      <c r="B107" s="9">
        <v>17</v>
      </c>
      <c r="C107" s="2" t="s">
        <v>415</v>
      </c>
      <c r="D107" s="2" t="s">
        <v>416</v>
      </c>
      <c r="E107" s="2">
        <f>+IFERROR(VLOOKUP(A107,'2122'!$A$12:$C$389,2,),0)</f>
        <v>0</v>
      </c>
      <c r="F107" s="2">
        <v>0</v>
      </c>
      <c r="G107" s="2">
        <f t="shared" si="12"/>
        <v>0</v>
      </c>
      <c r="H107" s="2">
        <f>+IFERROR(VLOOKUP(A107,'2122'!$A$12:$C$389,3,),0)</f>
        <v>0</v>
      </c>
      <c r="I107" s="2">
        <v>0</v>
      </c>
      <c r="J107" s="2">
        <f t="shared" si="13"/>
        <v>0</v>
      </c>
      <c r="K107" s="2">
        <v>0</v>
      </c>
      <c r="M107" s="2">
        <v>0</v>
      </c>
      <c r="N107" s="2">
        <v>0</v>
      </c>
      <c r="P107" s="2">
        <v>0</v>
      </c>
    </row>
    <row r="108" spans="1:16">
      <c r="A108" s="2" t="s">
        <v>504</v>
      </c>
      <c r="B108" s="9">
        <v>22</v>
      </c>
      <c r="C108" s="2" t="s">
        <v>491</v>
      </c>
      <c r="D108" s="2" t="s">
        <v>505</v>
      </c>
      <c r="E108" s="2">
        <f>+IFERROR(VLOOKUP(A108,'2122'!$A$12:$C$389,2,),0)</f>
        <v>0</v>
      </c>
      <c r="F108" s="2">
        <v>0</v>
      </c>
      <c r="G108" s="2">
        <f t="shared" si="12"/>
        <v>0</v>
      </c>
      <c r="H108" s="2">
        <f>+IFERROR(VLOOKUP(A108,'2122'!$A$12:$C$389,3,),0)</f>
        <v>0</v>
      </c>
      <c r="I108" s="2">
        <v>0</v>
      </c>
      <c r="J108" s="2">
        <f t="shared" si="13"/>
        <v>0</v>
      </c>
      <c r="K108" s="2">
        <v>0</v>
      </c>
      <c r="M108" s="2">
        <v>0</v>
      </c>
      <c r="N108" s="2">
        <v>25865</v>
      </c>
      <c r="P108" s="2">
        <v>25865</v>
      </c>
    </row>
    <row r="109" spans="1:16">
      <c r="A109" s="2" t="s">
        <v>506</v>
      </c>
      <c r="B109" s="9">
        <v>17</v>
      </c>
      <c r="C109" s="2" t="s">
        <v>415</v>
      </c>
      <c r="D109" s="2" t="s">
        <v>416</v>
      </c>
      <c r="E109" s="2">
        <f>+IFERROR(VLOOKUP(A109,'2122'!$A$12:$C$389,2,),0)</f>
        <v>0</v>
      </c>
      <c r="F109" s="2">
        <v>0</v>
      </c>
      <c r="G109" s="2">
        <f t="shared" si="12"/>
        <v>0</v>
      </c>
      <c r="H109" s="2">
        <f>+IFERROR(VLOOKUP(A109,'2122'!$A$12:$C$389,3,),0)</f>
        <v>0</v>
      </c>
      <c r="I109" s="2">
        <v>0</v>
      </c>
      <c r="J109" s="2">
        <f t="shared" si="13"/>
        <v>0</v>
      </c>
      <c r="K109" s="2">
        <v>0</v>
      </c>
      <c r="M109" s="2">
        <v>0</v>
      </c>
      <c r="N109" s="2">
        <v>0</v>
      </c>
      <c r="P109" s="2">
        <v>0</v>
      </c>
    </row>
    <row r="110" spans="1:16">
      <c r="A110" s="2" t="s">
        <v>507</v>
      </c>
      <c r="B110" s="9">
        <v>17</v>
      </c>
      <c r="C110" s="2" t="s">
        <v>415</v>
      </c>
      <c r="D110" s="2" t="s">
        <v>416</v>
      </c>
      <c r="E110" s="2">
        <f>+IFERROR(VLOOKUP(A110,'2122'!$A$12:$C$389,2,),0)</f>
        <v>0</v>
      </c>
      <c r="F110" s="2">
        <v>0</v>
      </c>
      <c r="G110" s="2">
        <f t="shared" si="12"/>
        <v>0</v>
      </c>
      <c r="H110" s="2">
        <f>+IFERROR(VLOOKUP(A110,'2122'!$A$12:$C$389,3,),0)</f>
        <v>0</v>
      </c>
      <c r="I110" s="2">
        <v>0</v>
      </c>
      <c r="J110" s="2">
        <f t="shared" si="13"/>
        <v>0</v>
      </c>
      <c r="K110" s="2">
        <v>0</v>
      </c>
      <c r="M110" s="2">
        <v>0</v>
      </c>
      <c r="N110" s="2">
        <v>0</v>
      </c>
      <c r="P110" s="2">
        <v>0</v>
      </c>
    </row>
    <row r="111" spans="1:16">
      <c r="A111" s="2" t="s">
        <v>35</v>
      </c>
      <c r="B111" s="9">
        <v>27</v>
      </c>
      <c r="C111" s="2" t="s">
        <v>1560</v>
      </c>
      <c r="D111" s="2" t="s">
        <v>35</v>
      </c>
      <c r="E111" s="2">
        <f>+IFERROR(VLOOKUP(A111,'2122'!$A$12:$C$389,2,),0)</f>
        <v>6461</v>
      </c>
      <c r="F111" s="2">
        <v>0</v>
      </c>
      <c r="G111" s="2">
        <f t="shared" si="12"/>
        <v>6461</v>
      </c>
      <c r="H111" s="2">
        <f>+IFERROR(VLOOKUP(A111,'2122'!$A$12:$C$389,3,),0)</f>
        <v>0</v>
      </c>
      <c r="I111" s="2">
        <v>0</v>
      </c>
      <c r="J111" s="2">
        <f t="shared" si="13"/>
        <v>0</v>
      </c>
      <c r="K111" s="2">
        <v>0</v>
      </c>
      <c r="M111" s="2">
        <v>0</v>
      </c>
      <c r="N111" s="2">
        <v>0</v>
      </c>
      <c r="P111" s="2">
        <v>0</v>
      </c>
    </row>
    <row r="112" spans="1:16">
      <c r="A112" s="2" t="s">
        <v>36</v>
      </c>
      <c r="B112" s="9">
        <v>17</v>
      </c>
      <c r="C112" s="2" t="s">
        <v>415</v>
      </c>
      <c r="D112" s="2" t="s">
        <v>415</v>
      </c>
      <c r="E112" s="2">
        <f>+IFERROR(VLOOKUP(A112,'2122'!$A$12:$C$389,2,),0)</f>
        <v>0</v>
      </c>
      <c r="F112" s="2">
        <v>0</v>
      </c>
      <c r="G112" s="2">
        <f t="shared" si="12"/>
        <v>0</v>
      </c>
      <c r="H112" s="2">
        <f>+IFERROR(VLOOKUP(A112,'2122'!$A$12:$C$389,3,),0)</f>
        <v>96676.08</v>
      </c>
      <c r="I112" s="2">
        <v>0</v>
      </c>
      <c r="J112" s="2">
        <f t="shared" si="13"/>
        <v>96676.08</v>
      </c>
      <c r="K112" s="2">
        <v>0</v>
      </c>
      <c r="M112" s="2">
        <v>0</v>
      </c>
      <c r="N112" s="2">
        <v>61249</v>
      </c>
      <c r="P112" s="2">
        <v>61249</v>
      </c>
    </row>
    <row r="113" spans="1:16">
      <c r="A113" s="2" t="s">
        <v>38</v>
      </c>
      <c r="B113" s="9">
        <v>13</v>
      </c>
      <c r="C113" s="2" t="s">
        <v>474</v>
      </c>
      <c r="D113" s="2" t="s">
        <v>475</v>
      </c>
      <c r="E113" s="2">
        <f>+IFERROR(VLOOKUP(A113,'2122'!$A$12:$C$389,2,),0)</f>
        <v>0</v>
      </c>
      <c r="F113" s="2">
        <v>0</v>
      </c>
      <c r="G113" s="2">
        <f t="shared" si="12"/>
        <v>0</v>
      </c>
      <c r="H113" s="2">
        <f>+IFERROR(VLOOKUP(A113,'2122'!$A$12:$C$389,3,),0)</f>
        <v>1263552</v>
      </c>
      <c r="I113" s="2">
        <v>0</v>
      </c>
      <c r="J113" s="2">
        <f t="shared" si="13"/>
        <v>1263552</v>
      </c>
      <c r="K113" s="2">
        <v>0</v>
      </c>
      <c r="M113" s="2">
        <v>0</v>
      </c>
      <c r="N113" s="2">
        <v>1176528</v>
      </c>
      <c r="P113" s="2">
        <v>1176528</v>
      </c>
    </row>
    <row r="114" spans="1:16">
      <c r="A114" s="2" t="s">
        <v>39</v>
      </c>
      <c r="B114" s="9">
        <v>27</v>
      </c>
      <c r="C114" s="2" t="s">
        <v>1560</v>
      </c>
      <c r="D114" s="2" t="s">
        <v>39</v>
      </c>
      <c r="E114" s="2">
        <f>+IFERROR(VLOOKUP(A114,'2122'!$A$12:$C$389,2,),0)</f>
        <v>458584.8</v>
      </c>
      <c r="F114" s="2">
        <v>0</v>
      </c>
      <c r="G114" s="2">
        <f t="shared" si="12"/>
        <v>458584.8</v>
      </c>
      <c r="H114" s="2">
        <f>+IFERROR(VLOOKUP(A114,'2122'!$A$12:$C$389,3,),0)</f>
        <v>0</v>
      </c>
      <c r="I114" s="2">
        <v>0</v>
      </c>
      <c r="J114" s="2">
        <f t="shared" si="13"/>
        <v>0</v>
      </c>
      <c r="K114" s="2">
        <v>134911.04000000001</v>
      </c>
      <c r="M114" s="2">
        <v>134911.04000000001</v>
      </c>
      <c r="N114" s="2">
        <v>0</v>
      </c>
      <c r="P114" s="2">
        <v>0</v>
      </c>
    </row>
    <row r="115" spans="1:16">
      <c r="A115" s="2" t="s">
        <v>77</v>
      </c>
      <c r="B115" s="9">
        <v>27</v>
      </c>
      <c r="C115" s="2" t="s">
        <v>1560</v>
      </c>
      <c r="D115" s="2" t="s">
        <v>588</v>
      </c>
      <c r="E115" s="2">
        <f>+IFERROR(VLOOKUP(A115,'2122'!$A$12:$C$389,2,),0)</f>
        <v>956688</v>
      </c>
      <c r="F115" s="2">
        <v>0</v>
      </c>
      <c r="G115" s="2">
        <f t="shared" si="12"/>
        <v>956688</v>
      </c>
      <c r="H115" s="2">
        <f>+IFERROR(VLOOKUP(A115,'2122'!$A$12:$C$389,3,),0)</f>
        <v>0</v>
      </c>
      <c r="I115" s="2">
        <v>0</v>
      </c>
      <c r="J115" s="2">
        <f t="shared" si="13"/>
        <v>0</v>
      </c>
      <c r="K115" s="2">
        <v>629000</v>
      </c>
      <c r="L115" s="2">
        <v>280877</v>
      </c>
      <c r="M115" s="2">
        <v>909877</v>
      </c>
      <c r="N115" s="2">
        <v>0</v>
      </c>
      <c r="P115" s="2">
        <v>0</v>
      </c>
    </row>
    <row r="116" spans="1:16">
      <c r="A116" s="2" t="s">
        <v>508</v>
      </c>
      <c r="B116" s="9">
        <v>27</v>
      </c>
      <c r="C116" s="2" t="s">
        <v>1568</v>
      </c>
      <c r="D116" s="2" t="s">
        <v>1569</v>
      </c>
      <c r="E116" s="2">
        <f>+IFERROR(VLOOKUP(A116,'2122'!$A$12:$C$389,2,),0)</f>
        <v>0</v>
      </c>
      <c r="F116" s="2">
        <v>0</v>
      </c>
      <c r="G116" s="2">
        <f t="shared" si="12"/>
        <v>0</v>
      </c>
      <c r="H116" s="2">
        <f>+IFERROR(VLOOKUP(A116,'2122'!$A$12:$C$389,3,),0)</f>
        <v>0</v>
      </c>
      <c r="I116" s="2">
        <v>0</v>
      </c>
      <c r="J116" s="2">
        <f t="shared" si="13"/>
        <v>0</v>
      </c>
      <c r="K116" s="2">
        <v>313371</v>
      </c>
      <c r="M116" s="2">
        <v>313371</v>
      </c>
      <c r="N116" s="2">
        <v>0</v>
      </c>
      <c r="P116" s="2">
        <v>0</v>
      </c>
    </row>
    <row r="117" spans="1:16">
      <c r="A117" s="2" t="s">
        <v>40</v>
      </c>
      <c r="B117" s="9">
        <v>27</v>
      </c>
      <c r="C117" s="2" t="s">
        <v>1560</v>
      </c>
      <c r="D117" s="2" t="s">
        <v>39</v>
      </c>
      <c r="E117" s="2">
        <f>+IFERROR(VLOOKUP(A117,'2122'!$A$12:$C$389,2,),0)</f>
        <v>56000</v>
      </c>
      <c r="F117" s="2">
        <v>0</v>
      </c>
      <c r="G117" s="2">
        <f t="shared" si="12"/>
        <v>56000</v>
      </c>
      <c r="H117" s="2">
        <f>+IFERROR(VLOOKUP(A117,'2122'!$A$12:$C$389,3,),0)</f>
        <v>0</v>
      </c>
      <c r="I117" s="2">
        <v>0</v>
      </c>
      <c r="J117" s="2">
        <f t="shared" si="13"/>
        <v>0</v>
      </c>
      <c r="K117" s="2">
        <v>91200</v>
      </c>
      <c r="M117" s="2">
        <v>91200</v>
      </c>
      <c r="N117" s="2">
        <v>0</v>
      </c>
      <c r="P117" s="2">
        <v>0</v>
      </c>
    </row>
    <row r="118" spans="1:16">
      <c r="A118" s="2" t="s">
        <v>41</v>
      </c>
      <c r="B118" s="9">
        <v>26</v>
      </c>
      <c r="C118" s="2" t="s">
        <v>509</v>
      </c>
      <c r="D118" s="2" t="s">
        <v>510</v>
      </c>
      <c r="E118" s="2">
        <f>+IFERROR(VLOOKUP(A118,'2122'!$A$12:$C$389,2,),0)</f>
        <v>243852</v>
      </c>
      <c r="F118" s="2">
        <v>0</v>
      </c>
      <c r="G118" s="2">
        <f t="shared" si="12"/>
        <v>243852</v>
      </c>
      <c r="H118" s="2">
        <f>+IFERROR(VLOOKUP(A118,'2122'!$A$12:$C$389,3,),0)</f>
        <v>0</v>
      </c>
      <c r="I118" s="2">
        <v>0</v>
      </c>
      <c r="J118" s="2">
        <f t="shared" si="13"/>
        <v>0</v>
      </c>
      <c r="K118" s="2">
        <v>97878</v>
      </c>
      <c r="M118" s="2">
        <v>97878</v>
      </c>
      <c r="N118" s="2">
        <v>0</v>
      </c>
      <c r="P118" s="2">
        <v>0</v>
      </c>
    </row>
    <row r="119" spans="1:16">
      <c r="A119" s="2" t="s">
        <v>511</v>
      </c>
      <c r="B119" s="9">
        <v>26</v>
      </c>
      <c r="C119" s="2" t="s">
        <v>509</v>
      </c>
      <c r="D119" s="2" t="s">
        <v>510</v>
      </c>
      <c r="E119" s="2">
        <f>+IFERROR(VLOOKUP(A119,'2122'!$A$12:$C$389,2,),0)</f>
        <v>0</v>
      </c>
      <c r="F119" s="2">
        <v>0</v>
      </c>
      <c r="G119" s="2">
        <f t="shared" si="12"/>
        <v>0</v>
      </c>
      <c r="H119" s="2">
        <f>+IFERROR(VLOOKUP(A119,'2122'!$A$12:$C$389,3,),0)</f>
        <v>0</v>
      </c>
      <c r="I119" s="2">
        <v>0</v>
      </c>
      <c r="J119" s="2">
        <f t="shared" si="13"/>
        <v>0</v>
      </c>
      <c r="K119" s="2">
        <v>274305</v>
      </c>
      <c r="M119" s="2">
        <v>274305</v>
      </c>
      <c r="N119" s="2">
        <v>0</v>
      </c>
      <c r="P119" s="2">
        <v>0</v>
      </c>
    </row>
    <row r="120" spans="1:16">
      <c r="A120" s="2" t="s">
        <v>512</v>
      </c>
      <c r="B120" s="9">
        <v>17</v>
      </c>
      <c r="C120" s="2" t="s">
        <v>415</v>
      </c>
      <c r="D120" s="2" t="s">
        <v>415</v>
      </c>
      <c r="E120" s="2">
        <f>+IFERROR(VLOOKUP(A120,'2122'!$A$12:$C$389,2,),0)</f>
        <v>0</v>
      </c>
      <c r="F120" s="2">
        <v>0</v>
      </c>
      <c r="G120" s="2">
        <f t="shared" si="12"/>
        <v>0</v>
      </c>
      <c r="H120" s="2">
        <f>+IFERROR(VLOOKUP(A120,'2122'!$A$12:$C$389,3,),0)</f>
        <v>0</v>
      </c>
      <c r="I120" s="2">
        <v>0</v>
      </c>
      <c r="J120" s="2">
        <f t="shared" si="13"/>
        <v>0</v>
      </c>
      <c r="K120" s="2">
        <v>0</v>
      </c>
      <c r="M120" s="2">
        <v>0</v>
      </c>
      <c r="N120" s="2">
        <v>262245</v>
      </c>
      <c r="P120" s="2">
        <v>262245</v>
      </c>
    </row>
    <row r="121" spans="1:16">
      <c r="A121" s="2" t="s">
        <v>42</v>
      </c>
      <c r="B121" s="9">
        <v>17</v>
      </c>
      <c r="C121" s="2" t="s">
        <v>415</v>
      </c>
      <c r="D121" s="2" t="s">
        <v>415</v>
      </c>
      <c r="E121" s="2">
        <f>+IFERROR(VLOOKUP(A121,'2122'!$A$12:$C$389,2,),0)</f>
        <v>0</v>
      </c>
      <c r="F121" s="2">
        <v>0</v>
      </c>
      <c r="G121" s="2">
        <f t="shared" si="12"/>
        <v>0</v>
      </c>
      <c r="H121" s="2">
        <f>+IFERROR(VLOOKUP(A121,'2122'!$A$12:$C$389,3,),0)</f>
        <v>57396</v>
      </c>
      <c r="I121" s="2">
        <v>0</v>
      </c>
      <c r="J121" s="2">
        <f t="shared" si="13"/>
        <v>57396</v>
      </c>
      <c r="K121" s="2">
        <v>0</v>
      </c>
      <c r="M121" s="2">
        <v>0</v>
      </c>
      <c r="N121" s="2">
        <v>209878</v>
      </c>
      <c r="P121" s="2">
        <v>209878</v>
      </c>
    </row>
    <row r="122" spans="1:16">
      <c r="A122" s="2" t="s">
        <v>513</v>
      </c>
      <c r="B122" s="9">
        <v>17</v>
      </c>
      <c r="C122" s="2" t="s">
        <v>415</v>
      </c>
      <c r="D122" s="2" t="s">
        <v>415</v>
      </c>
      <c r="E122" s="2">
        <f>+IFERROR(VLOOKUP(A122,'2122'!$A$12:$C$389,2,),0)</f>
        <v>0</v>
      </c>
      <c r="F122" s="2">
        <v>0</v>
      </c>
      <c r="G122" s="2">
        <f t="shared" si="12"/>
        <v>0</v>
      </c>
      <c r="H122" s="2">
        <f>+IFERROR(VLOOKUP(A122,'2122'!$A$12:$C$389,3,),0)</f>
        <v>0</v>
      </c>
      <c r="I122" s="2">
        <v>0</v>
      </c>
      <c r="J122" s="2">
        <f t="shared" si="13"/>
        <v>0</v>
      </c>
      <c r="K122" s="2">
        <v>0</v>
      </c>
      <c r="M122" s="2">
        <v>0</v>
      </c>
      <c r="N122" s="2">
        <v>0</v>
      </c>
      <c r="P122" s="2">
        <v>0</v>
      </c>
    </row>
    <row r="123" spans="1:16">
      <c r="A123" s="2" t="s">
        <v>514</v>
      </c>
      <c r="B123" s="9">
        <v>6</v>
      </c>
      <c r="C123" s="2" t="s">
        <v>1074</v>
      </c>
      <c r="D123" s="2" t="s">
        <v>423</v>
      </c>
      <c r="E123" s="2">
        <f>+IFERROR(VLOOKUP(A123,'2122'!$A$12:$C$389,2,),0)</f>
        <v>0</v>
      </c>
      <c r="F123" s="2">
        <v>0</v>
      </c>
      <c r="G123" s="2">
        <f t="shared" si="12"/>
        <v>0</v>
      </c>
      <c r="H123" s="2">
        <f>+IFERROR(VLOOKUP(A123,'2122'!$A$12:$C$389,3,),0)</f>
        <v>0</v>
      </c>
      <c r="I123" s="2">
        <v>0</v>
      </c>
      <c r="J123" s="2">
        <f t="shared" si="13"/>
        <v>0</v>
      </c>
      <c r="K123" s="2">
        <v>0</v>
      </c>
      <c r="M123" s="2">
        <v>0</v>
      </c>
      <c r="N123" s="2">
        <v>0</v>
      </c>
      <c r="P123" s="2">
        <v>0</v>
      </c>
    </row>
    <row r="124" spans="1:16">
      <c r="A124" s="2" t="s">
        <v>515</v>
      </c>
      <c r="B124" s="9">
        <v>6</v>
      </c>
      <c r="C124" s="2" t="s">
        <v>1074</v>
      </c>
      <c r="D124" s="2" t="s">
        <v>423</v>
      </c>
      <c r="E124" s="2">
        <f>+IFERROR(VLOOKUP(A124,'2122'!$A$12:$C$389,2,),0)</f>
        <v>0</v>
      </c>
      <c r="F124" s="2">
        <v>0</v>
      </c>
      <c r="G124" s="2">
        <f t="shared" si="12"/>
        <v>0</v>
      </c>
      <c r="H124" s="2">
        <f>+IFERROR(VLOOKUP(A124,'2122'!$A$12:$C$389,3,),0)</f>
        <v>0</v>
      </c>
      <c r="I124" s="2">
        <v>0</v>
      </c>
      <c r="J124" s="2">
        <f t="shared" si="13"/>
        <v>0</v>
      </c>
      <c r="K124" s="2">
        <v>0</v>
      </c>
      <c r="M124" s="2">
        <v>0</v>
      </c>
      <c r="N124" s="2">
        <v>0</v>
      </c>
      <c r="P124" s="2">
        <v>0</v>
      </c>
    </row>
    <row r="125" spans="1:16">
      <c r="A125" s="2" t="s">
        <v>516</v>
      </c>
      <c r="B125" s="9">
        <v>6</v>
      </c>
      <c r="C125" s="2" t="s">
        <v>1074</v>
      </c>
      <c r="D125" s="2" t="s">
        <v>423</v>
      </c>
      <c r="E125" s="2">
        <f>+IFERROR(VLOOKUP(A125,'2122'!$A$12:$C$389,2,),0)</f>
        <v>0</v>
      </c>
      <c r="F125" s="2">
        <v>0</v>
      </c>
      <c r="G125" s="2">
        <f t="shared" si="12"/>
        <v>0</v>
      </c>
      <c r="H125" s="2">
        <f>+IFERROR(VLOOKUP(A125,'2122'!$A$12:$C$389,3,),0)</f>
        <v>0</v>
      </c>
      <c r="I125" s="2">
        <v>0</v>
      </c>
      <c r="J125" s="2">
        <f t="shared" si="13"/>
        <v>0</v>
      </c>
      <c r="K125" s="2">
        <v>0</v>
      </c>
      <c r="M125" s="2">
        <v>0</v>
      </c>
      <c r="N125" s="2">
        <v>0</v>
      </c>
      <c r="P125" s="2">
        <v>0</v>
      </c>
    </row>
    <row r="126" spans="1:16">
      <c r="A126" s="2" t="s">
        <v>26</v>
      </c>
      <c r="B126" s="9">
        <v>6</v>
      </c>
      <c r="C126" s="2" t="s">
        <v>1074</v>
      </c>
      <c r="D126" s="2" t="s">
        <v>423</v>
      </c>
      <c r="E126" s="2">
        <f>+IFERROR(VLOOKUP(A126,'2122'!$A$12:$C$389,2,),0)</f>
        <v>2902069</v>
      </c>
      <c r="F126" s="2">
        <v>0</v>
      </c>
      <c r="G126" s="2">
        <f t="shared" si="12"/>
        <v>2902069</v>
      </c>
      <c r="H126" s="2">
        <f>+IFERROR(VLOOKUP(A126,'2122'!$A$12:$C$389,3,),0)</f>
        <v>0</v>
      </c>
      <c r="I126" s="2">
        <v>0</v>
      </c>
      <c r="J126" s="2">
        <f t="shared" si="13"/>
        <v>0</v>
      </c>
      <c r="K126" s="2">
        <v>1585664</v>
      </c>
      <c r="M126" s="2">
        <v>1585664</v>
      </c>
      <c r="N126" s="2">
        <v>0</v>
      </c>
      <c r="P126" s="2">
        <v>0</v>
      </c>
    </row>
    <row r="127" spans="1:16">
      <c r="A127" s="2" t="s">
        <v>517</v>
      </c>
      <c r="B127" s="9">
        <v>6</v>
      </c>
      <c r="C127" s="2" t="s">
        <v>1074</v>
      </c>
      <c r="D127" s="2" t="s">
        <v>423</v>
      </c>
      <c r="E127" s="2">
        <f>+IFERROR(VLOOKUP(A127,'2122'!$A$12:$C$389,2,),0)</f>
        <v>0</v>
      </c>
      <c r="F127" s="2">
        <v>0</v>
      </c>
      <c r="G127" s="2">
        <f t="shared" si="12"/>
        <v>0</v>
      </c>
      <c r="H127" s="2">
        <f>+IFERROR(VLOOKUP(A127,'2122'!$A$12:$C$389,3,),0)</f>
        <v>0</v>
      </c>
      <c r="I127" s="2">
        <v>0</v>
      </c>
      <c r="J127" s="2">
        <f t="shared" si="13"/>
        <v>0</v>
      </c>
      <c r="K127" s="2">
        <v>0</v>
      </c>
      <c r="M127" s="2">
        <v>0</v>
      </c>
      <c r="N127" s="2">
        <v>0</v>
      </c>
      <c r="P127" s="2">
        <v>0</v>
      </c>
    </row>
    <row r="128" spans="1:16">
      <c r="A128" s="2" t="s">
        <v>518</v>
      </c>
      <c r="B128" s="9">
        <v>6</v>
      </c>
      <c r="C128" s="2" t="s">
        <v>1074</v>
      </c>
      <c r="D128" s="2" t="s">
        <v>423</v>
      </c>
      <c r="E128" s="2">
        <f>+IFERROR(VLOOKUP(A128,'2122'!$A$12:$C$389,2,),0)</f>
        <v>0</v>
      </c>
      <c r="F128" s="2">
        <v>0</v>
      </c>
      <c r="G128" s="2">
        <f t="shared" si="12"/>
        <v>0</v>
      </c>
      <c r="H128" s="2">
        <f>+IFERROR(VLOOKUP(A128,'2122'!$A$12:$C$389,3,),0)</f>
        <v>0</v>
      </c>
      <c r="I128" s="2">
        <v>0</v>
      </c>
      <c r="J128" s="2">
        <f t="shared" si="13"/>
        <v>0</v>
      </c>
      <c r="K128" s="2">
        <v>0</v>
      </c>
      <c r="M128" s="2">
        <v>0</v>
      </c>
      <c r="N128" s="2">
        <v>0</v>
      </c>
      <c r="P128" s="2">
        <v>0</v>
      </c>
    </row>
    <row r="129" spans="1:16">
      <c r="A129" s="2" t="s">
        <v>43</v>
      </c>
      <c r="B129" s="9">
        <v>9</v>
      </c>
      <c r="C129" s="2" t="s">
        <v>602</v>
      </c>
      <c r="D129" s="2" t="s">
        <v>450</v>
      </c>
      <c r="E129" s="2">
        <f>+IFERROR(VLOOKUP(A129,'2122'!$A$12:$C$389,2,),0)</f>
        <v>5000</v>
      </c>
      <c r="F129" s="2">
        <v>0</v>
      </c>
      <c r="G129" s="2">
        <f t="shared" si="12"/>
        <v>5000</v>
      </c>
      <c r="H129" s="2">
        <f>+IFERROR(VLOOKUP(A129,'2122'!$A$12:$C$389,3,),0)</f>
        <v>0</v>
      </c>
      <c r="I129" s="2">
        <v>0</v>
      </c>
      <c r="J129" s="2">
        <f t="shared" si="13"/>
        <v>0</v>
      </c>
      <c r="K129" s="2">
        <v>0</v>
      </c>
      <c r="M129" s="2">
        <v>0</v>
      </c>
      <c r="N129" s="2">
        <v>0</v>
      </c>
      <c r="P129" s="2">
        <v>0</v>
      </c>
    </row>
    <row r="130" spans="1:16">
      <c r="A130" s="2" t="s">
        <v>44</v>
      </c>
      <c r="B130" s="9">
        <v>27</v>
      </c>
      <c r="C130" s="2" t="s">
        <v>1555</v>
      </c>
      <c r="D130" s="2" t="s">
        <v>1294</v>
      </c>
      <c r="E130" s="2">
        <f>+IFERROR(VLOOKUP(A130,'2122'!$A$12:$C$389,2,),0)</f>
        <v>3807870</v>
      </c>
      <c r="F130" s="2">
        <v>0</v>
      </c>
      <c r="G130" s="2">
        <f t="shared" si="12"/>
        <v>3807870</v>
      </c>
      <c r="H130" s="2">
        <f>+IFERROR(VLOOKUP(A130,'2122'!$A$12:$C$389,3,),0)</f>
        <v>0</v>
      </c>
      <c r="I130" s="2">
        <v>0</v>
      </c>
      <c r="J130" s="2">
        <f t="shared" si="13"/>
        <v>0</v>
      </c>
      <c r="K130" s="2">
        <v>3207346</v>
      </c>
      <c r="M130" s="2">
        <v>3207346</v>
      </c>
      <c r="N130" s="2">
        <v>0</v>
      </c>
      <c r="P130" s="2">
        <v>0</v>
      </c>
    </row>
    <row r="131" spans="1:16">
      <c r="A131" s="2" t="s">
        <v>519</v>
      </c>
      <c r="B131" s="9">
        <v>27</v>
      </c>
      <c r="C131" s="2" t="s">
        <v>1555</v>
      </c>
      <c r="D131" s="2" t="s">
        <v>1294</v>
      </c>
      <c r="E131" s="2">
        <f>+IFERROR(VLOOKUP(A131,'2122'!$A$12:$C$389,2,),0)</f>
        <v>0</v>
      </c>
      <c r="F131" s="2">
        <v>0</v>
      </c>
      <c r="G131" s="2">
        <f t="shared" si="12"/>
        <v>0</v>
      </c>
      <c r="H131" s="2">
        <f>+IFERROR(VLOOKUP(A131,'2122'!$A$12:$C$389,3,),0)</f>
        <v>0</v>
      </c>
      <c r="I131" s="2">
        <v>0</v>
      </c>
      <c r="J131" s="2">
        <f t="shared" si="13"/>
        <v>0</v>
      </c>
      <c r="K131" s="2">
        <v>0</v>
      </c>
      <c r="M131" s="2">
        <v>0</v>
      </c>
      <c r="N131" s="2">
        <v>0</v>
      </c>
      <c r="P131" s="2">
        <v>0</v>
      </c>
    </row>
    <row r="132" spans="1:16">
      <c r="A132" s="2" t="s">
        <v>520</v>
      </c>
      <c r="B132" s="9">
        <v>27</v>
      </c>
      <c r="C132" s="2" t="s">
        <v>1560</v>
      </c>
      <c r="D132" s="2" t="s">
        <v>1315</v>
      </c>
      <c r="E132" s="2">
        <f>+IFERROR(VLOOKUP(A132,'2122'!$A$12:$C$389,2,),0)</f>
        <v>3293</v>
      </c>
      <c r="F132" s="2">
        <v>0</v>
      </c>
      <c r="G132" s="2">
        <f t="shared" si="12"/>
        <v>3293</v>
      </c>
      <c r="H132" s="2">
        <f>+IFERROR(VLOOKUP(A132,'2122'!$A$12:$C$389,3,),0)</f>
        <v>0</v>
      </c>
      <c r="I132" s="2">
        <v>0</v>
      </c>
      <c r="J132" s="2">
        <f t="shared" si="13"/>
        <v>0</v>
      </c>
      <c r="K132" s="2">
        <v>2575</v>
      </c>
      <c r="M132" s="2">
        <v>2575</v>
      </c>
      <c r="N132" s="2">
        <v>0</v>
      </c>
      <c r="P132" s="2">
        <v>0</v>
      </c>
    </row>
    <row r="133" spans="1:16">
      <c r="A133" s="2" t="s">
        <v>521</v>
      </c>
      <c r="B133" s="9">
        <v>2</v>
      </c>
      <c r="C133" s="2" t="s">
        <v>1072</v>
      </c>
      <c r="D133" s="2" t="s">
        <v>522</v>
      </c>
      <c r="E133" s="2">
        <f>+IFERROR(VLOOKUP(A133,'2122'!$A$12:$C$389,2,),0)</f>
        <v>61286378.619999997</v>
      </c>
      <c r="F133" s="2">
        <v>0</v>
      </c>
      <c r="G133" s="2">
        <f t="shared" si="12"/>
        <v>61286378.619999997</v>
      </c>
      <c r="H133" s="2">
        <f>+IFERROR(VLOOKUP(A133,'2122'!$A$12:$C$389,3,),0)</f>
        <v>0</v>
      </c>
      <c r="I133" s="2">
        <v>0</v>
      </c>
      <c r="J133" s="2">
        <f t="shared" si="13"/>
        <v>0</v>
      </c>
      <c r="K133" s="2">
        <v>58923230.630000003</v>
      </c>
      <c r="M133" s="2">
        <v>58923230.630000003</v>
      </c>
      <c r="N133" s="2">
        <v>0</v>
      </c>
      <c r="P133" s="2">
        <v>0</v>
      </c>
    </row>
    <row r="134" spans="1:16">
      <c r="A134" s="2" t="s">
        <v>523</v>
      </c>
      <c r="B134" s="9">
        <v>2</v>
      </c>
      <c r="C134" s="2" t="s">
        <v>1072</v>
      </c>
      <c r="D134" s="2" t="s">
        <v>522</v>
      </c>
      <c r="E134" s="2">
        <f>+IFERROR(VLOOKUP(A134,'2122'!$A$12:$C$389,2,),0)</f>
        <v>0</v>
      </c>
      <c r="F134" s="2">
        <v>0</v>
      </c>
      <c r="G134" s="2">
        <f t="shared" si="12"/>
        <v>0</v>
      </c>
      <c r="H134" s="2">
        <f>+IFERROR(VLOOKUP(A134,'2122'!$A$12:$C$389,3,),0)</f>
        <v>0</v>
      </c>
      <c r="I134" s="2">
        <v>0</v>
      </c>
      <c r="J134" s="2">
        <f t="shared" si="13"/>
        <v>0</v>
      </c>
      <c r="K134" s="2">
        <v>0</v>
      </c>
      <c r="M134" s="2">
        <v>0</v>
      </c>
      <c r="N134" s="2">
        <v>0</v>
      </c>
      <c r="P134" s="2">
        <v>0</v>
      </c>
    </row>
    <row r="135" spans="1:16">
      <c r="A135" s="2" t="s">
        <v>50</v>
      </c>
      <c r="B135" s="9">
        <v>2</v>
      </c>
      <c r="C135" s="2" t="s">
        <v>1072</v>
      </c>
      <c r="D135" s="2" t="s">
        <v>522</v>
      </c>
      <c r="E135" s="2">
        <f>+IFERROR(VLOOKUP(A135,'2122'!$A$12:$C$389,2,),0)</f>
        <v>0</v>
      </c>
      <c r="F135" s="2">
        <v>0</v>
      </c>
      <c r="G135" s="2">
        <f t="shared" si="12"/>
        <v>0</v>
      </c>
      <c r="H135" s="2">
        <f>+IFERROR(VLOOKUP(A135,'2122'!$A$12:$C$389,3,),0)</f>
        <v>0</v>
      </c>
      <c r="I135" s="2">
        <v>0</v>
      </c>
      <c r="J135" s="2">
        <f t="shared" si="13"/>
        <v>0</v>
      </c>
      <c r="K135" s="2">
        <v>0</v>
      </c>
      <c r="M135" s="2">
        <v>0</v>
      </c>
      <c r="N135" s="2">
        <v>0</v>
      </c>
      <c r="P135" s="2">
        <v>0</v>
      </c>
    </row>
    <row r="136" spans="1:16">
      <c r="A136" s="2" t="s">
        <v>47</v>
      </c>
      <c r="B136" s="9">
        <v>12</v>
      </c>
      <c r="C136" s="2" t="s">
        <v>524</v>
      </c>
      <c r="D136" s="2" t="s">
        <v>525</v>
      </c>
      <c r="E136" s="2">
        <f>+IFERROR(VLOOKUP(A136,'2122'!$A$12:$C$389,2,),0)</f>
        <v>0</v>
      </c>
      <c r="F136" s="2">
        <v>0</v>
      </c>
      <c r="G136" s="2">
        <f t="shared" si="12"/>
        <v>0</v>
      </c>
      <c r="H136" s="2">
        <f>+IFERROR(VLOOKUP(A136,'2122'!$A$12:$C$389,3,),0)</f>
        <v>20413989</v>
      </c>
      <c r="I136" s="2">
        <v>0</v>
      </c>
      <c r="J136" s="2">
        <f t="shared" si="13"/>
        <v>20413989</v>
      </c>
      <c r="K136" s="2">
        <v>0</v>
      </c>
      <c r="M136" s="2">
        <v>0</v>
      </c>
      <c r="N136" s="2">
        <v>20413989</v>
      </c>
      <c r="P136" s="2">
        <v>20413989</v>
      </c>
    </row>
    <row r="137" spans="1:16">
      <c r="A137" s="2" t="s">
        <v>526</v>
      </c>
      <c r="B137" s="9">
        <v>27</v>
      </c>
      <c r="C137" s="2" t="s">
        <v>1560</v>
      </c>
      <c r="D137" s="2" t="s">
        <v>279</v>
      </c>
      <c r="E137" s="2">
        <f>+IFERROR(VLOOKUP(A137,'2122'!$A$12:$C$389,2,),0)</f>
        <v>0</v>
      </c>
      <c r="F137" s="2">
        <v>0</v>
      </c>
      <c r="G137" s="2">
        <f t="shared" si="12"/>
        <v>0</v>
      </c>
      <c r="H137" s="2">
        <f>+IFERROR(VLOOKUP(A137,'2122'!$A$12:$C$389,3,),0)</f>
        <v>0</v>
      </c>
      <c r="I137" s="2">
        <v>0</v>
      </c>
      <c r="J137" s="2">
        <f t="shared" si="13"/>
        <v>0</v>
      </c>
      <c r="K137" s="2">
        <v>0</v>
      </c>
      <c r="M137" s="2">
        <v>0</v>
      </c>
      <c r="N137" s="2">
        <v>0</v>
      </c>
      <c r="P137" s="2">
        <v>0</v>
      </c>
    </row>
    <row r="138" spans="1:16">
      <c r="A138" s="2" t="s">
        <v>169</v>
      </c>
      <c r="B138" s="9">
        <v>27</v>
      </c>
      <c r="C138" s="2" t="s">
        <v>1560</v>
      </c>
      <c r="D138" s="2" t="s">
        <v>279</v>
      </c>
      <c r="E138" s="2">
        <f>+IFERROR(VLOOKUP(A138,'2122'!$A$12:$C$389,2,),0)</f>
        <v>8887</v>
      </c>
      <c r="F138" s="2">
        <v>0</v>
      </c>
      <c r="G138" s="2">
        <f t="shared" ref="G138:G201" si="14">+E138+F138</f>
        <v>8887</v>
      </c>
      <c r="H138" s="2">
        <f>+IFERROR(VLOOKUP(A138,'2122'!$A$12:$C$389,3,),0)</f>
        <v>0</v>
      </c>
      <c r="I138" s="2">
        <v>0</v>
      </c>
      <c r="J138" s="2">
        <f t="shared" ref="J138:J201" si="15">+H138+I138</f>
        <v>0</v>
      </c>
      <c r="K138" s="2">
        <v>5531</v>
      </c>
      <c r="M138" s="2">
        <v>5531</v>
      </c>
      <c r="N138" s="2">
        <v>0</v>
      </c>
      <c r="P138" s="2">
        <v>0</v>
      </c>
    </row>
    <row r="139" spans="1:16">
      <c r="A139" s="2" t="s">
        <v>527</v>
      </c>
      <c r="B139" s="9">
        <v>27</v>
      </c>
      <c r="C139" s="2" t="s">
        <v>1560</v>
      </c>
      <c r="D139" s="2" t="s">
        <v>279</v>
      </c>
      <c r="E139" s="2">
        <f>+IFERROR(VLOOKUP(A139,'2122'!$A$12:$C$389,2,),0)</f>
        <v>0</v>
      </c>
      <c r="F139" s="2">
        <v>0</v>
      </c>
      <c r="G139" s="2">
        <f t="shared" si="14"/>
        <v>0</v>
      </c>
      <c r="H139" s="2">
        <f>+IFERROR(VLOOKUP(A139,'2122'!$A$12:$C$389,3,),0)</f>
        <v>0</v>
      </c>
      <c r="I139" s="2">
        <v>0</v>
      </c>
      <c r="J139" s="2">
        <f t="shared" si="15"/>
        <v>0</v>
      </c>
      <c r="K139" s="2">
        <v>0</v>
      </c>
      <c r="M139" s="2">
        <v>0</v>
      </c>
      <c r="N139" s="2">
        <v>0</v>
      </c>
      <c r="P139" s="2">
        <v>0</v>
      </c>
    </row>
    <row r="140" spans="1:16">
      <c r="A140" s="2" t="s">
        <v>48</v>
      </c>
      <c r="B140" s="9">
        <v>27</v>
      </c>
      <c r="C140" s="2" t="s">
        <v>1555</v>
      </c>
      <c r="D140" s="2" t="s">
        <v>1557</v>
      </c>
      <c r="E140" s="2">
        <f>+IFERROR(VLOOKUP(A140,'2122'!$A$12:$C$389,2,),0)</f>
        <v>545036</v>
      </c>
      <c r="F140" s="2">
        <v>0</v>
      </c>
      <c r="G140" s="2">
        <f t="shared" si="14"/>
        <v>545036</v>
      </c>
      <c r="H140" s="2">
        <f>+IFERROR(VLOOKUP(A140,'2122'!$A$12:$C$389,3,),0)</f>
        <v>0</v>
      </c>
      <c r="I140" s="2">
        <v>0</v>
      </c>
      <c r="J140" s="2">
        <f t="shared" si="15"/>
        <v>0</v>
      </c>
      <c r="K140" s="2">
        <v>364309</v>
      </c>
      <c r="M140" s="2">
        <v>364309</v>
      </c>
      <c r="N140" s="2">
        <v>0</v>
      </c>
      <c r="P140" s="2">
        <v>0</v>
      </c>
    </row>
    <row r="141" spans="1:16">
      <c r="A141" s="2" t="s">
        <v>49</v>
      </c>
      <c r="B141" s="9">
        <v>27</v>
      </c>
      <c r="C141" s="2" t="s">
        <v>1555</v>
      </c>
      <c r="D141" s="2" t="s">
        <v>1294</v>
      </c>
      <c r="E141" s="2">
        <f>+IFERROR(VLOOKUP(A141,'2122'!$A$12:$C$389,2,),0)</f>
        <v>264579</v>
      </c>
      <c r="F141" s="2">
        <v>0</v>
      </c>
      <c r="G141" s="2">
        <f t="shared" si="14"/>
        <v>264579</v>
      </c>
      <c r="H141" s="2">
        <f>+IFERROR(VLOOKUP(A141,'2122'!$A$12:$C$389,3,),0)</f>
        <v>0</v>
      </c>
      <c r="I141" s="2">
        <v>0</v>
      </c>
      <c r="J141" s="2">
        <f t="shared" si="15"/>
        <v>0</v>
      </c>
      <c r="K141" s="2">
        <v>95263</v>
      </c>
      <c r="M141" s="2">
        <v>95263</v>
      </c>
      <c r="N141" s="2">
        <v>0</v>
      </c>
      <c r="P141" s="2">
        <v>0</v>
      </c>
    </row>
    <row r="142" spans="1:16">
      <c r="A142" s="2" t="s">
        <v>51</v>
      </c>
      <c r="B142" s="9">
        <v>27</v>
      </c>
      <c r="C142" s="2" t="s">
        <v>1555</v>
      </c>
      <c r="D142" s="2" t="s">
        <v>1294</v>
      </c>
      <c r="E142" s="2">
        <f>+IFERROR(VLOOKUP(A142,'2122'!$A$12:$C$389,2,),0)</f>
        <v>198250</v>
      </c>
      <c r="F142" s="2">
        <v>0</v>
      </c>
      <c r="G142" s="2">
        <f t="shared" si="14"/>
        <v>198250</v>
      </c>
      <c r="H142" s="2">
        <f>+IFERROR(VLOOKUP(A142,'2122'!$A$12:$C$389,3,),0)</f>
        <v>0</v>
      </c>
      <c r="I142" s="2">
        <v>0</v>
      </c>
      <c r="J142" s="2">
        <f t="shared" si="15"/>
        <v>0</v>
      </c>
      <c r="K142" s="2">
        <v>81600</v>
      </c>
      <c r="M142" s="2">
        <v>81600</v>
      </c>
      <c r="N142" s="2">
        <v>0</v>
      </c>
      <c r="P142" s="2">
        <v>0</v>
      </c>
    </row>
    <row r="143" spans="1:16">
      <c r="A143" s="2" t="s">
        <v>528</v>
      </c>
      <c r="B143" s="9">
        <v>7</v>
      </c>
      <c r="C143" s="2" t="s">
        <v>1548</v>
      </c>
      <c r="D143" s="2" t="s">
        <v>529</v>
      </c>
      <c r="E143" s="2">
        <f>+IFERROR(VLOOKUP(A143,'2122'!$A$12:$C$389,2,),0)</f>
        <v>68389</v>
      </c>
      <c r="F143" s="2">
        <v>0</v>
      </c>
      <c r="G143" s="2">
        <f t="shared" si="14"/>
        <v>68389</v>
      </c>
      <c r="H143" s="2">
        <f>+IFERROR(VLOOKUP(A143,'2122'!$A$12:$C$389,3,),0)</f>
        <v>0</v>
      </c>
      <c r="I143" s="2">
        <v>0</v>
      </c>
      <c r="J143" s="2">
        <f t="shared" si="15"/>
        <v>0</v>
      </c>
      <c r="K143" s="2">
        <v>255504</v>
      </c>
      <c r="M143" s="2">
        <v>255504</v>
      </c>
      <c r="N143" s="2">
        <v>0</v>
      </c>
      <c r="P143" s="2">
        <v>0</v>
      </c>
    </row>
    <row r="144" spans="1:16">
      <c r="A144" s="2" t="s">
        <v>530</v>
      </c>
      <c r="B144" s="9">
        <v>19</v>
      </c>
      <c r="C144" s="2" t="s">
        <v>482</v>
      </c>
      <c r="D144" s="2" t="s">
        <v>531</v>
      </c>
      <c r="E144" s="2">
        <f>+IFERROR(VLOOKUP(A144,'2122'!$A$12:$C$389,2,),0)</f>
        <v>0</v>
      </c>
      <c r="F144" s="2">
        <v>0</v>
      </c>
      <c r="G144" s="2">
        <f t="shared" si="14"/>
        <v>0</v>
      </c>
      <c r="H144" s="2">
        <f>+IFERROR(VLOOKUP(A144,'2122'!$A$12:$C$389,3,),0)</f>
        <v>0</v>
      </c>
      <c r="I144" s="2">
        <v>0</v>
      </c>
      <c r="J144" s="2">
        <f t="shared" si="15"/>
        <v>0</v>
      </c>
      <c r="K144" s="2">
        <v>0</v>
      </c>
      <c r="M144" s="2">
        <v>0</v>
      </c>
      <c r="N144" s="2">
        <v>0</v>
      </c>
      <c r="P144" s="2">
        <v>0</v>
      </c>
    </row>
    <row r="145" spans="1:16">
      <c r="A145" s="2" t="s">
        <v>532</v>
      </c>
      <c r="B145" s="9">
        <v>19</v>
      </c>
      <c r="C145" s="2" t="s">
        <v>482</v>
      </c>
      <c r="D145" s="2" t="s">
        <v>531</v>
      </c>
      <c r="E145" s="2">
        <f>+IFERROR(VLOOKUP(A145,'2122'!$A$12:$C$389,2,),0)</f>
        <v>0</v>
      </c>
      <c r="F145" s="2">
        <v>0</v>
      </c>
      <c r="G145" s="2">
        <f t="shared" si="14"/>
        <v>0</v>
      </c>
      <c r="H145" s="2">
        <f>+IFERROR(VLOOKUP(A145,'2122'!$A$12:$C$389,3,),0)</f>
        <v>0</v>
      </c>
      <c r="I145" s="2">
        <v>0</v>
      </c>
      <c r="J145" s="2">
        <f t="shared" si="15"/>
        <v>0</v>
      </c>
      <c r="K145" s="2">
        <v>0</v>
      </c>
      <c r="M145" s="2">
        <v>0</v>
      </c>
      <c r="N145" s="2">
        <v>0</v>
      </c>
      <c r="P145" s="2">
        <v>0</v>
      </c>
    </row>
    <row r="146" spans="1:16">
      <c r="A146" s="2" t="s">
        <v>533</v>
      </c>
      <c r="B146" s="9">
        <v>19</v>
      </c>
      <c r="C146" s="2" t="s">
        <v>482</v>
      </c>
      <c r="D146" s="2" t="s">
        <v>531</v>
      </c>
      <c r="E146" s="2">
        <f>+IFERROR(VLOOKUP(A146,'2122'!$A$12:$C$389,2,),0)</f>
        <v>0</v>
      </c>
      <c r="F146" s="2">
        <v>0</v>
      </c>
      <c r="G146" s="2">
        <f t="shared" si="14"/>
        <v>0</v>
      </c>
      <c r="H146" s="2">
        <f>+IFERROR(VLOOKUP(A146,'2122'!$A$12:$C$389,3,),0)</f>
        <v>0</v>
      </c>
      <c r="I146" s="2">
        <v>0</v>
      </c>
      <c r="J146" s="2">
        <f t="shared" si="15"/>
        <v>0</v>
      </c>
      <c r="K146" s="2">
        <v>0</v>
      </c>
      <c r="M146" s="2">
        <v>0</v>
      </c>
      <c r="N146" s="2">
        <v>0</v>
      </c>
      <c r="P146" s="2">
        <v>0</v>
      </c>
    </row>
    <row r="147" spans="1:16">
      <c r="A147" s="2" t="s">
        <v>534</v>
      </c>
      <c r="B147" s="9">
        <v>19</v>
      </c>
      <c r="C147" s="2" t="s">
        <v>482</v>
      </c>
      <c r="D147" s="2" t="s">
        <v>531</v>
      </c>
      <c r="E147" s="2">
        <f>+IFERROR(VLOOKUP(A147,'2122'!$A$12:$C$389,2,),0)</f>
        <v>0</v>
      </c>
      <c r="F147" s="2">
        <v>0</v>
      </c>
      <c r="G147" s="2">
        <f t="shared" si="14"/>
        <v>0</v>
      </c>
      <c r="H147" s="2">
        <f>+IFERROR(VLOOKUP(A147,'2122'!$A$12:$C$389,3,),0)</f>
        <v>0</v>
      </c>
      <c r="I147" s="2">
        <v>0</v>
      </c>
      <c r="J147" s="2">
        <f t="shared" si="15"/>
        <v>0</v>
      </c>
      <c r="K147" s="2">
        <v>0</v>
      </c>
      <c r="M147" s="2">
        <v>0</v>
      </c>
      <c r="N147" s="2">
        <v>0</v>
      </c>
      <c r="P147" s="2">
        <v>0</v>
      </c>
    </row>
    <row r="148" spans="1:16">
      <c r="A148" s="2" t="s">
        <v>535</v>
      </c>
      <c r="B148" s="9">
        <v>19</v>
      </c>
      <c r="C148" s="2" t="s">
        <v>482</v>
      </c>
      <c r="D148" s="2" t="s">
        <v>531</v>
      </c>
      <c r="E148" s="2">
        <f>+IFERROR(VLOOKUP(A148,'2122'!$A$12:$C$389,2,),0)</f>
        <v>0</v>
      </c>
      <c r="F148" s="2">
        <v>0</v>
      </c>
      <c r="G148" s="2">
        <f t="shared" si="14"/>
        <v>0</v>
      </c>
      <c r="H148" s="2">
        <f>+IFERROR(VLOOKUP(A148,'2122'!$A$12:$C$389,3,),0)</f>
        <v>0</v>
      </c>
      <c r="I148" s="2">
        <v>0</v>
      </c>
      <c r="J148" s="2">
        <f t="shared" si="15"/>
        <v>0</v>
      </c>
      <c r="K148" s="2">
        <v>0</v>
      </c>
      <c r="M148" s="2">
        <v>0</v>
      </c>
      <c r="N148" s="2">
        <v>0</v>
      </c>
      <c r="P148" s="2">
        <v>0</v>
      </c>
    </row>
    <row r="149" spans="1:16">
      <c r="A149" s="2" t="s">
        <v>536</v>
      </c>
      <c r="B149" s="9">
        <v>19</v>
      </c>
      <c r="C149" s="2" t="s">
        <v>482</v>
      </c>
      <c r="D149" s="2" t="s">
        <v>531</v>
      </c>
      <c r="E149" s="2">
        <f>+IFERROR(VLOOKUP(A149,'2122'!$A$12:$C$389,2,),0)</f>
        <v>0</v>
      </c>
      <c r="F149" s="2">
        <v>0</v>
      </c>
      <c r="G149" s="2">
        <f t="shared" si="14"/>
        <v>0</v>
      </c>
      <c r="H149" s="2">
        <f>+IFERROR(VLOOKUP(A149,'2122'!$A$12:$C$389,3,),0)</f>
        <v>0</v>
      </c>
      <c r="I149" s="2">
        <v>0</v>
      </c>
      <c r="J149" s="2">
        <f t="shared" si="15"/>
        <v>0</v>
      </c>
      <c r="K149" s="2">
        <v>0</v>
      </c>
      <c r="M149" s="2">
        <v>0</v>
      </c>
      <c r="N149" s="2">
        <v>0</v>
      </c>
      <c r="P149" s="2">
        <v>0</v>
      </c>
    </row>
    <row r="150" spans="1:16">
      <c r="A150" s="2" t="s">
        <v>537</v>
      </c>
      <c r="B150" s="9">
        <v>19</v>
      </c>
      <c r="C150" s="2" t="s">
        <v>482</v>
      </c>
      <c r="D150" s="2" t="s">
        <v>531</v>
      </c>
      <c r="E150" s="2">
        <f>+IFERROR(VLOOKUP(A150,'2122'!$A$12:$C$389,2,),0)</f>
        <v>0</v>
      </c>
      <c r="F150" s="2">
        <v>0</v>
      </c>
      <c r="G150" s="2">
        <f t="shared" si="14"/>
        <v>0</v>
      </c>
      <c r="H150" s="2">
        <f>+IFERROR(VLOOKUP(A150,'2122'!$A$12:$C$389,3,),0)</f>
        <v>0</v>
      </c>
      <c r="I150" s="2">
        <v>0</v>
      </c>
      <c r="J150" s="2">
        <f t="shared" si="15"/>
        <v>0</v>
      </c>
      <c r="K150" s="2">
        <v>0</v>
      </c>
      <c r="M150" s="2">
        <v>0</v>
      </c>
      <c r="N150" s="2">
        <v>0</v>
      </c>
      <c r="P150" s="2">
        <v>0</v>
      </c>
    </row>
    <row r="151" spans="1:16">
      <c r="A151" s="2" t="s">
        <v>538</v>
      </c>
      <c r="B151" s="9">
        <v>19</v>
      </c>
      <c r="C151" s="2" t="s">
        <v>482</v>
      </c>
      <c r="D151" s="2" t="s">
        <v>531</v>
      </c>
      <c r="E151" s="2">
        <f>+IFERROR(VLOOKUP(A151,'2122'!$A$12:$C$389,2,),0)</f>
        <v>0</v>
      </c>
      <c r="F151" s="2">
        <v>0</v>
      </c>
      <c r="G151" s="2">
        <f t="shared" si="14"/>
        <v>0</v>
      </c>
      <c r="H151" s="2">
        <f>+IFERROR(VLOOKUP(A151,'2122'!$A$12:$C$389,3,),0)</f>
        <v>0</v>
      </c>
      <c r="I151" s="2">
        <v>0</v>
      </c>
      <c r="J151" s="2">
        <f t="shared" si="15"/>
        <v>0</v>
      </c>
      <c r="K151" s="2">
        <v>0</v>
      </c>
      <c r="M151" s="2">
        <v>0</v>
      </c>
      <c r="N151" s="2">
        <v>0</v>
      </c>
      <c r="P151" s="2">
        <v>0</v>
      </c>
    </row>
    <row r="152" spans="1:16">
      <c r="A152" s="2" t="s">
        <v>539</v>
      </c>
      <c r="B152" s="9">
        <v>19</v>
      </c>
      <c r="C152" s="2" t="s">
        <v>482</v>
      </c>
      <c r="D152" s="2" t="s">
        <v>531</v>
      </c>
      <c r="E152" s="2">
        <f>+IFERROR(VLOOKUP(A152,'2122'!$A$12:$C$389,2,),0)</f>
        <v>0</v>
      </c>
      <c r="F152" s="2">
        <v>0</v>
      </c>
      <c r="G152" s="2">
        <f t="shared" si="14"/>
        <v>0</v>
      </c>
      <c r="H152" s="2">
        <f>+IFERROR(VLOOKUP(A152,'2122'!$A$12:$C$389,3,),0)</f>
        <v>0</v>
      </c>
      <c r="I152" s="2">
        <v>0</v>
      </c>
      <c r="J152" s="2">
        <f t="shared" si="15"/>
        <v>0</v>
      </c>
      <c r="K152" s="2">
        <v>0</v>
      </c>
      <c r="M152" s="2">
        <v>0</v>
      </c>
      <c r="N152" s="2">
        <v>0</v>
      </c>
      <c r="P152" s="2">
        <v>0</v>
      </c>
    </row>
    <row r="153" spans="1:16">
      <c r="A153" s="2" t="s">
        <v>540</v>
      </c>
      <c r="B153" s="9">
        <v>19</v>
      </c>
      <c r="C153" s="2" t="s">
        <v>482</v>
      </c>
      <c r="D153" s="2" t="s">
        <v>531</v>
      </c>
      <c r="E153" s="2">
        <f>+IFERROR(VLOOKUP(A153,'2122'!$A$12:$C$389,2,),0)</f>
        <v>0</v>
      </c>
      <c r="F153" s="2">
        <v>0</v>
      </c>
      <c r="G153" s="2">
        <f t="shared" si="14"/>
        <v>0</v>
      </c>
      <c r="H153" s="2">
        <f>+IFERROR(VLOOKUP(A153,'2122'!$A$12:$C$389,3,),0)</f>
        <v>0</v>
      </c>
      <c r="I153" s="2">
        <v>0</v>
      </c>
      <c r="J153" s="2">
        <f t="shared" si="15"/>
        <v>0</v>
      </c>
      <c r="K153" s="2">
        <v>0</v>
      </c>
      <c r="M153" s="2">
        <v>0</v>
      </c>
      <c r="N153" s="2">
        <v>0</v>
      </c>
      <c r="P153" s="2">
        <v>0</v>
      </c>
    </row>
    <row r="154" spans="1:16">
      <c r="A154" s="2" t="s">
        <v>54</v>
      </c>
      <c r="B154" s="9">
        <v>19</v>
      </c>
      <c r="C154" s="2" t="s">
        <v>482</v>
      </c>
      <c r="D154" s="2" t="s">
        <v>531</v>
      </c>
      <c r="E154" s="2">
        <f>+IFERROR(VLOOKUP(A154,'2122'!$A$12:$C$389,2,),0)</f>
        <v>0</v>
      </c>
      <c r="F154" s="2">
        <v>0</v>
      </c>
      <c r="G154" s="2">
        <f t="shared" si="14"/>
        <v>0</v>
      </c>
      <c r="H154" s="2">
        <f>+IFERROR(VLOOKUP(A154,'2122'!$A$12:$C$389,3,),0)</f>
        <v>0</v>
      </c>
      <c r="I154" s="2">
        <v>0</v>
      </c>
      <c r="J154" s="2">
        <f t="shared" si="15"/>
        <v>0</v>
      </c>
      <c r="K154" s="2">
        <v>0</v>
      </c>
      <c r="M154" s="2">
        <v>0</v>
      </c>
      <c r="N154" s="2">
        <v>0</v>
      </c>
      <c r="P154" s="2">
        <v>0</v>
      </c>
    </row>
    <row r="155" spans="1:16">
      <c r="A155" s="2" t="s">
        <v>541</v>
      </c>
      <c r="B155" s="9">
        <v>19</v>
      </c>
      <c r="C155" s="2" t="s">
        <v>482</v>
      </c>
      <c r="D155" s="2" t="s">
        <v>531</v>
      </c>
      <c r="E155" s="2">
        <f>+IFERROR(VLOOKUP(A155,'2122'!$A$12:$C$389,2,),0)</f>
        <v>0</v>
      </c>
      <c r="F155" s="2">
        <v>0</v>
      </c>
      <c r="G155" s="2">
        <f t="shared" si="14"/>
        <v>0</v>
      </c>
      <c r="H155" s="2">
        <f>+IFERROR(VLOOKUP(A155,'2122'!$A$12:$C$389,3,),0)</f>
        <v>0</v>
      </c>
      <c r="I155" s="2">
        <v>0</v>
      </c>
      <c r="J155" s="2">
        <f t="shared" si="15"/>
        <v>0</v>
      </c>
      <c r="K155" s="2">
        <v>0</v>
      </c>
      <c r="M155" s="2">
        <v>0</v>
      </c>
      <c r="N155" s="2">
        <v>0</v>
      </c>
      <c r="P155" s="2">
        <v>0</v>
      </c>
    </row>
    <row r="156" spans="1:16">
      <c r="A156" s="2" t="s">
        <v>542</v>
      </c>
      <c r="B156" s="9">
        <v>19</v>
      </c>
      <c r="C156" s="2" t="s">
        <v>482</v>
      </c>
      <c r="D156" s="2" t="s">
        <v>531</v>
      </c>
      <c r="E156" s="2">
        <f>+IFERROR(VLOOKUP(A156,'2122'!$A$12:$C$389,2,),0)</f>
        <v>0</v>
      </c>
      <c r="F156" s="2">
        <v>0</v>
      </c>
      <c r="G156" s="2">
        <f t="shared" si="14"/>
        <v>0</v>
      </c>
      <c r="H156" s="2">
        <f>+IFERROR(VLOOKUP(A156,'2122'!$A$12:$C$389,3,),0)</f>
        <v>0</v>
      </c>
      <c r="I156" s="2">
        <v>0</v>
      </c>
      <c r="J156" s="2">
        <f t="shared" si="15"/>
        <v>0</v>
      </c>
      <c r="K156" s="2">
        <v>0</v>
      </c>
      <c r="M156" s="2">
        <v>0</v>
      </c>
      <c r="N156" s="2">
        <v>0</v>
      </c>
      <c r="P156" s="2">
        <v>0</v>
      </c>
    </row>
    <row r="157" spans="1:16">
      <c r="A157" s="2" t="s">
        <v>543</v>
      </c>
      <c r="B157" s="9">
        <v>19</v>
      </c>
      <c r="C157" s="2" t="s">
        <v>482</v>
      </c>
      <c r="D157" s="2" t="s">
        <v>531</v>
      </c>
      <c r="E157" s="2">
        <f>+IFERROR(VLOOKUP(A157,'2122'!$A$12:$C$389,2,),0)</f>
        <v>0</v>
      </c>
      <c r="F157" s="2">
        <v>0</v>
      </c>
      <c r="G157" s="2">
        <f t="shared" si="14"/>
        <v>0</v>
      </c>
      <c r="H157" s="2">
        <f>+IFERROR(VLOOKUP(A157,'2122'!$A$12:$C$389,3,),0)</f>
        <v>0</v>
      </c>
      <c r="I157" s="2">
        <v>0</v>
      </c>
      <c r="J157" s="2">
        <f t="shared" si="15"/>
        <v>0</v>
      </c>
      <c r="K157" s="2">
        <v>0</v>
      </c>
      <c r="M157" s="2">
        <v>0</v>
      </c>
      <c r="N157" s="2">
        <v>0</v>
      </c>
      <c r="P157" s="2">
        <v>0</v>
      </c>
    </row>
    <row r="158" spans="1:16">
      <c r="A158" s="2" t="s">
        <v>55</v>
      </c>
      <c r="B158" s="9">
        <v>19</v>
      </c>
      <c r="C158" s="2" t="s">
        <v>482</v>
      </c>
      <c r="D158" s="2" t="s">
        <v>531</v>
      </c>
      <c r="E158" s="2">
        <f>+IFERROR(VLOOKUP(A158,'2122'!$A$12:$C$389,2,),0)</f>
        <v>0</v>
      </c>
      <c r="F158" s="2">
        <v>0</v>
      </c>
      <c r="G158" s="2">
        <f t="shared" si="14"/>
        <v>0</v>
      </c>
      <c r="H158" s="2">
        <f>+IFERROR(VLOOKUP(A158,'2122'!$A$12:$C$389,3,),0)</f>
        <v>0</v>
      </c>
      <c r="I158" s="2">
        <v>0</v>
      </c>
      <c r="J158" s="2">
        <f t="shared" si="15"/>
        <v>0</v>
      </c>
      <c r="K158" s="2">
        <v>0</v>
      </c>
      <c r="M158" s="2">
        <v>0</v>
      </c>
      <c r="N158" s="2">
        <v>0</v>
      </c>
      <c r="P158" s="2">
        <v>0</v>
      </c>
    </row>
    <row r="159" spans="1:16">
      <c r="A159" s="2" t="s">
        <v>57</v>
      </c>
      <c r="B159" s="9">
        <v>19</v>
      </c>
      <c r="C159" s="2" t="s">
        <v>482</v>
      </c>
      <c r="D159" s="2" t="s">
        <v>531</v>
      </c>
      <c r="E159" s="2">
        <f>+IFERROR(VLOOKUP(A159,'2122'!$A$12:$C$389,2,),0)</f>
        <v>0</v>
      </c>
      <c r="F159" s="2">
        <v>0</v>
      </c>
      <c r="G159" s="2">
        <f t="shared" si="14"/>
        <v>0</v>
      </c>
      <c r="H159" s="2">
        <f>+IFERROR(VLOOKUP(A159,'2122'!$A$12:$C$389,3,),0)</f>
        <v>0</v>
      </c>
      <c r="I159" s="2">
        <v>0</v>
      </c>
      <c r="J159" s="2">
        <f t="shared" si="15"/>
        <v>0</v>
      </c>
      <c r="K159" s="2">
        <v>0</v>
      </c>
      <c r="M159" s="2">
        <v>0</v>
      </c>
      <c r="N159" s="2">
        <v>0</v>
      </c>
      <c r="P159" s="2">
        <v>0</v>
      </c>
    </row>
    <row r="160" spans="1:16">
      <c r="A160" s="2" t="s">
        <v>544</v>
      </c>
      <c r="B160" s="9">
        <v>19</v>
      </c>
      <c r="C160" s="2" t="s">
        <v>482</v>
      </c>
      <c r="D160" s="2" t="s">
        <v>531</v>
      </c>
      <c r="E160" s="2">
        <f>+IFERROR(VLOOKUP(A160,'2122'!$A$12:$C$389,2,),0)</f>
        <v>0</v>
      </c>
      <c r="F160" s="2">
        <v>0</v>
      </c>
      <c r="G160" s="2">
        <f t="shared" si="14"/>
        <v>0</v>
      </c>
      <c r="H160" s="2">
        <f>+IFERROR(VLOOKUP(A160,'2122'!$A$12:$C$389,3,),0)</f>
        <v>0</v>
      </c>
      <c r="I160" s="2">
        <v>0</v>
      </c>
      <c r="J160" s="2">
        <f t="shared" si="15"/>
        <v>0</v>
      </c>
      <c r="K160" s="2">
        <v>0</v>
      </c>
      <c r="M160" s="2">
        <v>0</v>
      </c>
      <c r="N160" s="2">
        <v>0</v>
      </c>
      <c r="P160" s="2">
        <v>0</v>
      </c>
    </row>
    <row r="161" spans="1:16">
      <c r="A161" s="2" t="s">
        <v>545</v>
      </c>
      <c r="B161" s="9">
        <v>19</v>
      </c>
      <c r="C161" s="2" t="s">
        <v>482</v>
      </c>
      <c r="D161" s="2" t="s">
        <v>531</v>
      </c>
      <c r="E161" s="2">
        <f>+IFERROR(VLOOKUP(A161,'2122'!$A$12:$C$389,2,),0)</f>
        <v>0</v>
      </c>
      <c r="F161" s="2">
        <v>0</v>
      </c>
      <c r="G161" s="2">
        <f t="shared" si="14"/>
        <v>0</v>
      </c>
      <c r="H161" s="2">
        <f>+IFERROR(VLOOKUP(A161,'2122'!$A$12:$C$389,3,),0)</f>
        <v>0</v>
      </c>
      <c r="I161" s="2">
        <v>0</v>
      </c>
      <c r="J161" s="2">
        <f t="shared" si="15"/>
        <v>0</v>
      </c>
      <c r="K161" s="2">
        <v>0</v>
      </c>
      <c r="M161" s="2">
        <v>0</v>
      </c>
      <c r="N161" s="2">
        <v>0</v>
      </c>
      <c r="P161" s="2">
        <v>0</v>
      </c>
    </row>
    <row r="162" spans="1:16">
      <c r="A162" s="2" t="s">
        <v>546</v>
      </c>
      <c r="B162" s="9">
        <v>19</v>
      </c>
      <c r="C162" s="2" t="s">
        <v>482</v>
      </c>
      <c r="D162" s="2" t="s">
        <v>531</v>
      </c>
      <c r="E162" s="2">
        <f>+IFERROR(VLOOKUP(A162,'2122'!$A$12:$C$389,2,),0)</f>
        <v>0</v>
      </c>
      <c r="F162" s="2">
        <v>0</v>
      </c>
      <c r="G162" s="2">
        <f t="shared" si="14"/>
        <v>0</v>
      </c>
      <c r="H162" s="2">
        <f>+IFERROR(VLOOKUP(A162,'2122'!$A$12:$C$389,3,),0)</f>
        <v>0</v>
      </c>
      <c r="I162" s="2">
        <v>0</v>
      </c>
      <c r="J162" s="2">
        <f t="shared" si="15"/>
        <v>0</v>
      </c>
      <c r="K162" s="2">
        <v>0</v>
      </c>
      <c r="M162" s="2">
        <v>0</v>
      </c>
      <c r="N162" s="2">
        <v>0</v>
      </c>
      <c r="P162" s="2">
        <v>0</v>
      </c>
    </row>
    <row r="163" spans="1:16">
      <c r="A163" s="2" t="s">
        <v>547</v>
      </c>
      <c r="B163" s="9">
        <v>19</v>
      </c>
      <c r="C163" s="2" t="s">
        <v>482</v>
      </c>
      <c r="D163" s="2" t="s">
        <v>531</v>
      </c>
      <c r="E163" s="2">
        <f>+IFERROR(VLOOKUP(A163,'2122'!$A$12:$C$389,2,),0)</f>
        <v>0</v>
      </c>
      <c r="F163" s="2">
        <v>0</v>
      </c>
      <c r="G163" s="2">
        <f t="shared" si="14"/>
        <v>0</v>
      </c>
      <c r="H163" s="2">
        <f>+IFERROR(VLOOKUP(A163,'2122'!$A$12:$C$389,3,),0)</f>
        <v>0</v>
      </c>
      <c r="I163" s="2">
        <v>0</v>
      </c>
      <c r="J163" s="2">
        <f t="shared" si="15"/>
        <v>0</v>
      </c>
      <c r="K163" s="2">
        <v>0</v>
      </c>
      <c r="M163" s="2">
        <v>0</v>
      </c>
      <c r="N163" s="2">
        <v>0</v>
      </c>
      <c r="P163" s="2">
        <v>0</v>
      </c>
    </row>
    <row r="164" spans="1:16">
      <c r="A164" s="2" t="s">
        <v>548</v>
      </c>
      <c r="B164" s="9">
        <v>19</v>
      </c>
      <c r="C164" s="2" t="s">
        <v>482</v>
      </c>
      <c r="D164" s="2" t="s">
        <v>531</v>
      </c>
      <c r="E164" s="2">
        <f>+IFERROR(VLOOKUP(A164,'2122'!$A$12:$C$389,2,),0)</f>
        <v>0</v>
      </c>
      <c r="F164" s="2">
        <v>0</v>
      </c>
      <c r="G164" s="2">
        <f t="shared" si="14"/>
        <v>0</v>
      </c>
      <c r="H164" s="2">
        <f>+IFERROR(VLOOKUP(A164,'2122'!$A$12:$C$389,3,),0)</f>
        <v>0</v>
      </c>
      <c r="I164" s="2">
        <v>0</v>
      </c>
      <c r="J164" s="2">
        <f t="shared" si="15"/>
        <v>0</v>
      </c>
      <c r="K164" s="2">
        <v>0</v>
      </c>
      <c r="M164" s="2">
        <v>0</v>
      </c>
      <c r="N164" s="2">
        <v>0</v>
      </c>
      <c r="P164" s="2">
        <v>0</v>
      </c>
    </row>
    <row r="165" spans="1:16">
      <c r="A165" s="2" t="s">
        <v>549</v>
      </c>
      <c r="B165" s="9">
        <v>19</v>
      </c>
      <c r="C165" s="2" t="s">
        <v>482</v>
      </c>
      <c r="D165" s="2" t="s">
        <v>531</v>
      </c>
      <c r="E165" s="2">
        <f>+IFERROR(VLOOKUP(A165,'2122'!$A$12:$C$389,2,),0)</f>
        <v>0</v>
      </c>
      <c r="F165" s="2">
        <v>0</v>
      </c>
      <c r="G165" s="2">
        <f t="shared" si="14"/>
        <v>0</v>
      </c>
      <c r="H165" s="2">
        <f>+IFERROR(VLOOKUP(A165,'2122'!$A$12:$C$389,3,),0)</f>
        <v>0</v>
      </c>
      <c r="I165" s="2">
        <v>0</v>
      </c>
      <c r="J165" s="2">
        <f t="shared" si="15"/>
        <v>0</v>
      </c>
      <c r="K165" s="2">
        <v>0</v>
      </c>
      <c r="M165" s="2">
        <v>0</v>
      </c>
      <c r="N165" s="2">
        <v>0</v>
      </c>
      <c r="P165" s="2">
        <v>0</v>
      </c>
    </row>
    <row r="166" spans="1:16">
      <c r="A166" s="2" t="s">
        <v>550</v>
      </c>
      <c r="B166" s="9">
        <v>19</v>
      </c>
      <c r="C166" s="2" t="s">
        <v>482</v>
      </c>
      <c r="D166" s="2" t="s">
        <v>531</v>
      </c>
      <c r="E166" s="2">
        <f>+IFERROR(VLOOKUP(A166,'2122'!$A$12:$C$389,2,),0)</f>
        <v>0</v>
      </c>
      <c r="F166" s="2">
        <v>0</v>
      </c>
      <c r="G166" s="2">
        <f t="shared" si="14"/>
        <v>0</v>
      </c>
      <c r="H166" s="2">
        <f>+IFERROR(VLOOKUP(A166,'2122'!$A$12:$C$389,3,),0)</f>
        <v>0</v>
      </c>
      <c r="I166" s="2">
        <v>0</v>
      </c>
      <c r="J166" s="2">
        <f t="shared" si="15"/>
        <v>0</v>
      </c>
      <c r="K166" s="2">
        <v>0</v>
      </c>
      <c r="M166" s="2">
        <v>0</v>
      </c>
      <c r="N166" s="2">
        <v>0</v>
      </c>
      <c r="P166" s="2">
        <v>0</v>
      </c>
    </row>
    <row r="167" spans="1:16">
      <c r="A167" s="2" t="s">
        <v>551</v>
      </c>
      <c r="B167" s="9">
        <v>19</v>
      </c>
      <c r="C167" s="2" t="s">
        <v>482</v>
      </c>
      <c r="D167" s="2" t="s">
        <v>531</v>
      </c>
      <c r="E167" s="2">
        <f>+IFERROR(VLOOKUP(A167,'2122'!$A$12:$C$389,2,),0)</f>
        <v>0</v>
      </c>
      <c r="F167" s="2">
        <v>0</v>
      </c>
      <c r="G167" s="2">
        <f t="shared" si="14"/>
        <v>0</v>
      </c>
      <c r="H167" s="2">
        <f>+IFERROR(VLOOKUP(A167,'2122'!$A$12:$C$389,3,),0)</f>
        <v>0</v>
      </c>
      <c r="I167" s="2">
        <v>0</v>
      </c>
      <c r="J167" s="2">
        <f t="shared" si="15"/>
        <v>0</v>
      </c>
      <c r="K167" s="2">
        <v>0</v>
      </c>
      <c r="M167" s="2">
        <v>0</v>
      </c>
      <c r="N167" s="2">
        <v>0</v>
      </c>
      <c r="P167" s="2">
        <v>0</v>
      </c>
    </row>
    <row r="168" spans="1:16">
      <c r="A168" s="2" t="s">
        <v>552</v>
      </c>
      <c r="B168" s="9">
        <v>19</v>
      </c>
      <c r="C168" s="2" t="s">
        <v>482</v>
      </c>
      <c r="D168" s="2" t="s">
        <v>531</v>
      </c>
      <c r="E168" s="2">
        <f>+IFERROR(VLOOKUP(A168,'2122'!$A$12:$C$389,2,),0)</f>
        <v>0</v>
      </c>
      <c r="F168" s="2">
        <v>0</v>
      </c>
      <c r="G168" s="2">
        <f t="shared" si="14"/>
        <v>0</v>
      </c>
      <c r="H168" s="2">
        <f>+IFERROR(VLOOKUP(A168,'2122'!$A$12:$C$389,3,),0)</f>
        <v>0</v>
      </c>
      <c r="I168" s="2">
        <v>0</v>
      </c>
      <c r="J168" s="2">
        <f t="shared" si="15"/>
        <v>0</v>
      </c>
      <c r="K168" s="2">
        <v>0</v>
      </c>
      <c r="M168" s="2">
        <v>0</v>
      </c>
      <c r="N168" s="2">
        <v>0</v>
      </c>
      <c r="P168" s="2">
        <v>0</v>
      </c>
    </row>
    <row r="169" spans="1:16">
      <c r="A169" s="2" t="s">
        <v>553</v>
      </c>
      <c r="B169" s="9">
        <v>19</v>
      </c>
      <c r="C169" s="2" t="s">
        <v>482</v>
      </c>
      <c r="D169" s="2" t="s">
        <v>531</v>
      </c>
      <c r="E169" s="2">
        <f>+IFERROR(VLOOKUP(A169,'2122'!$A$12:$C$389,2,),0)</f>
        <v>0</v>
      </c>
      <c r="F169" s="2">
        <v>0</v>
      </c>
      <c r="G169" s="2">
        <f t="shared" si="14"/>
        <v>0</v>
      </c>
      <c r="H169" s="2">
        <f>+IFERROR(VLOOKUP(A169,'2122'!$A$12:$C$389,3,),0)</f>
        <v>0</v>
      </c>
      <c r="I169" s="2">
        <v>0</v>
      </c>
      <c r="J169" s="2">
        <f t="shared" si="15"/>
        <v>0</v>
      </c>
      <c r="K169" s="2">
        <v>0</v>
      </c>
      <c r="M169" s="2">
        <v>0</v>
      </c>
      <c r="N169" s="2">
        <v>0</v>
      </c>
      <c r="P169" s="2">
        <v>0</v>
      </c>
    </row>
    <row r="170" spans="1:16">
      <c r="A170" s="2" t="s">
        <v>554</v>
      </c>
      <c r="B170" s="9">
        <v>19</v>
      </c>
      <c r="C170" s="2" t="s">
        <v>482</v>
      </c>
      <c r="D170" s="2" t="s">
        <v>531</v>
      </c>
      <c r="E170" s="2">
        <f>+IFERROR(VLOOKUP(A170,'2122'!$A$12:$C$389,2,),0)</f>
        <v>0</v>
      </c>
      <c r="F170" s="2">
        <v>0</v>
      </c>
      <c r="G170" s="2">
        <f t="shared" si="14"/>
        <v>0</v>
      </c>
      <c r="H170" s="2">
        <f>+IFERROR(VLOOKUP(A170,'2122'!$A$12:$C$389,3,),0)</f>
        <v>0</v>
      </c>
      <c r="I170" s="2">
        <v>0</v>
      </c>
      <c r="J170" s="2">
        <f t="shared" si="15"/>
        <v>0</v>
      </c>
      <c r="K170" s="2">
        <v>0</v>
      </c>
      <c r="M170" s="2">
        <v>0</v>
      </c>
      <c r="N170" s="2">
        <v>0</v>
      </c>
      <c r="P170" s="2">
        <v>0</v>
      </c>
    </row>
    <row r="171" spans="1:16">
      <c r="A171" s="2" t="s">
        <v>322</v>
      </c>
      <c r="B171" s="9">
        <v>19</v>
      </c>
      <c r="C171" s="2" t="s">
        <v>482</v>
      </c>
      <c r="D171" s="2" t="s">
        <v>531</v>
      </c>
      <c r="E171" s="2">
        <f>+IFERROR(VLOOKUP(A171,'2122'!$A$12:$C$389,2,),0)</f>
        <v>0</v>
      </c>
      <c r="F171" s="2">
        <v>0</v>
      </c>
      <c r="G171" s="2">
        <f t="shared" si="14"/>
        <v>0</v>
      </c>
      <c r="H171" s="2">
        <f>+IFERROR(VLOOKUP(A171,'2122'!$A$12:$C$389,3,),0)</f>
        <v>0</v>
      </c>
      <c r="I171" s="2">
        <v>0</v>
      </c>
      <c r="J171" s="2">
        <f t="shared" si="15"/>
        <v>0</v>
      </c>
      <c r="K171" s="2">
        <v>0</v>
      </c>
      <c r="M171" s="2">
        <v>0</v>
      </c>
      <c r="N171" s="2">
        <v>0</v>
      </c>
      <c r="P171" s="2">
        <v>0</v>
      </c>
    </row>
    <row r="172" spans="1:16">
      <c r="A172" s="2" t="s">
        <v>555</v>
      </c>
      <c r="B172" s="9">
        <v>19</v>
      </c>
      <c r="C172" s="2" t="s">
        <v>482</v>
      </c>
      <c r="D172" s="2" t="s">
        <v>531</v>
      </c>
      <c r="E172" s="2">
        <f>+IFERROR(VLOOKUP(A172,'2122'!$A$12:$C$389,2,),0)</f>
        <v>0</v>
      </c>
      <c r="F172" s="2">
        <v>0</v>
      </c>
      <c r="G172" s="2">
        <f t="shared" si="14"/>
        <v>0</v>
      </c>
      <c r="H172" s="2">
        <f>+IFERROR(VLOOKUP(A172,'2122'!$A$12:$C$389,3,),0)</f>
        <v>0</v>
      </c>
      <c r="I172" s="2">
        <v>0</v>
      </c>
      <c r="J172" s="2">
        <f t="shared" si="15"/>
        <v>0</v>
      </c>
      <c r="K172" s="2">
        <v>0</v>
      </c>
      <c r="M172" s="2">
        <v>0</v>
      </c>
      <c r="N172" s="2">
        <v>0</v>
      </c>
      <c r="P172" s="2">
        <v>0</v>
      </c>
    </row>
    <row r="173" spans="1:16">
      <c r="A173" s="2" t="s">
        <v>556</v>
      </c>
      <c r="B173" s="9">
        <v>19</v>
      </c>
      <c r="C173" s="2" t="s">
        <v>482</v>
      </c>
      <c r="D173" s="2" t="s">
        <v>531</v>
      </c>
      <c r="E173" s="2">
        <f>+IFERROR(VLOOKUP(A173,'2122'!$A$12:$C$389,2,),0)</f>
        <v>0</v>
      </c>
      <c r="F173" s="2">
        <v>0</v>
      </c>
      <c r="G173" s="2">
        <f t="shared" si="14"/>
        <v>0</v>
      </c>
      <c r="H173" s="2">
        <f>+IFERROR(VLOOKUP(A173,'2122'!$A$12:$C$389,3,),0)</f>
        <v>0</v>
      </c>
      <c r="I173" s="2">
        <v>0</v>
      </c>
      <c r="J173" s="2">
        <f t="shared" si="15"/>
        <v>0</v>
      </c>
      <c r="K173" s="2">
        <v>0</v>
      </c>
      <c r="M173" s="2">
        <v>0</v>
      </c>
      <c r="N173" s="2">
        <v>0</v>
      </c>
      <c r="P173" s="2">
        <v>0</v>
      </c>
    </row>
    <row r="174" spans="1:16">
      <c r="A174" s="2" t="s">
        <v>557</v>
      </c>
      <c r="B174" s="9">
        <v>19</v>
      </c>
      <c r="C174" s="2" t="s">
        <v>482</v>
      </c>
      <c r="D174" s="2" t="s">
        <v>531</v>
      </c>
      <c r="E174" s="2">
        <f>+IFERROR(VLOOKUP(A174,'2122'!$A$12:$C$389,2,),0)</f>
        <v>0</v>
      </c>
      <c r="F174" s="2">
        <v>0</v>
      </c>
      <c r="G174" s="2">
        <f t="shared" si="14"/>
        <v>0</v>
      </c>
      <c r="H174" s="2">
        <f>+IFERROR(VLOOKUP(A174,'2122'!$A$12:$C$389,3,),0)</f>
        <v>0</v>
      </c>
      <c r="I174" s="2">
        <v>0</v>
      </c>
      <c r="J174" s="2">
        <f t="shared" si="15"/>
        <v>0</v>
      </c>
      <c r="K174" s="2">
        <v>0</v>
      </c>
      <c r="M174" s="2">
        <v>0</v>
      </c>
      <c r="N174" s="2">
        <v>0</v>
      </c>
      <c r="P174" s="2">
        <v>0</v>
      </c>
    </row>
    <row r="175" spans="1:16">
      <c r="A175" s="2" t="s">
        <v>323</v>
      </c>
      <c r="B175" s="9">
        <v>19</v>
      </c>
      <c r="C175" s="2" t="s">
        <v>482</v>
      </c>
      <c r="D175" s="2" t="s">
        <v>531</v>
      </c>
      <c r="E175" s="2">
        <f>+IFERROR(VLOOKUP(A175,'2122'!$A$12:$C$389,2,),0)</f>
        <v>0</v>
      </c>
      <c r="F175" s="2">
        <v>0</v>
      </c>
      <c r="G175" s="2">
        <f t="shared" si="14"/>
        <v>0</v>
      </c>
      <c r="H175" s="2">
        <f>+IFERROR(VLOOKUP(A175,'2122'!$A$12:$C$389,3,),0)</f>
        <v>0</v>
      </c>
      <c r="I175" s="2">
        <v>0</v>
      </c>
      <c r="J175" s="2">
        <f t="shared" si="15"/>
        <v>0</v>
      </c>
      <c r="K175" s="2">
        <v>0</v>
      </c>
      <c r="M175" s="2">
        <v>0</v>
      </c>
      <c r="N175" s="2">
        <v>0</v>
      </c>
      <c r="P175" s="2">
        <v>0</v>
      </c>
    </row>
    <row r="176" spans="1:16">
      <c r="A176" s="2" t="s">
        <v>325</v>
      </c>
      <c r="B176" s="9">
        <v>19</v>
      </c>
      <c r="C176" s="2" t="s">
        <v>482</v>
      </c>
      <c r="D176" s="2" t="s">
        <v>531</v>
      </c>
      <c r="E176" s="2">
        <f>+IFERROR(VLOOKUP(A176,'2122'!$A$12:$C$389,2,),0)</f>
        <v>0</v>
      </c>
      <c r="F176" s="2">
        <v>0</v>
      </c>
      <c r="G176" s="2">
        <f t="shared" si="14"/>
        <v>0</v>
      </c>
      <c r="H176" s="2">
        <f>+IFERROR(VLOOKUP(A176,'2122'!$A$12:$C$389,3,),0)</f>
        <v>0</v>
      </c>
      <c r="I176" s="2">
        <v>0</v>
      </c>
      <c r="J176" s="2">
        <f t="shared" si="15"/>
        <v>0</v>
      </c>
      <c r="K176" s="2">
        <v>0</v>
      </c>
      <c r="M176" s="2">
        <v>0</v>
      </c>
      <c r="N176" s="2">
        <v>0</v>
      </c>
      <c r="P176" s="2">
        <v>0</v>
      </c>
    </row>
    <row r="177" spans="1:16">
      <c r="A177" s="2" t="s">
        <v>558</v>
      </c>
      <c r="B177" s="9">
        <v>19</v>
      </c>
      <c r="C177" s="2" t="s">
        <v>482</v>
      </c>
      <c r="D177" s="2" t="s">
        <v>531</v>
      </c>
      <c r="E177" s="2">
        <f>+IFERROR(VLOOKUP(A177,'2122'!$A$12:$C$389,2,),0)</f>
        <v>0</v>
      </c>
      <c r="F177" s="2">
        <v>0</v>
      </c>
      <c r="G177" s="2">
        <f t="shared" si="14"/>
        <v>0</v>
      </c>
      <c r="H177" s="2">
        <f>+IFERROR(VLOOKUP(A177,'2122'!$A$12:$C$389,3,),0)</f>
        <v>0</v>
      </c>
      <c r="I177" s="2">
        <v>0</v>
      </c>
      <c r="J177" s="2">
        <f t="shared" si="15"/>
        <v>0</v>
      </c>
      <c r="K177" s="2">
        <v>0</v>
      </c>
      <c r="M177" s="2">
        <v>0</v>
      </c>
      <c r="N177" s="2">
        <v>0</v>
      </c>
      <c r="P177" s="2">
        <v>0</v>
      </c>
    </row>
    <row r="178" spans="1:16">
      <c r="A178" s="2" t="s">
        <v>559</v>
      </c>
      <c r="B178" s="9">
        <v>19</v>
      </c>
      <c r="C178" s="2" t="s">
        <v>482</v>
      </c>
      <c r="D178" s="2" t="s">
        <v>531</v>
      </c>
      <c r="E178" s="2">
        <f>+IFERROR(VLOOKUP(A178,'2122'!$A$12:$C$389,2,),0)</f>
        <v>0</v>
      </c>
      <c r="F178" s="2">
        <v>0</v>
      </c>
      <c r="G178" s="2">
        <f t="shared" si="14"/>
        <v>0</v>
      </c>
      <c r="H178" s="2">
        <f>+IFERROR(VLOOKUP(A178,'2122'!$A$12:$C$389,3,),0)</f>
        <v>0</v>
      </c>
      <c r="I178" s="2">
        <v>0</v>
      </c>
      <c r="J178" s="2">
        <f t="shared" si="15"/>
        <v>0</v>
      </c>
      <c r="K178" s="2">
        <v>0</v>
      </c>
      <c r="M178" s="2">
        <v>0</v>
      </c>
      <c r="N178" s="2">
        <v>0</v>
      </c>
      <c r="P178" s="2">
        <v>0</v>
      </c>
    </row>
    <row r="179" spans="1:16">
      <c r="A179" s="2" t="s">
        <v>560</v>
      </c>
      <c r="B179" s="9">
        <v>19</v>
      </c>
      <c r="C179" s="2" t="s">
        <v>482</v>
      </c>
      <c r="D179" s="2" t="s">
        <v>531</v>
      </c>
      <c r="E179" s="2">
        <f>+IFERROR(VLOOKUP(A179,'2122'!$A$12:$C$389,2,),0)</f>
        <v>0</v>
      </c>
      <c r="F179" s="2">
        <v>0</v>
      </c>
      <c r="G179" s="2">
        <f t="shared" si="14"/>
        <v>0</v>
      </c>
      <c r="H179" s="2">
        <f>+IFERROR(VLOOKUP(A179,'2122'!$A$12:$C$389,3,),0)</f>
        <v>0</v>
      </c>
      <c r="I179" s="2">
        <v>0</v>
      </c>
      <c r="J179" s="2">
        <f t="shared" si="15"/>
        <v>0</v>
      </c>
      <c r="K179" s="2">
        <v>0</v>
      </c>
      <c r="M179" s="2">
        <v>0</v>
      </c>
      <c r="N179" s="2">
        <v>0</v>
      </c>
      <c r="P179" s="2">
        <v>0</v>
      </c>
    </row>
    <row r="180" spans="1:16">
      <c r="A180" s="2" t="s">
        <v>561</v>
      </c>
      <c r="B180" s="9">
        <v>19</v>
      </c>
      <c r="C180" s="2" t="s">
        <v>482</v>
      </c>
      <c r="D180" s="2" t="s">
        <v>531</v>
      </c>
      <c r="E180" s="2">
        <f>+IFERROR(VLOOKUP(A180,'2122'!$A$12:$C$389,2,),0)</f>
        <v>0</v>
      </c>
      <c r="F180" s="2">
        <v>0</v>
      </c>
      <c r="G180" s="2">
        <f t="shared" si="14"/>
        <v>0</v>
      </c>
      <c r="H180" s="2">
        <f>+IFERROR(VLOOKUP(A180,'2122'!$A$12:$C$389,3,),0)</f>
        <v>0</v>
      </c>
      <c r="I180" s="2">
        <v>0</v>
      </c>
      <c r="J180" s="2">
        <f t="shared" si="15"/>
        <v>0</v>
      </c>
      <c r="K180" s="2">
        <v>0</v>
      </c>
      <c r="M180" s="2">
        <v>0</v>
      </c>
      <c r="N180" s="2">
        <v>0</v>
      </c>
      <c r="P180" s="2">
        <v>0</v>
      </c>
    </row>
    <row r="181" spans="1:16">
      <c r="A181" s="2" t="s">
        <v>562</v>
      </c>
      <c r="B181" s="9">
        <v>19</v>
      </c>
      <c r="C181" s="2" t="s">
        <v>482</v>
      </c>
      <c r="D181" s="2" t="s">
        <v>531</v>
      </c>
      <c r="E181" s="2">
        <f>+IFERROR(VLOOKUP(A181,'2122'!$A$12:$C$389,2,),0)</f>
        <v>0</v>
      </c>
      <c r="F181" s="2">
        <v>0</v>
      </c>
      <c r="G181" s="2">
        <f t="shared" si="14"/>
        <v>0</v>
      </c>
      <c r="H181" s="2">
        <f>+IFERROR(VLOOKUP(A181,'2122'!$A$12:$C$389,3,),0)</f>
        <v>0</v>
      </c>
      <c r="I181" s="2">
        <v>0</v>
      </c>
      <c r="J181" s="2">
        <f t="shared" si="15"/>
        <v>0</v>
      </c>
      <c r="K181" s="2">
        <v>0</v>
      </c>
      <c r="M181" s="2">
        <v>0</v>
      </c>
      <c r="N181" s="2">
        <v>0</v>
      </c>
      <c r="P181" s="2">
        <v>0</v>
      </c>
    </row>
    <row r="182" spans="1:16">
      <c r="A182" s="2" t="s">
        <v>563</v>
      </c>
      <c r="B182" s="9">
        <v>19</v>
      </c>
      <c r="C182" s="2" t="s">
        <v>482</v>
      </c>
      <c r="D182" s="2" t="s">
        <v>531</v>
      </c>
      <c r="E182" s="2">
        <f>+IFERROR(VLOOKUP(A182,'2122'!$A$12:$C$389,2,),0)</f>
        <v>0</v>
      </c>
      <c r="F182" s="2">
        <v>0</v>
      </c>
      <c r="G182" s="2">
        <f t="shared" si="14"/>
        <v>0</v>
      </c>
      <c r="H182" s="2">
        <f>+IFERROR(VLOOKUP(A182,'2122'!$A$12:$C$389,3,),0)</f>
        <v>0</v>
      </c>
      <c r="I182" s="2">
        <v>0</v>
      </c>
      <c r="J182" s="2">
        <f t="shared" si="15"/>
        <v>0</v>
      </c>
      <c r="K182" s="2">
        <v>0</v>
      </c>
      <c r="M182" s="2">
        <v>0</v>
      </c>
      <c r="N182" s="2">
        <v>0</v>
      </c>
      <c r="P182" s="2">
        <v>0</v>
      </c>
    </row>
    <row r="183" spans="1:16">
      <c r="A183" s="2" t="s">
        <v>564</v>
      </c>
      <c r="B183" s="9">
        <v>19</v>
      </c>
      <c r="C183" s="2" t="s">
        <v>482</v>
      </c>
      <c r="D183" s="2" t="s">
        <v>531</v>
      </c>
      <c r="E183" s="2">
        <f>+IFERROR(VLOOKUP(A183,'2122'!$A$12:$C$389,2,),0)</f>
        <v>0</v>
      </c>
      <c r="F183" s="2">
        <v>0</v>
      </c>
      <c r="G183" s="2">
        <f t="shared" si="14"/>
        <v>0</v>
      </c>
      <c r="H183" s="2">
        <f>+IFERROR(VLOOKUP(A183,'2122'!$A$12:$C$389,3,),0)</f>
        <v>0</v>
      </c>
      <c r="I183" s="2">
        <v>0</v>
      </c>
      <c r="J183" s="2">
        <f t="shared" si="15"/>
        <v>0</v>
      </c>
      <c r="K183" s="2">
        <v>0</v>
      </c>
      <c r="M183" s="2">
        <v>0</v>
      </c>
      <c r="N183" s="2">
        <v>0</v>
      </c>
      <c r="P183" s="2">
        <v>0</v>
      </c>
    </row>
    <row r="184" spans="1:16">
      <c r="A184" s="2" t="s">
        <v>565</v>
      </c>
      <c r="B184" s="9">
        <v>19</v>
      </c>
      <c r="C184" s="2" t="s">
        <v>482</v>
      </c>
      <c r="D184" s="2" t="s">
        <v>531</v>
      </c>
      <c r="E184" s="2">
        <f>+IFERROR(VLOOKUP(A184,'2122'!$A$12:$C$389,2,),0)</f>
        <v>0</v>
      </c>
      <c r="F184" s="2">
        <v>0</v>
      </c>
      <c r="G184" s="2">
        <f t="shared" si="14"/>
        <v>0</v>
      </c>
      <c r="H184" s="2">
        <f>+IFERROR(VLOOKUP(A184,'2122'!$A$12:$C$389,3,),0)</f>
        <v>0</v>
      </c>
      <c r="I184" s="2">
        <v>0</v>
      </c>
      <c r="J184" s="2">
        <f t="shared" si="15"/>
        <v>0</v>
      </c>
      <c r="K184" s="2">
        <v>61274.11</v>
      </c>
      <c r="M184" s="2">
        <v>61274.11</v>
      </c>
      <c r="N184" s="2">
        <v>0</v>
      </c>
      <c r="P184" s="2">
        <v>0</v>
      </c>
    </row>
    <row r="185" spans="1:16">
      <c r="A185" s="2" t="s">
        <v>566</v>
      </c>
      <c r="B185" s="9">
        <v>19</v>
      </c>
      <c r="C185" s="2" t="s">
        <v>482</v>
      </c>
      <c r="D185" s="2" t="s">
        <v>531</v>
      </c>
      <c r="E185" s="2">
        <f>+IFERROR(VLOOKUP(A185,'2122'!$A$12:$C$389,2,),0)</f>
        <v>0</v>
      </c>
      <c r="F185" s="2">
        <v>0</v>
      </c>
      <c r="G185" s="2">
        <f t="shared" si="14"/>
        <v>0</v>
      </c>
      <c r="H185" s="2">
        <f>+IFERROR(VLOOKUP(A185,'2122'!$A$12:$C$389,3,),0)</f>
        <v>0</v>
      </c>
      <c r="I185" s="2">
        <v>0</v>
      </c>
      <c r="J185" s="2">
        <f t="shared" si="15"/>
        <v>0</v>
      </c>
      <c r="K185" s="2">
        <v>0</v>
      </c>
      <c r="M185" s="2">
        <v>0</v>
      </c>
      <c r="N185" s="2">
        <v>0</v>
      </c>
      <c r="P185" s="2">
        <v>0</v>
      </c>
    </row>
    <row r="186" spans="1:16">
      <c r="A186" s="2" t="s">
        <v>567</v>
      </c>
      <c r="B186" s="9">
        <v>17</v>
      </c>
      <c r="C186" s="2" t="s">
        <v>415</v>
      </c>
      <c r="D186" s="2" t="s">
        <v>416</v>
      </c>
      <c r="E186" s="2">
        <f>+IFERROR(VLOOKUP(A186,'2122'!$A$12:$C$389,2,),0)</f>
        <v>0</v>
      </c>
      <c r="F186" s="2">
        <v>0</v>
      </c>
      <c r="G186" s="2">
        <f t="shared" si="14"/>
        <v>0</v>
      </c>
      <c r="H186" s="2">
        <f>+IFERROR(VLOOKUP(A186,'2122'!$A$12:$C$389,3,),0)</f>
        <v>0</v>
      </c>
      <c r="I186" s="2">
        <v>0</v>
      </c>
      <c r="J186" s="2">
        <f t="shared" si="15"/>
        <v>0</v>
      </c>
      <c r="K186" s="2">
        <v>0</v>
      </c>
      <c r="M186" s="2">
        <v>0</v>
      </c>
      <c r="N186" s="2">
        <v>0</v>
      </c>
      <c r="P186" s="2">
        <v>0</v>
      </c>
    </row>
    <row r="187" spans="1:16">
      <c r="A187" s="2" t="s">
        <v>568</v>
      </c>
      <c r="B187" s="9">
        <v>17</v>
      </c>
      <c r="C187" s="2" t="s">
        <v>415</v>
      </c>
      <c r="D187" s="2" t="s">
        <v>416</v>
      </c>
      <c r="E187" s="2">
        <f>+IFERROR(VLOOKUP(A187,'2122'!$A$12:$C$389,2,),0)</f>
        <v>0</v>
      </c>
      <c r="F187" s="2">
        <v>0</v>
      </c>
      <c r="G187" s="2">
        <f t="shared" si="14"/>
        <v>0</v>
      </c>
      <c r="H187" s="2">
        <f>+IFERROR(VLOOKUP(A187,'2122'!$A$12:$C$389,3,),0)</f>
        <v>0</v>
      </c>
      <c r="I187" s="2">
        <v>0</v>
      </c>
      <c r="J187" s="2">
        <f t="shared" si="15"/>
        <v>0</v>
      </c>
      <c r="K187" s="2">
        <v>0</v>
      </c>
      <c r="M187" s="2">
        <v>0</v>
      </c>
      <c r="N187" s="2">
        <v>0</v>
      </c>
      <c r="P187" s="2">
        <v>0</v>
      </c>
    </row>
    <row r="188" spans="1:16">
      <c r="A188" s="2" t="s">
        <v>569</v>
      </c>
      <c r="B188" s="9">
        <v>6</v>
      </c>
      <c r="C188" s="2" t="s">
        <v>1074</v>
      </c>
      <c r="D188" s="2" t="s">
        <v>423</v>
      </c>
      <c r="E188" s="2">
        <f>+IFERROR(VLOOKUP(A188,'2122'!$A$12:$C$389,2,),0)</f>
        <v>0</v>
      </c>
      <c r="F188" s="2">
        <v>0</v>
      </c>
      <c r="G188" s="2">
        <f t="shared" si="14"/>
        <v>0</v>
      </c>
      <c r="H188" s="2">
        <f>+IFERROR(VLOOKUP(A188,'2122'!$A$12:$C$389,3,),0)</f>
        <v>0</v>
      </c>
      <c r="I188" s="2">
        <v>0</v>
      </c>
      <c r="J188" s="2">
        <f t="shared" si="15"/>
        <v>0</v>
      </c>
      <c r="K188" s="2">
        <v>19377618</v>
      </c>
      <c r="M188" s="2">
        <v>19377618</v>
      </c>
      <c r="N188" s="2">
        <v>0</v>
      </c>
      <c r="P188" s="2">
        <v>0</v>
      </c>
    </row>
    <row r="189" spans="1:16">
      <c r="A189" s="2" t="s">
        <v>570</v>
      </c>
      <c r="B189" s="9">
        <v>17</v>
      </c>
      <c r="C189" s="2" t="s">
        <v>415</v>
      </c>
      <c r="D189" s="2" t="s">
        <v>415</v>
      </c>
      <c r="E189" s="2">
        <f>+IFERROR(VLOOKUP(A189,'2122'!$A$12:$C$389,2,),0)</f>
        <v>0</v>
      </c>
      <c r="F189" s="2">
        <v>0</v>
      </c>
      <c r="G189" s="2">
        <f t="shared" si="14"/>
        <v>0</v>
      </c>
      <c r="H189" s="2">
        <f>+IFERROR(VLOOKUP(A189,'2122'!$A$12:$C$389,3,),0)</f>
        <v>0</v>
      </c>
      <c r="I189" s="2">
        <v>0</v>
      </c>
      <c r="J189" s="2">
        <f t="shared" si="15"/>
        <v>0</v>
      </c>
      <c r="K189" s="2">
        <v>0</v>
      </c>
      <c r="M189" s="2">
        <v>0</v>
      </c>
      <c r="N189" s="2">
        <v>0</v>
      </c>
      <c r="P189" s="2">
        <v>0</v>
      </c>
    </row>
    <row r="190" spans="1:16">
      <c r="A190" s="2" t="s">
        <v>571</v>
      </c>
      <c r="B190" s="9">
        <v>17</v>
      </c>
      <c r="C190" s="2" t="s">
        <v>415</v>
      </c>
      <c r="D190" s="2" t="s">
        <v>415</v>
      </c>
      <c r="E190" s="2">
        <f>+IFERROR(VLOOKUP(A190,'2122'!$A$12:$C$389,2,),0)</f>
        <v>0</v>
      </c>
      <c r="F190" s="2">
        <v>0</v>
      </c>
      <c r="G190" s="2">
        <f t="shared" si="14"/>
        <v>0</v>
      </c>
      <c r="H190" s="2">
        <f>+IFERROR(VLOOKUP(A190,'2122'!$A$12:$C$389,3,),0)</f>
        <v>0</v>
      </c>
      <c r="I190" s="2">
        <v>0</v>
      </c>
      <c r="J190" s="2">
        <f t="shared" si="15"/>
        <v>0</v>
      </c>
      <c r="K190" s="2">
        <v>0</v>
      </c>
      <c r="M190" s="2">
        <v>0</v>
      </c>
      <c r="N190" s="2">
        <v>638291</v>
      </c>
      <c r="P190" s="2">
        <v>638291</v>
      </c>
    </row>
    <row r="191" spans="1:16">
      <c r="A191" s="2" t="s">
        <v>61</v>
      </c>
      <c r="B191" s="9">
        <v>6</v>
      </c>
      <c r="C191" s="2" t="s">
        <v>1074</v>
      </c>
      <c r="D191" s="2" t="s">
        <v>423</v>
      </c>
      <c r="E191" s="2">
        <f>+IFERROR(VLOOKUP(A191,'2122'!$A$12:$C$389,2,),0)</f>
        <v>9482492</v>
      </c>
      <c r="F191" s="2">
        <v>0</v>
      </c>
      <c r="G191" s="2">
        <f t="shared" si="14"/>
        <v>9482492</v>
      </c>
      <c r="H191" s="2">
        <f>+IFERROR(VLOOKUP(A191,'2122'!$A$12:$C$389,3,),0)</f>
        <v>0</v>
      </c>
      <c r="I191" s="2">
        <v>0</v>
      </c>
      <c r="J191" s="2">
        <f t="shared" si="15"/>
        <v>0</v>
      </c>
      <c r="K191" s="2">
        <v>396306</v>
      </c>
      <c r="M191" s="2">
        <v>396306</v>
      </c>
      <c r="N191" s="2">
        <v>0</v>
      </c>
      <c r="P191" s="2">
        <v>0</v>
      </c>
    </row>
    <row r="192" spans="1:16">
      <c r="A192" s="2" t="s">
        <v>572</v>
      </c>
      <c r="B192" s="9">
        <v>9</v>
      </c>
      <c r="C192" s="2" t="s">
        <v>602</v>
      </c>
      <c r="D192" s="2" t="s">
        <v>450</v>
      </c>
      <c r="E192" s="2">
        <f>+IFERROR(VLOOKUP(A192,'2122'!$A$12:$C$389,2,),0)</f>
        <v>0</v>
      </c>
      <c r="F192" s="2">
        <v>0</v>
      </c>
      <c r="G192" s="2">
        <f t="shared" si="14"/>
        <v>0</v>
      </c>
      <c r="H192" s="2">
        <f>+IFERROR(VLOOKUP(A192,'2122'!$A$12:$C$389,3,),0)</f>
        <v>0</v>
      </c>
      <c r="I192" s="2">
        <v>0</v>
      </c>
      <c r="J192" s="2">
        <f t="shared" si="15"/>
        <v>0</v>
      </c>
      <c r="K192" s="2">
        <v>4000</v>
      </c>
      <c r="M192" s="2">
        <v>4000</v>
      </c>
      <c r="N192" s="2">
        <v>0</v>
      </c>
      <c r="P192" s="2">
        <v>0</v>
      </c>
    </row>
    <row r="193" spans="1:16">
      <c r="A193" s="2" t="s">
        <v>62</v>
      </c>
      <c r="B193" s="9">
        <v>23</v>
      </c>
      <c r="C193" s="2" t="s">
        <v>573</v>
      </c>
      <c r="D193" s="2" t="s">
        <v>574</v>
      </c>
      <c r="E193" s="2">
        <f>+IFERROR(VLOOKUP(A193,'2122'!$A$12:$C$389,2,),0)</f>
        <v>48786325</v>
      </c>
      <c r="F193" s="2">
        <v>0</v>
      </c>
      <c r="G193" s="2">
        <f t="shared" si="14"/>
        <v>48786325</v>
      </c>
      <c r="H193" s="2">
        <f>+IFERROR(VLOOKUP(A193,'2122'!$A$12:$C$389,3,),0)</f>
        <v>0</v>
      </c>
      <c r="I193" s="2">
        <v>0</v>
      </c>
      <c r="J193" s="2">
        <f t="shared" si="15"/>
        <v>0</v>
      </c>
      <c r="K193" s="2">
        <v>34675595</v>
      </c>
      <c r="M193" s="2">
        <v>34675595</v>
      </c>
      <c r="N193" s="2">
        <v>0</v>
      </c>
      <c r="P193" s="2">
        <v>0</v>
      </c>
    </row>
    <row r="194" spans="1:16">
      <c r="A194" s="2" t="s">
        <v>575</v>
      </c>
      <c r="B194" s="9">
        <v>6</v>
      </c>
      <c r="C194" s="2" t="s">
        <v>1074</v>
      </c>
      <c r="D194" s="2" t="s">
        <v>423</v>
      </c>
      <c r="E194" s="2">
        <f>+IFERROR(VLOOKUP(A194,'2122'!$A$12:$C$389,2,),0)</f>
        <v>0</v>
      </c>
      <c r="F194" s="2">
        <v>0</v>
      </c>
      <c r="G194" s="2">
        <f t="shared" si="14"/>
        <v>0</v>
      </c>
      <c r="H194" s="2">
        <f>+IFERROR(VLOOKUP(A194,'2122'!$A$12:$C$389,3,),0)</f>
        <v>0</v>
      </c>
      <c r="I194" s="2">
        <v>0</v>
      </c>
      <c r="J194" s="2">
        <f t="shared" si="15"/>
        <v>0</v>
      </c>
      <c r="K194" s="2">
        <v>614111</v>
      </c>
      <c r="M194" s="2">
        <v>614111</v>
      </c>
      <c r="N194" s="2">
        <v>0</v>
      </c>
      <c r="P194" s="2">
        <v>0</v>
      </c>
    </row>
    <row r="195" spans="1:16">
      <c r="A195" s="2" t="s">
        <v>576</v>
      </c>
      <c r="B195" s="9">
        <v>17</v>
      </c>
      <c r="C195" s="2" t="s">
        <v>415</v>
      </c>
      <c r="D195" s="2" t="s">
        <v>415</v>
      </c>
      <c r="E195" s="2">
        <f>+IFERROR(VLOOKUP(A195,'2122'!$A$12:$C$389,2,),0)</f>
        <v>0</v>
      </c>
      <c r="F195" s="2">
        <v>0</v>
      </c>
      <c r="G195" s="2">
        <f t="shared" si="14"/>
        <v>0</v>
      </c>
      <c r="H195" s="2">
        <f>+IFERROR(VLOOKUP(A195,'2122'!$A$12:$C$389,3,),0)</f>
        <v>0</v>
      </c>
      <c r="I195" s="2">
        <v>0</v>
      </c>
      <c r="J195" s="2">
        <f t="shared" si="15"/>
        <v>0</v>
      </c>
      <c r="K195" s="2">
        <v>0</v>
      </c>
      <c r="M195" s="2">
        <v>0</v>
      </c>
      <c r="N195" s="2">
        <v>0</v>
      </c>
      <c r="P195" s="2">
        <v>0</v>
      </c>
    </row>
    <row r="196" spans="1:16">
      <c r="A196" s="2" t="s">
        <v>64</v>
      </c>
      <c r="B196" s="9">
        <v>23</v>
      </c>
      <c r="C196" s="2" t="s">
        <v>573</v>
      </c>
      <c r="D196" s="2" t="s">
        <v>574</v>
      </c>
      <c r="E196" s="2">
        <f>+IFERROR(VLOOKUP(A196,'2122'!$A$12:$C$389,2,),0)</f>
        <v>21589538</v>
      </c>
      <c r="F196" s="2">
        <v>0</v>
      </c>
      <c r="G196" s="2">
        <f t="shared" si="14"/>
        <v>21589538</v>
      </c>
      <c r="H196" s="2">
        <f>+IFERROR(VLOOKUP(A196,'2122'!$A$12:$C$389,3,),0)</f>
        <v>0</v>
      </c>
      <c r="I196" s="2">
        <v>0</v>
      </c>
      <c r="J196" s="2">
        <f t="shared" si="15"/>
        <v>0</v>
      </c>
      <c r="K196" s="2">
        <v>25835930</v>
      </c>
      <c r="M196" s="2">
        <v>25835930</v>
      </c>
      <c r="N196" s="2">
        <v>0</v>
      </c>
      <c r="P196" s="2">
        <v>0</v>
      </c>
    </row>
    <row r="197" spans="1:16">
      <c r="A197" s="2" t="s">
        <v>577</v>
      </c>
      <c r="B197" s="9">
        <v>27</v>
      </c>
      <c r="C197" s="2" t="s">
        <v>1555</v>
      </c>
      <c r="D197" s="2" t="s">
        <v>1557</v>
      </c>
      <c r="E197" s="2">
        <f>+IFERROR(VLOOKUP(A197,'2122'!$A$12:$C$389,2,),0)</f>
        <v>0</v>
      </c>
      <c r="F197" s="2">
        <v>0</v>
      </c>
      <c r="G197" s="2">
        <f t="shared" si="14"/>
        <v>0</v>
      </c>
      <c r="H197" s="2">
        <f>+IFERROR(VLOOKUP(A197,'2122'!$A$12:$C$389,3,),0)</f>
        <v>0</v>
      </c>
      <c r="I197" s="2">
        <v>0</v>
      </c>
      <c r="J197" s="2">
        <f t="shared" si="15"/>
        <v>0</v>
      </c>
      <c r="K197" s="2">
        <v>171625</v>
      </c>
      <c r="M197" s="2">
        <v>171625</v>
      </c>
      <c r="N197" s="2">
        <v>0</v>
      </c>
      <c r="P197" s="2">
        <v>0</v>
      </c>
    </row>
    <row r="198" spans="1:16">
      <c r="A198" s="2" t="s">
        <v>578</v>
      </c>
      <c r="B198" s="9">
        <v>27</v>
      </c>
      <c r="C198" s="2" t="s">
        <v>1555</v>
      </c>
      <c r="D198" s="2" t="s">
        <v>1556</v>
      </c>
      <c r="E198" s="2">
        <f>+IFERROR(VLOOKUP(A198,'2122'!$A$12:$C$389,2,),0)</f>
        <v>0</v>
      </c>
      <c r="F198" s="2">
        <v>0</v>
      </c>
      <c r="G198" s="2">
        <f t="shared" si="14"/>
        <v>0</v>
      </c>
      <c r="H198" s="2">
        <f>+IFERROR(VLOOKUP(A198,'2122'!$A$12:$C$389,3,),0)</f>
        <v>0</v>
      </c>
      <c r="I198" s="2">
        <v>0</v>
      </c>
      <c r="J198" s="2">
        <f t="shared" si="15"/>
        <v>0</v>
      </c>
      <c r="K198" s="2">
        <v>61275</v>
      </c>
      <c r="M198" s="2">
        <v>61275</v>
      </c>
      <c r="N198" s="2">
        <v>0</v>
      </c>
      <c r="P198" s="2">
        <v>0</v>
      </c>
    </row>
    <row r="199" spans="1:16">
      <c r="A199" s="2" t="s">
        <v>65</v>
      </c>
      <c r="B199" s="9">
        <v>27</v>
      </c>
      <c r="C199" s="2" t="s">
        <v>1555</v>
      </c>
      <c r="D199" s="2" t="s">
        <v>1556</v>
      </c>
      <c r="E199" s="2">
        <f>+IFERROR(VLOOKUP(A199,'2122'!$A$12:$C$389,2,),0)</f>
        <v>39844498.340000004</v>
      </c>
      <c r="F199" s="2">
        <v>0</v>
      </c>
      <c r="G199" s="2">
        <f t="shared" si="14"/>
        <v>39844498.340000004</v>
      </c>
      <c r="H199" s="2">
        <f>+IFERROR(VLOOKUP(A199,'2122'!$A$12:$C$389,3,),0)</f>
        <v>0</v>
      </c>
      <c r="I199" s="2">
        <v>0</v>
      </c>
      <c r="J199" s="2">
        <f t="shared" si="15"/>
        <v>0</v>
      </c>
      <c r="K199" s="2">
        <v>38717565.439999998</v>
      </c>
      <c r="M199" s="2">
        <v>38717565.439999998</v>
      </c>
      <c r="N199" s="2">
        <v>0</v>
      </c>
      <c r="P199" s="2">
        <v>0</v>
      </c>
    </row>
    <row r="200" spans="1:16">
      <c r="A200" s="2" t="s">
        <v>579</v>
      </c>
      <c r="B200" s="9">
        <v>27</v>
      </c>
      <c r="C200" s="2" t="s">
        <v>1568</v>
      </c>
      <c r="D200" s="2" t="s">
        <v>1569</v>
      </c>
      <c r="E200" s="2">
        <f>+IFERROR(VLOOKUP(A200,'2122'!$A$12:$C$389,2,),0)</f>
        <v>0</v>
      </c>
      <c r="F200" s="2">
        <v>0</v>
      </c>
      <c r="G200" s="2">
        <f t="shared" si="14"/>
        <v>0</v>
      </c>
      <c r="H200" s="2">
        <f>+IFERROR(VLOOKUP(A200,'2122'!$A$12:$C$389,3,),0)</f>
        <v>0</v>
      </c>
      <c r="I200" s="2">
        <v>0</v>
      </c>
      <c r="J200" s="2">
        <f t="shared" si="15"/>
        <v>0</v>
      </c>
      <c r="K200" s="2">
        <v>1806809</v>
      </c>
      <c r="M200" s="2">
        <v>1806809</v>
      </c>
      <c r="N200" s="2">
        <v>0</v>
      </c>
      <c r="P200" s="2">
        <v>0</v>
      </c>
    </row>
    <row r="201" spans="1:16">
      <c r="A201" s="2" t="s">
        <v>580</v>
      </c>
      <c r="B201" s="9">
        <v>27</v>
      </c>
      <c r="C201" s="2" t="s">
        <v>1568</v>
      </c>
      <c r="D201" s="2" t="s">
        <v>1569</v>
      </c>
      <c r="E201" s="2">
        <f>+IFERROR(VLOOKUP(A201,'2122'!$A$12:$C$389,2,),0)</f>
        <v>0</v>
      </c>
      <c r="F201" s="2">
        <v>0</v>
      </c>
      <c r="G201" s="2">
        <f t="shared" si="14"/>
        <v>0</v>
      </c>
      <c r="H201" s="2">
        <f>+IFERROR(VLOOKUP(A201,'2122'!$A$12:$C$389,3,),0)</f>
        <v>0</v>
      </c>
      <c r="I201" s="2">
        <v>0</v>
      </c>
      <c r="J201" s="2">
        <f t="shared" si="15"/>
        <v>0</v>
      </c>
      <c r="K201" s="2">
        <v>81671</v>
      </c>
      <c r="M201" s="2">
        <v>81671</v>
      </c>
      <c r="N201" s="2">
        <v>0</v>
      </c>
      <c r="P201" s="2">
        <v>0</v>
      </c>
    </row>
    <row r="202" spans="1:16">
      <c r="A202" s="2" t="s">
        <v>67</v>
      </c>
      <c r="B202" s="9">
        <v>2</v>
      </c>
      <c r="C202" s="2" t="s">
        <v>1072</v>
      </c>
      <c r="D202" s="2" t="s">
        <v>522</v>
      </c>
      <c r="E202" s="2">
        <f>+IFERROR(VLOOKUP(A202,'2122'!$A$12:$C$389,2,),0)</f>
        <v>868635.7</v>
      </c>
      <c r="F202" s="2">
        <v>0</v>
      </c>
      <c r="G202" s="2">
        <f t="shared" ref="G202:G268" si="16">+E202+F202</f>
        <v>868635.7</v>
      </c>
      <c r="H202" s="2">
        <f>+IFERROR(VLOOKUP(A202,'2122'!$A$12:$C$389,3,),0)</f>
        <v>0</v>
      </c>
      <c r="I202" s="2">
        <v>0</v>
      </c>
      <c r="J202" s="2">
        <f t="shared" ref="J202:J268" si="17">+H202+I202</f>
        <v>0</v>
      </c>
      <c r="K202" s="2">
        <v>744525.7</v>
      </c>
      <c r="M202" s="2">
        <v>744525.7</v>
      </c>
      <c r="N202" s="2">
        <v>0</v>
      </c>
      <c r="P202" s="2">
        <v>0</v>
      </c>
    </row>
    <row r="203" spans="1:16">
      <c r="A203" s="2" t="s">
        <v>69</v>
      </c>
      <c r="B203" s="9">
        <v>27</v>
      </c>
      <c r="C203" s="2" t="s">
        <v>1560</v>
      </c>
      <c r="D203" s="2" t="s">
        <v>1561</v>
      </c>
      <c r="E203" s="2">
        <f>+IFERROR(VLOOKUP(A203,'2122'!$A$12:$C$389,2,),0)</f>
        <v>14524</v>
      </c>
      <c r="F203" s="2">
        <v>0</v>
      </c>
      <c r="G203" s="2">
        <f t="shared" si="16"/>
        <v>14524</v>
      </c>
      <c r="H203" s="2">
        <f>+IFERROR(VLOOKUP(A203,'2122'!$A$12:$C$389,3,),0)</f>
        <v>0</v>
      </c>
      <c r="I203" s="2">
        <v>0</v>
      </c>
      <c r="J203" s="2">
        <f t="shared" si="17"/>
        <v>0</v>
      </c>
      <c r="K203" s="2">
        <v>7000</v>
      </c>
      <c r="M203" s="2">
        <v>7000</v>
      </c>
      <c r="N203" s="2">
        <v>0</v>
      </c>
      <c r="P203" s="2">
        <v>0</v>
      </c>
    </row>
    <row r="204" spans="1:16">
      <c r="A204" s="2" t="s">
        <v>581</v>
      </c>
      <c r="B204" s="9">
        <v>10</v>
      </c>
      <c r="C204" s="2" t="s">
        <v>598</v>
      </c>
      <c r="D204" s="2" t="s">
        <v>445</v>
      </c>
      <c r="E204" s="2">
        <f>+IFERROR(VLOOKUP(A204,'2122'!$A$12:$C$389,2,),0)</f>
        <v>0</v>
      </c>
      <c r="F204" s="2">
        <v>0</v>
      </c>
      <c r="G204" s="2">
        <f t="shared" si="16"/>
        <v>0</v>
      </c>
      <c r="H204" s="2">
        <f>+IFERROR(VLOOKUP(A204,'2122'!$A$12:$C$389,3,),0)</f>
        <v>0</v>
      </c>
      <c r="I204" s="2">
        <v>0</v>
      </c>
      <c r="J204" s="2">
        <f t="shared" si="17"/>
        <v>0</v>
      </c>
      <c r="K204" s="2">
        <v>0</v>
      </c>
      <c r="M204" s="2">
        <v>0</v>
      </c>
      <c r="N204" s="2">
        <v>0</v>
      </c>
      <c r="P204" s="2">
        <v>0</v>
      </c>
    </row>
    <row r="205" spans="1:16">
      <c r="A205" s="2" t="s">
        <v>70</v>
      </c>
      <c r="B205" s="9">
        <v>19</v>
      </c>
      <c r="C205" s="2" t="s">
        <v>482</v>
      </c>
      <c r="D205" s="2" t="s">
        <v>582</v>
      </c>
      <c r="E205" s="2">
        <f>+IFERROR(VLOOKUP(A205,'2122'!$A$12:$C$389,2,),0)</f>
        <v>0</v>
      </c>
      <c r="F205" s="2">
        <v>0</v>
      </c>
      <c r="G205" s="2">
        <f t="shared" si="16"/>
        <v>0</v>
      </c>
      <c r="H205" s="2">
        <f>+IFERROR(VLOOKUP(A205,'2122'!$A$12:$C$389,3,),0)</f>
        <v>22944</v>
      </c>
      <c r="I205" s="2">
        <v>0</v>
      </c>
      <c r="J205" s="2">
        <f t="shared" si="17"/>
        <v>22944</v>
      </c>
      <c r="K205" s="2">
        <v>0</v>
      </c>
      <c r="M205" s="2">
        <v>0</v>
      </c>
      <c r="N205" s="2">
        <v>23574</v>
      </c>
      <c r="P205" s="2">
        <v>23574</v>
      </c>
    </row>
    <row r="206" spans="1:16">
      <c r="A206" s="2" t="s">
        <v>583</v>
      </c>
      <c r="B206" s="9">
        <v>19</v>
      </c>
      <c r="C206" s="2" t="s">
        <v>482</v>
      </c>
      <c r="D206" s="2" t="s">
        <v>582</v>
      </c>
      <c r="E206" s="2">
        <f>+IFERROR(VLOOKUP(A206,'2122'!$A$12:$C$389,2,),0)</f>
        <v>0</v>
      </c>
      <c r="F206" s="2">
        <v>0</v>
      </c>
      <c r="G206" s="2">
        <f t="shared" si="16"/>
        <v>0</v>
      </c>
      <c r="H206" s="2">
        <f>+IFERROR(VLOOKUP(A206,'2122'!$A$12:$C$389,3,),0)</f>
        <v>198784</v>
      </c>
      <c r="I206" s="2">
        <v>0</v>
      </c>
      <c r="J206" s="2">
        <f t="shared" si="17"/>
        <v>198784</v>
      </c>
      <c r="K206" s="2">
        <v>0</v>
      </c>
      <c r="M206" s="2">
        <v>0</v>
      </c>
      <c r="N206" s="2">
        <v>206714</v>
      </c>
      <c r="P206" s="2">
        <v>206714</v>
      </c>
    </row>
    <row r="207" spans="1:16">
      <c r="A207" s="2" t="s">
        <v>584</v>
      </c>
      <c r="B207" s="9">
        <v>27</v>
      </c>
      <c r="C207" s="2" t="s">
        <v>1560</v>
      </c>
      <c r="D207" s="2" t="s">
        <v>1566</v>
      </c>
      <c r="E207" s="2">
        <f>+IFERROR(VLOOKUP(A207,'2122'!$A$12:$C$389,2,),0)</f>
        <v>29522</v>
      </c>
      <c r="F207" s="2">
        <v>0</v>
      </c>
      <c r="G207" s="2">
        <f t="shared" si="16"/>
        <v>29522</v>
      </c>
      <c r="H207" s="2">
        <f>+IFERROR(VLOOKUP(A207,'2122'!$A$12:$C$389,3,),0)</f>
        <v>0</v>
      </c>
      <c r="I207" s="2">
        <v>0</v>
      </c>
      <c r="J207" s="2">
        <f t="shared" si="17"/>
        <v>0</v>
      </c>
      <c r="K207" s="2">
        <v>30655</v>
      </c>
      <c r="M207" s="2">
        <v>30655</v>
      </c>
      <c r="N207" s="2">
        <v>0</v>
      </c>
      <c r="P207" s="2">
        <v>0</v>
      </c>
    </row>
    <row r="208" spans="1:16">
      <c r="A208" s="2" t="s">
        <v>585</v>
      </c>
      <c r="B208" s="9">
        <v>27</v>
      </c>
      <c r="C208" s="2" t="s">
        <v>1560</v>
      </c>
      <c r="D208" s="2" t="s">
        <v>1566</v>
      </c>
      <c r="E208" s="2">
        <f>+IFERROR(VLOOKUP(A208,'2122'!$A$12:$C$389,2,),0)</f>
        <v>21062</v>
      </c>
      <c r="F208" s="2">
        <v>0</v>
      </c>
      <c r="G208" s="2">
        <f t="shared" si="16"/>
        <v>21062</v>
      </c>
      <c r="H208" s="2">
        <f>+IFERROR(VLOOKUP(A208,'2122'!$A$12:$C$389,3,),0)</f>
        <v>0</v>
      </c>
      <c r="I208" s="2">
        <v>0</v>
      </c>
      <c r="J208" s="2">
        <f t="shared" si="17"/>
        <v>0</v>
      </c>
      <c r="K208" s="2">
        <v>25835</v>
      </c>
      <c r="M208" s="2">
        <v>25835</v>
      </c>
      <c r="N208" s="2">
        <v>0</v>
      </c>
      <c r="P208" s="2">
        <v>0</v>
      </c>
    </row>
    <row r="209" spans="1:16">
      <c r="A209" s="2" t="s">
        <v>74</v>
      </c>
      <c r="B209" s="9">
        <v>6</v>
      </c>
      <c r="C209" s="2" t="s">
        <v>1074</v>
      </c>
      <c r="D209" s="2" t="s">
        <v>423</v>
      </c>
      <c r="E209" s="2">
        <f>+IFERROR(VLOOKUP(A209,'2122'!$A$12:$C$389,2,),0)</f>
        <v>344368</v>
      </c>
      <c r="F209" s="2">
        <v>0</v>
      </c>
      <c r="G209" s="2">
        <f t="shared" si="16"/>
        <v>344368</v>
      </c>
      <c r="H209" s="2">
        <f>+IFERROR(VLOOKUP(A209,'2122'!$A$12:$C$389,3,),0)</f>
        <v>0</v>
      </c>
      <c r="I209" s="2">
        <v>0</v>
      </c>
      <c r="J209" s="2">
        <f t="shared" si="17"/>
        <v>0</v>
      </c>
      <c r="K209" s="2">
        <v>62901</v>
      </c>
      <c r="M209" s="2">
        <v>62901</v>
      </c>
      <c r="N209" s="2">
        <v>0</v>
      </c>
      <c r="P209" s="2">
        <v>0</v>
      </c>
    </row>
    <row r="210" spans="1:16">
      <c r="A210" s="2" t="s">
        <v>586</v>
      </c>
      <c r="B210" s="9">
        <v>27</v>
      </c>
      <c r="C210" s="2" t="s">
        <v>1560</v>
      </c>
      <c r="D210" s="2" t="s">
        <v>1312</v>
      </c>
      <c r="E210" s="2">
        <f>+IFERROR(VLOOKUP(A210,'2122'!$A$12:$C$389,2,),0)</f>
        <v>72553</v>
      </c>
      <c r="F210" s="2">
        <v>0</v>
      </c>
      <c r="G210" s="2">
        <f t="shared" si="16"/>
        <v>72553</v>
      </c>
      <c r="H210" s="2">
        <f>+IFERROR(VLOOKUP(A210,'2122'!$A$12:$C$389,3,),0)</f>
        <v>0</v>
      </c>
      <c r="I210" s="2">
        <v>0</v>
      </c>
      <c r="J210" s="2">
        <f t="shared" si="17"/>
        <v>0</v>
      </c>
      <c r="K210" s="2">
        <v>44221.5</v>
      </c>
      <c r="M210" s="2">
        <v>44221.5</v>
      </c>
      <c r="N210" s="2">
        <v>0</v>
      </c>
      <c r="P210" s="2">
        <v>0</v>
      </c>
    </row>
    <row r="211" spans="1:16">
      <c r="A211" s="2" t="s">
        <v>76</v>
      </c>
      <c r="B211" s="9">
        <v>27</v>
      </c>
      <c r="C211" s="2" t="s">
        <v>1560</v>
      </c>
      <c r="D211" s="2" t="s">
        <v>1312</v>
      </c>
      <c r="E211" s="2">
        <f>+IFERROR(VLOOKUP(A211,'2122'!$A$12:$C$389,2,),0)</f>
        <v>178418</v>
      </c>
      <c r="F211" s="2">
        <v>0</v>
      </c>
      <c r="G211" s="2">
        <f t="shared" si="16"/>
        <v>178418</v>
      </c>
      <c r="H211" s="2">
        <f>+IFERROR(VLOOKUP(A211,'2122'!$A$12:$C$389,3,),0)</f>
        <v>0</v>
      </c>
      <c r="I211" s="2">
        <v>0</v>
      </c>
      <c r="J211" s="2">
        <f t="shared" si="17"/>
        <v>0</v>
      </c>
      <c r="K211" s="2">
        <v>500</v>
      </c>
      <c r="M211" s="2">
        <v>500</v>
      </c>
      <c r="N211" s="2">
        <v>0</v>
      </c>
      <c r="P211" s="2">
        <v>0</v>
      </c>
    </row>
    <row r="212" spans="1:16">
      <c r="A212" s="2" t="s">
        <v>587</v>
      </c>
      <c r="B212" s="9">
        <v>19</v>
      </c>
      <c r="C212" s="2" t="s">
        <v>482</v>
      </c>
      <c r="D212" s="2" t="s">
        <v>531</v>
      </c>
      <c r="E212" s="2">
        <f>+IFERROR(VLOOKUP(A212,'2122'!$A$12:$C$389,2,),0)</f>
        <v>0</v>
      </c>
      <c r="F212" s="2">
        <v>0</v>
      </c>
      <c r="G212" s="2">
        <f t="shared" si="16"/>
        <v>0</v>
      </c>
      <c r="H212" s="2">
        <f>+IFERROR(VLOOKUP(A212,'2122'!$A$12:$C$389,3,),0)</f>
        <v>0</v>
      </c>
      <c r="I212" s="2">
        <v>0</v>
      </c>
      <c r="J212" s="2">
        <f t="shared" si="17"/>
        <v>0</v>
      </c>
      <c r="K212" s="2">
        <v>0</v>
      </c>
      <c r="M212" s="2">
        <v>0</v>
      </c>
      <c r="N212" s="2">
        <v>0</v>
      </c>
      <c r="P212" s="2">
        <v>0</v>
      </c>
    </row>
    <row r="213" spans="1:16">
      <c r="A213" s="2" t="s">
        <v>588</v>
      </c>
      <c r="B213" s="9">
        <v>27</v>
      </c>
      <c r="C213" s="2" t="s">
        <v>1560</v>
      </c>
      <c r="D213" s="2" t="s">
        <v>279</v>
      </c>
      <c r="E213" s="2">
        <f>+IFERROR(VLOOKUP(A213,'2122'!$A$12:$C$389,2,),0)</f>
        <v>0</v>
      </c>
      <c r="F213" s="2">
        <v>0</v>
      </c>
      <c r="G213" s="2">
        <f t="shared" si="16"/>
        <v>0</v>
      </c>
      <c r="H213" s="2">
        <f>+IFERROR(VLOOKUP(A213,'2122'!$A$12:$C$389,3,),0)</f>
        <v>0</v>
      </c>
      <c r="I213" s="2">
        <v>0</v>
      </c>
      <c r="J213" s="2">
        <f t="shared" si="17"/>
        <v>0</v>
      </c>
      <c r="K213" s="2">
        <v>0</v>
      </c>
      <c r="M213" s="2">
        <v>0</v>
      </c>
      <c r="N213" s="2">
        <v>0</v>
      </c>
      <c r="P213" s="2">
        <v>0</v>
      </c>
    </row>
    <row r="214" spans="1:16">
      <c r="A214" s="2" t="s">
        <v>589</v>
      </c>
      <c r="B214" s="9">
        <v>4</v>
      </c>
      <c r="C214" s="2" t="s">
        <v>1547</v>
      </c>
      <c r="D214" s="2" t="s">
        <v>590</v>
      </c>
      <c r="E214" s="2">
        <f>+IFERROR(VLOOKUP(A214,'2122'!$A$12:$C$389,2,),0)</f>
        <v>0</v>
      </c>
      <c r="F214" s="2">
        <v>0</v>
      </c>
      <c r="G214" s="2">
        <f t="shared" si="16"/>
        <v>0</v>
      </c>
      <c r="H214" s="2">
        <f>+IFERROR(VLOOKUP(A214,'2122'!$A$12:$C$389,3,),0)</f>
        <v>0</v>
      </c>
      <c r="I214" s="2">
        <v>0</v>
      </c>
      <c r="J214" s="2">
        <f t="shared" si="17"/>
        <v>0</v>
      </c>
      <c r="K214" s="2">
        <v>0</v>
      </c>
      <c r="M214" s="2">
        <v>0</v>
      </c>
      <c r="N214" s="2">
        <v>0</v>
      </c>
      <c r="P214" s="2">
        <v>0</v>
      </c>
    </row>
    <row r="215" spans="1:16">
      <c r="A215" s="2" t="s">
        <v>591</v>
      </c>
      <c r="B215" s="9">
        <v>27</v>
      </c>
      <c r="C215" s="2" t="s">
        <v>1560</v>
      </c>
      <c r="D215" s="2" t="s">
        <v>279</v>
      </c>
      <c r="E215" s="2">
        <f>+IFERROR(VLOOKUP(A215,'2122'!$A$12:$C$389,2,),0)</f>
        <v>0</v>
      </c>
      <c r="F215" s="2">
        <v>0</v>
      </c>
      <c r="G215" s="2">
        <f t="shared" si="16"/>
        <v>0</v>
      </c>
      <c r="H215" s="2">
        <f>+IFERROR(VLOOKUP(A215,'2122'!$A$12:$C$389,3,),0)</f>
        <v>0</v>
      </c>
      <c r="I215" s="2">
        <v>0</v>
      </c>
      <c r="J215" s="2">
        <f t="shared" si="17"/>
        <v>0</v>
      </c>
      <c r="K215" s="2">
        <v>0</v>
      </c>
      <c r="M215" s="2">
        <v>0</v>
      </c>
      <c r="N215" s="2">
        <v>0</v>
      </c>
      <c r="P215" s="2">
        <v>0</v>
      </c>
    </row>
    <row r="216" spans="1:16">
      <c r="A216" s="2" t="s">
        <v>592</v>
      </c>
      <c r="B216" s="9">
        <v>10</v>
      </c>
      <c r="C216" s="2" t="s">
        <v>598</v>
      </c>
      <c r="D216" s="2" t="s">
        <v>445</v>
      </c>
      <c r="E216" s="2">
        <f>+IFERROR(VLOOKUP(A216,'2122'!$A$12:$C$389,2,),0)</f>
        <v>0</v>
      </c>
      <c r="F216" s="2">
        <v>0</v>
      </c>
      <c r="G216" s="2">
        <f t="shared" si="16"/>
        <v>0</v>
      </c>
      <c r="H216" s="2">
        <f>+IFERROR(VLOOKUP(A216,'2122'!$A$12:$C$389,3,),0)</f>
        <v>0</v>
      </c>
      <c r="I216" s="2">
        <v>0</v>
      </c>
      <c r="J216" s="2">
        <f t="shared" si="17"/>
        <v>0</v>
      </c>
      <c r="K216" s="2">
        <v>0</v>
      </c>
      <c r="M216" s="2">
        <v>0</v>
      </c>
      <c r="N216" s="2">
        <v>0</v>
      </c>
      <c r="P216" s="2">
        <v>0</v>
      </c>
    </row>
    <row r="217" spans="1:16">
      <c r="A217" s="2" t="s">
        <v>593</v>
      </c>
      <c r="B217" s="9">
        <v>17</v>
      </c>
      <c r="C217" s="2" t="s">
        <v>415</v>
      </c>
      <c r="D217" s="2" t="s">
        <v>415</v>
      </c>
      <c r="E217" s="2">
        <f>+IFERROR(VLOOKUP(A217,'2122'!$A$12:$C$389,2,),0)</f>
        <v>0</v>
      </c>
      <c r="F217" s="2">
        <v>0</v>
      </c>
      <c r="G217" s="2">
        <f t="shared" si="16"/>
        <v>0</v>
      </c>
      <c r="H217" s="2">
        <f>+IFERROR(VLOOKUP(A217,'2122'!$A$12:$C$389,3,),0)</f>
        <v>0</v>
      </c>
      <c r="I217" s="2">
        <v>0</v>
      </c>
      <c r="J217" s="2">
        <f t="shared" si="17"/>
        <v>0</v>
      </c>
      <c r="K217" s="2">
        <v>0</v>
      </c>
      <c r="M217" s="2">
        <v>0</v>
      </c>
      <c r="N217" s="2">
        <v>2151570</v>
      </c>
      <c r="P217" s="2">
        <v>2151570</v>
      </c>
    </row>
    <row r="218" spans="1:16">
      <c r="A218" s="2" t="s">
        <v>594</v>
      </c>
      <c r="B218" s="9">
        <v>6</v>
      </c>
      <c r="C218" s="2" t="s">
        <v>1074</v>
      </c>
      <c r="D218" s="2" t="s">
        <v>423</v>
      </c>
      <c r="E218" s="2">
        <f>+IFERROR(VLOOKUP(A218,'2122'!$A$12:$C$389,2,),0)</f>
        <v>0</v>
      </c>
      <c r="F218" s="2">
        <v>0</v>
      </c>
      <c r="G218" s="2">
        <f t="shared" si="16"/>
        <v>0</v>
      </c>
      <c r="H218" s="2">
        <f>+IFERROR(VLOOKUP(A218,'2122'!$A$12:$C$389,3,),0)</f>
        <v>0</v>
      </c>
      <c r="I218" s="2">
        <v>0</v>
      </c>
      <c r="J218" s="2">
        <f t="shared" si="17"/>
        <v>0</v>
      </c>
      <c r="K218" s="2">
        <v>0</v>
      </c>
      <c r="M218" s="2">
        <v>0</v>
      </c>
      <c r="N218" s="2">
        <v>0</v>
      </c>
      <c r="P218" s="2">
        <v>0</v>
      </c>
    </row>
    <row r="219" spans="1:16">
      <c r="A219" s="2" t="s">
        <v>81</v>
      </c>
      <c r="B219" s="9">
        <v>15</v>
      </c>
      <c r="C219" s="2" t="s">
        <v>595</v>
      </c>
      <c r="D219" s="2" t="s">
        <v>596</v>
      </c>
      <c r="E219" s="2">
        <f>+IFERROR(VLOOKUP(A219,'2122'!$A$12:$C$389,2,),0)</f>
        <v>0</v>
      </c>
      <c r="F219" s="2">
        <v>0</v>
      </c>
      <c r="G219" s="2">
        <f t="shared" si="16"/>
        <v>0</v>
      </c>
      <c r="H219" s="2">
        <f>+IFERROR(VLOOKUP(A219,'2122'!$A$12:$C$389,3,),0)</f>
        <v>19475121</v>
      </c>
      <c r="I219" s="2">
        <v>0</v>
      </c>
      <c r="J219" s="2">
        <f t="shared" si="17"/>
        <v>19475121</v>
      </c>
      <c r="K219" s="2">
        <v>0</v>
      </c>
      <c r="M219" s="2">
        <v>0</v>
      </c>
      <c r="N219" s="2">
        <v>20264926</v>
      </c>
      <c r="P219" s="2">
        <v>20264926</v>
      </c>
    </row>
    <row r="220" spans="1:16">
      <c r="A220" s="2" t="s">
        <v>597</v>
      </c>
      <c r="B220" s="9">
        <v>10</v>
      </c>
      <c r="C220" s="2" t="s">
        <v>598</v>
      </c>
      <c r="D220" s="2" t="s">
        <v>599</v>
      </c>
      <c r="E220" s="2">
        <f>+IFERROR(VLOOKUP(A220,'2122'!$A$12:$C$389,2,),0)</f>
        <v>0</v>
      </c>
      <c r="F220" s="2">
        <v>0</v>
      </c>
      <c r="G220" s="2">
        <f t="shared" si="16"/>
        <v>0</v>
      </c>
      <c r="H220" s="2">
        <f>+IFERROR(VLOOKUP(A220,'2122'!$A$12:$C$389,3,),0)</f>
        <v>0</v>
      </c>
      <c r="I220" s="2">
        <v>0</v>
      </c>
      <c r="J220" s="2">
        <f t="shared" si="17"/>
        <v>0</v>
      </c>
      <c r="K220" s="2">
        <v>1137100</v>
      </c>
      <c r="M220" s="2">
        <v>1137100</v>
      </c>
      <c r="N220" s="2">
        <v>0</v>
      </c>
      <c r="P220" s="2">
        <v>0</v>
      </c>
    </row>
    <row r="221" spans="1:16">
      <c r="A221" s="2" t="s">
        <v>82</v>
      </c>
      <c r="B221" s="9">
        <v>4</v>
      </c>
      <c r="C221" s="2" t="s">
        <v>1547</v>
      </c>
      <c r="D221" s="2" t="s">
        <v>600</v>
      </c>
      <c r="E221" s="2">
        <f>+IFERROR(VLOOKUP(A221,'2122'!$A$12:$C$389,2,),0)</f>
        <v>6800</v>
      </c>
      <c r="F221" s="2">
        <v>0</v>
      </c>
      <c r="G221" s="2">
        <f t="shared" si="16"/>
        <v>6800</v>
      </c>
      <c r="H221" s="2">
        <f>+IFERROR(VLOOKUP(A221,'2122'!$A$12:$C$389,3,),0)</f>
        <v>0</v>
      </c>
      <c r="I221" s="2">
        <v>0</v>
      </c>
      <c r="J221" s="2">
        <f t="shared" si="17"/>
        <v>0</v>
      </c>
      <c r="K221" s="2">
        <v>6800</v>
      </c>
      <c r="M221" s="2">
        <v>6800</v>
      </c>
      <c r="N221" s="2">
        <v>0</v>
      </c>
      <c r="P221" s="2">
        <v>0</v>
      </c>
    </row>
    <row r="222" spans="1:16">
      <c r="A222" s="2" t="s">
        <v>601</v>
      </c>
      <c r="B222" s="9">
        <v>3</v>
      </c>
      <c r="C222" s="2" t="s">
        <v>1549</v>
      </c>
      <c r="D222" s="2" t="s">
        <v>603</v>
      </c>
      <c r="E222" s="2">
        <f>+IFERROR(VLOOKUP(A222,'2122'!$A$12:$C$389,2,),0)</f>
        <v>0</v>
      </c>
      <c r="F222" s="2">
        <v>0</v>
      </c>
      <c r="G222" s="2">
        <f t="shared" si="16"/>
        <v>0</v>
      </c>
      <c r="H222" s="2">
        <f>+IFERROR(VLOOKUP(A222,'2122'!$A$12:$C$389,3,),0)</f>
        <v>0</v>
      </c>
      <c r="I222" s="2">
        <v>0</v>
      </c>
      <c r="J222" s="2">
        <f t="shared" si="17"/>
        <v>0</v>
      </c>
      <c r="K222" s="2">
        <v>0</v>
      </c>
      <c r="M222" s="2">
        <v>0</v>
      </c>
      <c r="N222" s="2">
        <v>0</v>
      </c>
      <c r="P222" s="2">
        <v>0</v>
      </c>
    </row>
    <row r="223" spans="1:16">
      <c r="A223" s="2" t="s">
        <v>88</v>
      </c>
      <c r="B223" s="9">
        <v>3</v>
      </c>
      <c r="C223" s="2" t="s">
        <v>1549</v>
      </c>
      <c r="D223" s="2" t="s">
        <v>603</v>
      </c>
      <c r="E223" s="2">
        <f>+IFERROR(VLOOKUP(A223,'2122'!$A$12:$C$389,2,),0)</f>
        <v>215314.61</v>
      </c>
      <c r="F223" s="2">
        <v>0</v>
      </c>
      <c r="G223" s="2">
        <f t="shared" si="16"/>
        <v>215314.61</v>
      </c>
      <c r="H223" s="2">
        <f>+IFERROR(VLOOKUP(A223,'2122'!$A$12:$C$389,3,),0)</f>
        <v>0</v>
      </c>
      <c r="I223" s="2">
        <v>0</v>
      </c>
      <c r="J223" s="2">
        <f t="shared" si="17"/>
        <v>0</v>
      </c>
      <c r="K223" s="2">
        <v>206250</v>
      </c>
      <c r="M223" s="2">
        <v>206250</v>
      </c>
      <c r="N223" s="2">
        <v>0</v>
      </c>
      <c r="P223" s="2">
        <v>0</v>
      </c>
    </row>
    <row r="224" spans="1:16">
      <c r="A224" s="2" t="s">
        <v>86</v>
      </c>
      <c r="B224" s="9">
        <v>4</v>
      </c>
      <c r="C224" s="2" t="s">
        <v>1547</v>
      </c>
      <c r="D224" s="2" t="s">
        <v>600</v>
      </c>
      <c r="E224" s="2">
        <f>+IFERROR(VLOOKUP(A224,'2122'!$A$12:$C$389,2,),0)</f>
        <v>50000</v>
      </c>
      <c r="F224" s="2">
        <v>0</v>
      </c>
      <c r="G224" s="2">
        <f t="shared" si="16"/>
        <v>50000</v>
      </c>
      <c r="H224" s="2">
        <f>+IFERROR(VLOOKUP(A224,'2122'!$A$12:$C$389,3,),0)</f>
        <v>0</v>
      </c>
      <c r="I224" s="2">
        <v>0</v>
      </c>
      <c r="J224" s="2">
        <f t="shared" si="17"/>
        <v>0</v>
      </c>
      <c r="K224" s="2">
        <v>50000</v>
      </c>
      <c r="M224" s="2">
        <v>50000</v>
      </c>
      <c r="N224" s="2">
        <v>0</v>
      </c>
      <c r="P224" s="2">
        <v>0</v>
      </c>
    </row>
    <row r="225" spans="1:16">
      <c r="A225" s="2" t="s">
        <v>87</v>
      </c>
      <c r="B225" s="9">
        <v>4</v>
      </c>
      <c r="C225" s="2" t="s">
        <v>1547</v>
      </c>
      <c r="D225" s="2" t="s">
        <v>600</v>
      </c>
      <c r="E225" s="2">
        <f>+IFERROR(VLOOKUP(A225,'2122'!$A$12:$C$389,2,),0)</f>
        <v>322100</v>
      </c>
      <c r="F225" s="2">
        <v>0</v>
      </c>
      <c r="G225" s="2">
        <f t="shared" si="16"/>
        <v>322100</v>
      </c>
      <c r="H225" s="2">
        <f>+IFERROR(VLOOKUP(A225,'2122'!$A$12:$C$389,3,),0)</f>
        <v>0</v>
      </c>
      <c r="I225" s="2">
        <v>0</v>
      </c>
      <c r="J225" s="2">
        <f t="shared" si="17"/>
        <v>0</v>
      </c>
      <c r="K225" s="2">
        <v>248200</v>
      </c>
      <c r="M225" s="2">
        <v>248200</v>
      </c>
      <c r="N225" s="2">
        <v>0</v>
      </c>
      <c r="P225" s="2">
        <v>0</v>
      </c>
    </row>
    <row r="226" spans="1:16">
      <c r="A226" s="2" t="s">
        <v>89</v>
      </c>
      <c r="B226" s="9">
        <v>3</v>
      </c>
      <c r="C226" s="2" t="s">
        <v>1549</v>
      </c>
      <c r="D226" s="2" t="s">
        <v>603</v>
      </c>
      <c r="E226" s="2">
        <f>+IFERROR(VLOOKUP(A226,'2122'!$A$12:$C$389,2,),0)</f>
        <v>150294</v>
      </c>
      <c r="F226" s="2">
        <v>0</v>
      </c>
      <c r="G226" s="2">
        <f t="shared" si="16"/>
        <v>150294</v>
      </c>
      <c r="H226" s="2">
        <f>+IFERROR(VLOOKUP(A226,'2122'!$A$12:$C$389,3,),0)</f>
        <v>0</v>
      </c>
      <c r="I226" s="2">
        <v>0</v>
      </c>
      <c r="J226" s="2">
        <f t="shared" si="17"/>
        <v>0</v>
      </c>
      <c r="K226" s="2">
        <v>125000</v>
      </c>
      <c r="M226" s="2">
        <v>125000</v>
      </c>
      <c r="N226" s="2">
        <v>0</v>
      </c>
      <c r="P226" s="2">
        <v>0</v>
      </c>
    </row>
    <row r="227" spans="1:16">
      <c r="A227" s="2" t="s">
        <v>604</v>
      </c>
      <c r="B227" s="9">
        <v>4</v>
      </c>
      <c r="C227" s="2" t="s">
        <v>1547</v>
      </c>
      <c r="D227" s="2" t="s">
        <v>600</v>
      </c>
      <c r="E227" s="2">
        <f>+IFERROR(VLOOKUP(A227,'2122'!$A$12:$C$389,2,),0)</f>
        <v>200000</v>
      </c>
      <c r="F227" s="2">
        <v>0</v>
      </c>
      <c r="G227" s="2">
        <f t="shared" si="16"/>
        <v>200000</v>
      </c>
      <c r="H227" s="2">
        <f>+IFERROR(VLOOKUP(A227,'2122'!$A$12:$C$389,3,),0)</f>
        <v>0</v>
      </c>
      <c r="I227" s="2">
        <v>0</v>
      </c>
      <c r="J227" s="2">
        <f t="shared" si="17"/>
        <v>0</v>
      </c>
      <c r="K227" s="2">
        <v>200000</v>
      </c>
      <c r="M227" s="2">
        <v>200000</v>
      </c>
      <c r="N227" s="2">
        <v>0</v>
      </c>
      <c r="P227" s="2">
        <v>0</v>
      </c>
    </row>
    <row r="228" spans="1:16">
      <c r="A228" s="2" t="s">
        <v>605</v>
      </c>
      <c r="B228" s="9">
        <v>4</v>
      </c>
      <c r="C228" s="2" t="s">
        <v>1547</v>
      </c>
      <c r="D228" s="2" t="s">
        <v>600</v>
      </c>
      <c r="E228" s="2">
        <f>+IFERROR(VLOOKUP(A228,'2122'!$A$12:$C$389,2,),0)</f>
        <v>10777</v>
      </c>
      <c r="F228" s="2">
        <v>0</v>
      </c>
      <c r="G228" s="2">
        <f t="shared" si="16"/>
        <v>10777</v>
      </c>
      <c r="H228" s="2">
        <f>+IFERROR(VLOOKUP(A228,'2122'!$A$12:$C$389,3,),0)</f>
        <v>0</v>
      </c>
      <c r="I228" s="2">
        <v>0</v>
      </c>
      <c r="J228" s="2">
        <f t="shared" si="17"/>
        <v>0</v>
      </c>
      <c r="K228" s="2">
        <v>10777</v>
      </c>
      <c r="M228" s="2">
        <v>10777</v>
      </c>
      <c r="N228" s="2">
        <v>0</v>
      </c>
      <c r="P228" s="2">
        <v>0</v>
      </c>
    </row>
    <row r="229" spans="1:16">
      <c r="A229" s="2" t="s">
        <v>85</v>
      </c>
      <c r="B229" s="9">
        <v>14</v>
      </c>
      <c r="C229" s="2" t="s">
        <v>1552</v>
      </c>
      <c r="D229" s="2" t="s">
        <v>607</v>
      </c>
      <c r="E229" s="2">
        <f>+IFERROR(VLOOKUP(A229,'2122'!$A$12:$C$389,2,),0)</f>
        <v>0</v>
      </c>
      <c r="F229" s="2">
        <v>0</v>
      </c>
      <c r="G229" s="2">
        <f t="shared" si="16"/>
        <v>0</v>
      </c>
      <c r="H229" s="2">
        <f>+IFERROR(VLOOKUP(A229,'2122'!$A$12:$C$389,3,),0)</f>
        <v>0</v>
      </c>
      <c r="I229" s="2">
        <v>0</v>
      </c>
      <c r="J229" s="2">
        <f t="shared" si="17"/>
        <v>0</v>
      </c>
      <c r="K229" s="2">
        <v>4778693</v>
      </c>
      <c r="M229" s="2">
        <v>4778693</v>
      </c>
      <c r="N229" s="2">
        <v>0</v>
      </c>
      <c r="P229" s="2">
        <v>0</v>
      </c>
    </row>
    <row r="230" spans="1:16">
      <c r="A230" s="235" t="s">
        <v>1664</v>
      </c>
      <c r="B230" s="9">
        <v>14</v>
      </c>
      <c r="C230" s="2" t="s">
        <v>1552</v>
      </c>
      <c r="D230" s="2" t="s">
        <v>607</v>
      </c>
      <c r="E230" s="2">
        <f>+IFERROR(VLOOKUP(A230,'2122'!$A$12:$C$389,2,),0)</f>
        <v>277472</v>
      </c>
      <c r="F230" s="2">
        <v>0</v>
      </c>
      <c r="G230" s="2">
        <f t="shared" ref="G230:G231" si="18">+E230+F230</f>
        <v>277472</v>
      </c>
      <c r="H230" s="2">
        <f>+IFERROR(VLOOKUP(A230,'2122'!$A$12:$C$389,3,),0)</f>
        <v>0</v>
      </c>
      <c r="I230" s="2">
        <v>0</v>
      </c>
      <c r="J230" s="2">
        <f t="shared" ref="J230:J231" si="19">+H230+I230</f>
        <v>0</v>
      </c>
    </row>
    <row r="231" spans="1:16">
      <c r="A231" s="235" t="s">
        <v>1665</v>
      </c>
      <c r="B231" s="9">
        <v>14</v>
      </c>
      <c r="C231" s="2" t="s">
        <v>1552</v>
      </c>
      <c r="D231" s="2" t="s">
        <v>607</v>
      </c>
      <c r="E231" s="2">
        <f>+IFERROR(VLOOKUP(A231,'2122'!$A$12:$C$389,2,),0)</f>
        <v>4984821</v>
      </c>
      <c r="F231" s="2">
        <v>0</v>
      </c>
      <c r="G231" s="2">
        <f t="shared" si="18"/>
        <v>4984821</v>
      </c>
      <c r="H231" s="2">
        <f>+IFERROR(VLOOKUP(A231,'2122'!$A$12:$C$389,3,),0)</f>
        <v>0</v>
      </c>
      <c r="I231" s="2">
        <v>0</v>
      </c>
      <c r="J231" s="2">
        <f t="shared" si="19"/>
        <v>0</v>
      </c>
    </row>
    <row r="232" spans="1:16">
      <c r="A232" s="2" t="s">
        <v>608</v>
      </c>
      <c r="B232" s="9">
        <v>3</v>
      </c>
      <c r="C232" s="2" t="s">
        <v>1549</v>
      </c>
      <c r="D232" s="2" t="s">
        <v>603</v>
      </c>
      <c r="E232" s="2">
        <f>+IFERROR(VLOOKUP(A232,'2122'!$A$12:$C$389,2,),0)</f>
        <v>0</v>
      </c>
      <c r="F232" s="2">
        <v>0</v>
      </c>
      <c r="G232" s="2">
        <f t="shared" si="16"/>
        <v>0</v>
      </c>
      <c r="H232" s="2">
        <f>+IFERROR(VLOOKUP(A232,'2122'!$A$12:$C$389,3,),0)</f>
        <v>0</v>
      </c>
      <c r="I232" s="2">
        <v>0</v>
      </c>
      <c r="J232" s="2">
        <f t="shared" si="17"/>
        <v>0</v>
      </c>
      <c r="K232" s="2">
        <v>0</v>
      </c>
      <c r="M232" s="2">
        <v>0</v>
      </c>
      <c r="N232" s="2">
        <v>0</v>
      </c>
      <c r="P232" s="2">
        <v>0</v>
      </c>
    </row>
    <row r="233" spans="1:16">
      <c r="A233" s="2" t="s">
        <v>90</v>
      </c>
      <c r="C233" s="2" t="s">
        <v>609</v>
      </c>
      <c r="D233" s="2" t="s">
        <v>610</v>
      </c>
      <c r="E233" s="2">
        <f>+IFERROR(VLOOKUP(A233,'2122'!$A$12:$C$389,2,),0)</f>
        <v>1850243</v>
      </c>
      <c r="F233" s="2">
        <v>0</v>
      </c>
      <c r="G233" s="2">
        <f t="shared" si="16"/>
        <v>1850243</v>
      </c>
      <c r="H233" s="2">
        <f>+IFERROR(VLOOKUP(A233,'2122'!$A$12:$C$389,3,),0)</f>
        <v>0</v>
      </c>
      <c r="I233" s="2">
        <v>0</v>
      </c>
      <c r="J233" s="2">
        <f t="shared" si="17"/>
        <v>0</v>
      </c>
      <c r="K233" s="2">
        <v>1861537</v>
      </c>
      <c r="M233" s="2">
        <v>1861537</v>
      </c>
      <c r="N233" s="2">
        <v>0</v>
      </c>
      <c r="P233" s="2">
        <v>0</v>
      </c>
    </row>
    <row r="234" spans="1:16">
      <c r="A234" s="2" t="s">
        <v>611</v>
      </c>
      <c r="C234" s="2" t="s">
        <v>609</v>
      </c>
      <c r="D234" s="2" t="s">
        <v>610</v>
      </c>
      <c r="E234" s="2">
        <f>+IFERROR(VLOOKUP(A234,'2122'!$A$12:$C$389,2,),0)</f>
        <v>1908584</v>
      </c>
      <c r="F234" s="2">
        <v>0</v>
      </c>
      <c r="G234" s="2">
        <f t="shared" si="16"/>
        <v>1908584</v>
      </c>
      <c r="H234" s="2">
        <f>+IFERROR(VLOOKUP(A234,'2122'!$A$12:$C$389,3,),0)</f>
        <v>0</v>
      </c>
      <c r="I234" s="2">
        <v>0</v>
      </c>
      <c r="J234" s="2">
        <f t="shared" si="17"/>
        <v>0</v>
      </c>
      <c r="K234" s="2">
        <v>1834185</v>
      </c>
      <c r="M234" s="2">
        <v>1834185</v>
      </c>
      <c r="N234" s="2">
        <v>0</v>
      </c>
      <c r="P234" s="2">
        <v>0</v>
      </c>
    </row>
    <row r="235" spans="1:16">
      <c r="A235" s="2" t="s">
        <v>612</v>
      </c>
      <c r="C235" s="2" t="s">
        <v>609</v>
      </c>
      <c r="D235" s="2" t="s">
        <v>610</v>
      </c>
      <c r="E235" s="2">
        <f>+IFERROR(VLOOKUP(A235,'2122'!$A$12:$C$389,2,),0)</f>
        <v>41543</v>
      </c>
      <c r="F235" s="2">
        <v>0</v>
      </c>
      <c r="G235" s="2">
        <f t="shared" si="16"/>
        <v>41543</v>
      </c>
      <c r="H235" s="2">
        <f>+IFERROR(VLOOKUP(A235,'2122'!$A$12:$C$389,3,),0)</f>
        <v>0</v>
      </c>
      <c r="I235" s="2">
        <v>0</v>
      </c>
      <c r="J235" s="2">
        <f t="shared" si="17"/>
        <v>0</v>
      </c>
      <c r="K235" s="2">
        <v>46790</v>
      </c>
      <c r="M235" s="2">
        <v>46790</v>
      </c>
      <c r="N235" s="2">
        <v>0</v>
      </c>
      <c r="P235" s="2">
        <v>0</v>
      </c>
    </row>
    <row r="236" spans="1:16">
      <c r="A236" s="2" t="s">
        <v>93</v>
      </c>
      <c r="C236" s="2" t="s">
        <v>609</v>
      </c>
      <c r="D236" s="2" t="s">
        <v>610</v>
      </c>
      <c r="E236" s="2">
        <f>+IFERROR(VLOOKUP(A236,'2122'!$A$12:$C$389,2,),0)</f>
        <v>48716</v>
      </c>
      <c r="F236" s="2">
        <v>0</v>
      </c>
      <c r="G236" s="2">
        <f t="shared" si="16"/>
        <v>48716</v>
      </c>
      <c r="H236" s="2">
        <f>+IFERROR(VLOOKUP(A236,'2122'!$A$12:$C$389,3,),0)</f>
        <v>0</v>
      </c>
      <c r="I236" s="2">
        <v>0</v>
      </c>
      <c r="J236" s="2">
        <f t="shared" si="17"/>
        <v>0</v>
      </c>
      <c r="K236" s="2">
        <v>46907</v>
      </c>
      <c r="M236" s="2">
        <v>46907</v>
      </c>
      <c r="N236" s="2">
        <v>0</v>
      </c>
      <c r="P236" s="2">
        <v>0</v>
      </c>
    </row>
    <row r="237" spans="1:16">
      <c r="A237" s="2" t="s">
        <v>94</v>
      </c>
      <c r="C237" s="2" t="s">
        <v>609</v>
      </c>
      <c r="D237" s="2" t="s">
        <v>610</v>
      </c>
      <c r="E237" s="2">
        <f>+IFERROR(VLOOKUP(A237,'2122'!$A$12:$C$389,2,),0)</f>
        <v>113997</v>
      </c>
      <c r="F237" s="2">
        <v>0</v>
      </c>
      <c r="G237" s="2">
        <f t="shared" si="16"/>
        <v>113997</v>
      </c>
      <c r="H237" s="2">
        <f>+IFERROR(VLOOKUP(A237,'2122'!$A$12:$C$389,3,),0)</f>
        <v>0</v>
      </c>
      <c r="I237" s="2">
        <v>0</v>
      </c>
      <c r="J237" s="2">
        <f t="shared" si="17"/>
        <v>0</v>
      </c>
      <c r="K237" s="2">
        <v>103253</v>
      </c>
      <c r="M237" s="2">
        <v>103253</v>
      </c>
      <c r="N237" s="2">
        <v>0</v>
      </c>
      <c r="P237" s="2">
        <v>0</v>
      </c>
    </row>
    <row r="238" spans="1:16">
      <c r="A238" s="2" t="s">
        <v>613</v>
      </c>
      <c r="C238" s="2" t="s">
        <v>609</v>
      </c>
      <c r="D238" s="2" t="s">
        <v>610</v>
      </c>
      <c r="E238" s="2">
        <f>+IFERROR(VLOOKUP(A238,'2122'!$A$12:$C$389,2,),0)</f>
        <v>13628774</v>
      </c>
      <c r="F238" s="2">
        <v>0</v>
      </c>
      <c r="G238" s="2">
        <f t="shared" si="16"/>
        <v>13628774</v>
      </c>
      <c r="H238" s="2">
        <f>+IFERROR(VLOOKUP(A238,'2122'!$A$12:$C$389,3,),0)</f>
        <v>0</v>
      </c>
      <c r="I238" s="2">
        <v>0</v>
      </c>
      <c r="J238" s="2">
        <f t="shared" si="17"/>
        <v>0</v>
      </c>
      <c r="K238" s="2">
        <v>13466161</v>
      </c>
      <c r="M238" s="2">
        <v>13466161</v>
      </c>
      <c r="N238" s="2">
        <v>0</v>
      </c>
      <c r="P238" s="2">
        <v>0</v>
      </c>
    </row>
    <row r="239" spans="1:16">
      <c r="A239" s="2" t="s">
        <v>96</v>
      </c>
      <c r="C239" s="2" t="s">
        <v>609</v>
      </c>
      <c r="D239" s="2" t="s">
        <v>610</v>
      </c>
      <c r="E239" s="2">
        <f>+IFERROR(VLOOKUP(A239,'2122'!$A$12:$C$389,2,),0)</f>
        <v>369149</v>
      </c>
      <c r="F239" s="2">
        <v>0</v>
      </c>
      <c r="G239" s="2">
        <f t="shared" si="16"/>
        <v>369149</v>
      </c>
      <c r="H239" s="2">
        <f>+IFERROR(VLOOKUP(A239,'2122'!$A$12:$C$389,3,),0)</f>
        <v>0</v>
      </c>
      <c r="I239" s="2">
        <v>0</v>
      </c>
      <c r="J239" s="2">
        <f t="shared" si="17"/>
        <v>0</v>
      </c>
      <c r="K239" s="2">
        <v>369149</v>
      </c>
      <c r="M239" s="2">
        <v>369149</v>
      </c>
      <c r="N239" s="2">
        <v>0</v>
      </c>
      <c r="P239" s="2">
        <v>0</v>
      </c>
    </row>
    <row r="240" spans="1:16">
      <c r="A240" s="2" t="s">
        <v>614</v>
      </c>
      <c r="B240" s="9">
        <v>6</v>
      </c>
      <c r="C240" s="2" t="s">
        <v>1074</v>
      </c>
      <c r="D240" s="2" t="s">
        <v>423</v>
      </c>
      <c r="E240" s="2">
        <f>+IFERROR(VLOOKUP(A240,'2122'!$A$12:$C$389,2,),0)</f>
        <v>0</v>
      </c>
      <c r="F240" s="2">
        <v>0</v>
      </c>
      <c r="G240" s="2">
        <f t="shared" si="16"/>
        <v>0</v>
      </c>
      <c r="H240" s="2">
        <f>+IFERROR(VLOOKUP(A240,'2122'!$A$12:$C$389,3,),0)</f>
        <v>0</v>
      </c>
      <c r="I240" s="2">
        <v>0</v>
      </c>
      <c r="J240" s="2">
        <f t="shared" si="17"/>
        <v>0</v>
      </c>
      <c r="K240" s="2">
        <v>0</v>
      </c>
      <c r="M240" s="2">
        <v>0</v>
      </c>
      <c r="N240" s="2">
        <v>0</v>
      </c>
      <c r="P240" s="2">
        <v>0</v>
      </c>
    </row>
    <row r="241" spans="1:16">
      <c r="A241" s="2" t="s">
        <v>615</v>
      </c>
      <c r="B241" s="9">
        <v>9</v>
      </c>
      <c r="C241" s="2" t="s">
        <v>602</v>
      </c>
      <c r="D241" s="2" t="s">
        <v>450</v>
      </c>
      <c r="E241" s="2">
        <f>+IFERROR(VLOOKUP(A241,'2122'!$A$12:$C$389,2,),0)</f>
        <v>0</v>
      </c>
      <c r="F241" s="2">
        <v>0</v>
      </c>
      <c r="G241" s="2">
        <f t="shared" si="16"/>
        <v>0</v>
      </c>
      <c r="H241" s="2">
        <f>+IFERROR(VLOOKUP(A241,'2122'!$A$12:$C$389,3,),0)</f>
        <v>0</v>
      </c>
      <c r="I241" s="2">
        <v>0</v>
      </c>
      <c r="J241" s="2">
        <f t="shared" si="17"/>
        <v>0</v>
      </c>
      <c r="K241" s="2">
        <v>0</v>
      </c>
      <c r="M241" s="2">
        <v>0</v>
      </c>
      <c r="N241" s="2">
        <v>0</v>
      </c>
      <c r="P241" s="2">
        <v>0</v>
      </c>
    </row>
    <row r="242" spans="1:16">
      <c r="A242" s="2" t="s">
        <v>616</v>
      </c>
      <c r="B242" s="9">
        <v>9</v>
      </c>
      <c r="C242" s="2" t="s">
        <v>602</v>
      </c>
      <c r="D242" s="2" t="s">
        <v>450</v>
      </c>
      <c r="E242" s="2">
        <f>+IFERROR(VLOOKUP(A242,'2122'!$A$12:$C$389,2,),0)</f>
        <v>0</v>
      </c>
      <c r="F242" s="2">
        <v>0</v>
      </c>
      <c r="G242" s="2">
        <f t="shared" si="16"/>
        <v>0</v>
      </c>
      <c r="H242" s="2">
        <f>+IFERROR(VLOOKUP(A242,'2122'!$A$12:$C$389,3,),0)</f>
        <v>0</v>
      </c>
      <c r="I242" s="2">
        <v>0</v>
      </c>
      <c r="J242" s="2">
        <f t="shared" si="17"/>
        <v>0</v>
      </c>
      <c r="K242" s="2">
        <v>0</v>
      </c>
      <c r="M242" s="2">
        <v>0</v>
      </c>
      <c r="N242" s="2">
        <v>0</v>
      </c>
      <c r="P242" s="2">
        <v>0</v>
      </c>
    </row>
    <row r="243" spans="1:16">
      <c r="A243" s="2" t="s">
        <v>617</v>
      </c>
      <c r="B243" s="9">
        <v>9</v>
      </c>
      <c r="C243" s="2" t="s">
        <v>602</v>
      </c>
      <c r="D243" s="2" t="s">
        <v>450</v>
      </c>
      <c r="E243" s="2">
        <f>+IFERROR(VLOOKUP(A243,'2122'!$A$12:$C$389,2,),0)</f>
        <v>0</v>
      </c>
      <c r="F243" s="2">
        <v>0</v>
      </c>
      <c r="G243" s="2">
        <f t="shared" si="16"/>
        <v>0</v>
      </c>
      <c r="H243" s="2">
        <f>+IFERROR(VLOOKUP(A243,'2122'!$A$12:$C$389,3,),0)</f>
        <v>0</v>
      </c>
      <c r="I243" s="2">
        <v>0</v>
      </c>
      <c r="J243" s="2">
        <f t="shared" si="17"/>
        <v>0</v>
      </c>
      <c r="K243" s="2">
        <v>6000</v>
      </c>
      <c r="M243" s="2">
        <v>6000</v>
      </c>
      <c r="N243" s="2">
        <v>0</v>
      </c>
      <c r="P243" s="2">
        <v>0</v>
      </c>
    </row>
    <row r="244" spans="1:16">
      <c r="A244" s="2" t="s">
        <v>618</v>
      </c>
      <c r="B244" s="9">
        <v>17</v>
      </c>
      <c r="C244" s="2" t="s">
        <v>415</v>
      </c>
      <c r="D244" s="2" t="s">
        <v>415</v>
      </c>
      <c r="E244" s="2">
        <f>+IFERROR(VLOOKUP(A244,'2122'!$A$12:$C$389,2,),0)</f>
        <v>0</v>
      </c>
      <c r="F244" s="2">
        <v>0</v>
      </c>
      <c r="G244" s="2">
        <f t="shared" si="16"/>
        <v>0</v>
      </c>
      <c r="H244" s="2">
        <f>+IFERROR(VLOOKUP(A244,'2122'!$A$12:$C$389,3,),0)</f>
        <v>0</v>
      </c>
      <c r="I244" s="2">
        <v>0</v>
      </c>
      <c r="J244" s="2">
        <f t="shared" si="17"/>
        <v>0</v>
      </c>
      <c r="K244" s="2">
        <v>0</v>
      </c>
      <c r="M244" s="2">
        <v>0</v>
      </c>
      <c r="N244" s="2">
        <v>24300</v>
      </c>
      <c r="P244" s="2">
        <v>24300</v>
      </c>
    </row>
    <row r="245" spans="1:16">
      <c r="A245" s="2" t="s">
        <v>97</v>
      </c>
      <c r="B245" s="9">
        <v>9</v>
      </c>
      <c r="C245" s="2" t="s">
        <v>602</v>
      </c>
      <c r="D245" s="2" t="s">
        <v>450</v>
      </c>
      <c r="E245" s="2">
        <f>+IFERROR(VLOOKUP(A245,'2122'!$A$12:$C$389,2,),0)</f>
        <v>54000</v>
      </c>
      <c r="F245" s="2">
        <v>0</v>
      </c>
      <c r="G245" s="2">
        <f t="shared" si="16"/>
        <v>54000</v>
      </c>
      <c r="H245" s="2">
        <f>+IFERROR(VLOOKUP(A245,'2122'!$A$12:$C$389,3,),0)</f>
        <v>0</v>
      </c>
      <c r="I245" s="2">
        <v>0</v>
      </c>
      <c r="J245" s="2">
        <f t="shared" si="17"/>
        <v>0</v>
      </c>
      <c r="K245" s="2">
        <v>0</v>
      </c>
      <c r="M245" s="2">
        <v>0</v>
      </c>
      <c r="N245" s="2">
        <v>0</v>
      </c>
      <c r="P245" s="2">
        <v>0</v>
      </c>
    </row>
    <row r="246" spans="1:16">
      <c r="A246" s="2" t="s">
        <v>98</v>
      </c>
      <c r="B246" s="9">
        <v>25</v>
      </c>
      <c r="C246" s="2" t="s">
        <v>619</v>
      </c>
      <c r="D246" s="2" t="s">
        <v>620</v>
      </c>
      <c r="E246" s="2">
        <f>+IFERROR(VLOOKUP(A246,'2122'!$A$12:$C$389,2,),0)</f>
        <v>46500</v>
      </c>
      <c r="F246" s="2">
        <v>0</v>
      </c>
      <c r="G246" s="2">
        <f t="shared" si="16"/>
        <v>46500</v>
      </c>
      <c r="H246" s="2">
        <f>+IFERROR(VLOOKUP(A246,'2122'!$A$12:$C$389,3,),0)</f>
        <v>0</v>
      </c>
      <c r="I246" s="2">
        <v>0</v>
      </c>
      <c r="J246" s="2">
        <f t="shared" si="17"/>
        <v>0</v>
      </c>
      <c r="K246" s="2">
        <v>28500</v>
      </c>
      <c r="M246" s="2">
        <v>28500</v>
      </c>
      <c r="N246" s="2">
        <v>0</v>
      </c>
      <c r="P246" s="2">
        <v>0</v>
      </c>
    </row>
    <row r="247" spans="1:16">
      <c r="A247" s="2" t="s">
        <v>99</v>
      </c>
      <c r="B247" s="9">
        <v>21</v>
      </c>
      <c r="C247" s="2" t="s">
        <v>621</v>
      </c>
      <c r="D247" s="2" t="s">
        <v>622</v>
      </c>
      <c r="E247" s="2">
        <f>+IFERROR(VLOOKUP(A247,'2122'!$A$12:$C$389,2,),0)</f>
        <v>3692009</v>
      </c>
      <c r="F247" s="2">
        <v>0</v>
      </c>
      <c r="G247" s="2">
        <f t="shared" si="16"/>
        <v>3692009</v>
      </c>
      <c r="H247" s="2">
        <f>+IFERROR(VLOOKUP(A247,'2122'!$A$12:$C$389,3,),0)</f>
        <v>0</v>
      </c>
      <c r="I247" s="2">
        <v>0</v>
      </c>
      <c r="J247" s="2">
        <f t="shared" si="17"/>
        <v>0</v>
      </c>
      <c r="K247" s="2">
        <v>30200530</v>
      </c>
      <c r="M247" s="2">
        <v>30200530</v>
      </c>
      <c r="N247" s="2">
        <v>0</v>
      </c>
      <c r="P247" s="2">
        <v>0</v>
      </c>
    </row>
    <row r="248" spans="1:16">
      <c r="A248" s="2" t="s">
        <v>307</v>
      </c>
      <c r="B248" s="9">
        <v>21</v>
      </c>
      <c r="C248" s="2" t="s">
        <v>621</v>
      </c>
      <c r="D248" s="2" t="s">
        <v>622</v>
      </c>
      <c r="E248" s="2">
        <f>+IFERROR(VLOOKUP(A248,'2122'!$A$12:$C$389,2,),0)</f>
        <v>0</v>
      </c>
      <c r="F248" s="2">
        <v>0</v>
      </c>
      <c r="G248" s="2">
        <f t="shared" si="16"/>
        <v>0</v>
      </c>
      <c r="H248" s="2">
        <f>+IFERROR(VLOOKUP(A248,'2122'!$A$12:$C$389,3,),0)</f>
        <v>121315419.15000001</v>
      </c>
      <c r="I248" s="2">
        <v>0</v>
      </c>
      <c r="J248" s="2">
        <f t="shared" si="17"/>
        <v>121315419.15000001</v>
      </c>
      <c r="K248" s="2">
        <v>0</v>
      </c>
      <c r="M248" s="2">
        <v>0</v>
      </c>
      <c r="N248" s="2">
        <v>80530681.049999997</v>
      </c>
      <c r="P248" s="2">
        <v>80530681.049999997</v>
      </c>
    </row>
    <row r="249" spans="1:16">
      <c r="A249" s="2" t="s">
        <v>623</v>
      </c>
      <c r="B249" s="9">
        <v>21</v>
      </c>
      <c r="C249" s="2" t="s">
        <v>621</v>
      </c>
      <c r="D249" s="2" t="s">
        <v>622</v>
      </c>
      <c r="E249" s="2">
        <f>+IFERROR(VLOOKUP(A249,'2122'!$A$12:$C$389,2,),0)</f>
        <v>0</v>
      </c>
      <c r="F249" s="2">
        <v>0</v>
      </c>
      <c r="G249" s="2">
        <f t="shared" si="16"/>
        <v>0</v>
      </c>
      <c r="H249" s="2">
        <f>+IFERROR(VLOOKUP(A249,'2122'!$A$12:$C$389,3,),0)</f>
        <v>0</v>
      </c>
      <c r="I249" s="2">
        <v>0</v>
      </c>
      <c r="J249" s="2">
        <f t="shared" si="17"/>
        <v>0</v>
      </c>
      <c r="K249" s="2">
        <v>0</v>
      </c>
      <c r="M249" s="2">
        <v>0</v>
      </c>
      <c r="N249" s="2">
        <v>16211566</v>
      </c>
      <c r="P249" s="2">
        <v>16211566</v>
      </c>
    </row>
    <row r="250" spans="1:16">
      <c r="A250" s="2" t="s">
        <v>101</v>
      </c>
      <c r="B250" s="9">
        <v>17</v>
      </c>
      <c r="C250" s="2" t="s">
        <v>415</v>
      </c>
      <c r="D250" s="2" t="s">
        <v>416</v>
      </c>
      <c r="E250" s="2">
        <f>+IFERROR(VLOOKUP(A250,'2122'!$A$12:$C$389,2,),0)</f>
        <v>0</v>
      </c>
      <c r="F250" s="2">
        <v>0</v>
      </c>
      <c r="G250" s="2">
        <f t="shared" si="16"/>
        <v>0</v>
      </c>
      <c r="H250" s="2">
        <f>+IFERROR(VLOOKUP(A250,'2122'!$A$12:$C$389,3,),0)</f>
        <v>101425.16</v>
      </c>
      <c r="I250" s="2">
        <v>0</v>
      </c>
      <c r="J250" s="2">
        <f t="shared" si="17"/>
        <v>101425.16</v>
      </c>
      <c r="K250" s="2">
        <v>811474.84</v>
      </c>
      <c r="M250" s="2">
        <v>811474.84</v>
      </c>
      <c r="N250" s="2">
        <v>0</v>
      </c>
      <c r="P250" s="2">
        <v>0</v>
      </c>
    </row>
    <row r="251" spans="1:16">
      <c r="A251" s="2" t="s">
        <v>624</v>
      </c>
      <c r="C251" s="2" t="s">
        <v>482</v>
      </c>
      <c r="D251" s="2" t="s">
        <v>624</v>
      </c>
      <c r="E251" s="2">
        <f>+IFERROR(VLOOKUP(A251,'2122'!$A$12:$C$389,2,),0)</f>
        <v>0</v>
      </c>
      <c r="F251" s="2">
        <v>0</v>
      </c>
      <c r="G251" s="2">
        <f t="shared" si="16"/>
        <v>0</v>
      </c>
      <c r="H251" s="2">
        <f>+IFERROR(VLOOKUP(A251,'2122'!$A$12:$C$389,3,),0)</f>
        <v>0</v>
      </c>
      <c r="I251" s="2">
        <v>0</v>
      </c>
      <c r="J251" s="2">
        <f t="shared" si="17"/>
        <v>0</v>
      </c>
      <c r="K251" s="2">
        <v>0</v>
      </c>
      <c r="M251" s="2">
        <v>0</v>
      </c>
      <c r="N251" s="2">
        <v>0</v>
      </c>
      <c r="P251" s="2">
        <v>0</v>
      </c>
    </row>
    <row r="252" spans="1:16">
      <c r="A252" s="2" t="s">
        <v>625</v>
      </c>
      <c r="C252" s="2" t="s">
        <v>482</v>
      </c>
      <c r="D252" s="2" t="s">
        <v>624</v>
      </c>
      <c r="E252" s="2">
        <f>+IFERROR(VLOOKUP(A252,'2122'!$A$12:$C$389,2,),0)</f>
        <v>0</v>
      </c>
      <c r="F252" s="2">
        <v>0</v>
      </c>
      <c r="G252" s="2">
        <f t="shared" si="16"/>
        <v>0</v>
      </c>
      <c r="H252" s="2">
        <f>+IFERROR(VLOOKUP(A252,'2122'!$A$12:$C$389,3,),0)</f>
        <v>0</v>
      </c>
      <c r="I252" s="2">
        <v>0</v>
      </c>
      <c r="J252" s="2">
        <f t="shared" si="17"/>
        <v>0</v>
      </c>
      <c r="K252" s="2">
        <v>0</v>
      </c>
      <c r="M252" s="2">
        <v>0</v>
      </c>
      <c r="N252" s="2">
        <v>0</v>
      </c>
      <c r="P252" s="2">
        <v>0</v>
      </c>
    </row>
    <row r="253" spans="1:16">
      <c r="A253" s="2" t="s">
        <v>102</v>
      </c>
      <c r="B253" s="9">
        <v>27</v>
      </c>
      <c r="C253" s="2" t="s">
        <v>1560</v>
      </c>
      <c r="D253" s="2" t="s">
        <v>626</v>
      </c>
      <c r="E253" s="2">
        <f>+IFERROR(VLOOKUP(A253,'2122'!$A$12:$C$389,2,),0)</f>
        <v>26700</v>
      </c>
      <c r="F253" s="2">
        <v>0</v>
      </c>
      <c r="G253" s="2">
        <f t="shared" si="16"/>
        <v>26700</v>
      </c>
      <c r="H253" s="2">
        <f>+IFERROR(VLOOKUP(A253,'2122'!$A$12:$C$389,3,),0)</f>
        <v>0</v>
      </c>
      <c r="I253" s="2">
        <v>0</v>
      </c>
      <c r="J253" s="2">
        <f t="shared" si="17"/>
        <v>0</v>
      </c>
      <c r="K253" s="2">
        <v>56000</v>
      </c>
      <c r="M253" s="2">
        <v>56000</v>
      </c>
      <c r="N253" s="2">
        <v>0</v>
      </c>
      <c r="P253" s="2">
        <v>0</v>
      </c>
    </row>
    <row r="254" spans="1:16">
      <c r="A254" s="2" t="s">
        <v>627</v>
      </c>
      <c r="B254" s="9">
        <v>10</v>
      </c>
      <c r="C254" s="2" t="s">
        <v>598</v>
      </c>
      <c r="D254" s="2" t="s">
        <v>445</v>
      </c>
      <c r="E254" s="2">
        <f>+IFERROR(VLOOKUP(A254,'2122'!$A$12:$C$389,2,),0)</f>
        <v>0</v>
      </c>
      <c r="F254" s="2">
        <v>0</v>
      </c>
      <c r="G254" s="2">
        <f t="shared" si="16"/>
        <v>0</v>
      </c>
      <c r="H254" s="2">
        <f>+IFERROR(VLOOKUP(A254,'2122'!$A$12:$C$389,3,),0)</f>
        <v>0</v>
      </c>
      <c r="I254" s="2">
        <v>0</v>
      </c>
      <c r="J254" s="2">
        <f t="shared" si="17"/>
        <v>0</v>
      </c>
      <c r="K254" s="2">
        <v>0</v>
      </c>
      <c r="M254" s="2">
        <v>0</v>
      </c>
      <c r="N254" s="2">
        <v>0</v>
      </c>
      <c r="P254" s="2">
        <v>0</v>
      </c>
    </row>
    <row r="255" spans="1:16">
      <c r="A255" s="2" t="s">
        <v>105</v>
      </c>
      <c r="B255" s="9">
        <v>17</v>
      </c>
      <c r="C255" s="2" t="s">
        <v>415</v>
      </c>
      <c r="D255" s="2" t="s">
        <v>415</v>
      </c>
      <c r="E255" s="2">
        <f>+IFERROR(VLOOKUP(A255,'2122'!$A$12:$C$389,2,),0)</f>
        <v>0</v>
      </c>
      <c r="F255" s="2">
        <v>0</v>
      </c>
      <c r="G255" s="2">
        <f t="shared" si="16"/>
        <v>0</v>
      </c>
      <c r="H255" s="2">
        <f>+IFERROR(VLOOKUP(A255,'2122'!$A$12:$C$389,3,),0)</f>
        <v>66506</v>
      </c>
      <c r="I255" s="2">
        <v>0</v>
      </c>
      <c r="J255" s="2">
        <f t="shared" si="17"/>
        <v>66506</v>
      </c>
      <c r="K255" s="2">
        <v>0</v>
      </c>
      <c r="M255" s="2">
        <v>0</v>
      </c>
      <c r="N255" s="2">
        <v>0</v>
      </c>
      <c r="P255" s="2">
        <v>0</v>
      </c>
    </row>
    <row r="256" spans="1:16">
      <c r="A256" s="2" t="s">
        <v>106</v>
      </c>
      <c r="B256" s="9">
        <v>17</v>
      </c>
      <c r="C256" s="2" t="s">
        <v>415</v>
      </c>
      <c r="D256" s="2" t="s">
        <v>415</v>
      </c>
      <c r="E256" s="2">
        <f>+IFERROR(VLOOKUP(A256,'2122'!$A$12:$C$389,2,),0)</f>
        <v>0</v>
      </c>
      <c r="F256" s="2">
        <v>0</v>
      </c>
      <c r="G256" s="2">
        <f t="shared" si="16"/>
        <v>0</v>
      </c>
      <c r="H256" s="2">
        <f>+IFERROR(VLOOKUP(A256,'2122'!$A$12:$C$389,3,),0)</f>
        <v>4625753</v>
      </c>
      <c r="I256" s="2">
        <v>0</v>
      </c>
      <c r="J256" s="2">
        <f t="shared" si="17"/>
        <v>4625753</v>
      </c>
      <c r="K256" s="2">
        <v>0</v>
      </c>
      <c r="M256" s="2">
        <v>0</v>
      </c>
      <c r="N256" s="2">
        <v>4423234</v>
      </c>
      <c r="P256" s="2">
        <v>4423234</v>
      </c>
    </row>
    <row r="257" spans="1:16">
      <c r="A257" s="2" t="s">
        <v>628</v>
      </c>
      <c r="B257" s="9">
        <v>17</v>
      </c>
      <c r="C257" s="2" t="s">
        <v>415</v>
      </c>
      <c r="D257" s="2" t="s">
        <v>415</v>
      </c>
      <c r="E257" s="2">
        <f>+IFERROR(VLOOKUP(A257,'2122'!$A$12:$C$389,2,),0)</f>
        <v>0</v>
      </c>
      <c r="F257" s="2">
        <v>0</v>
      </c>
      <c r="G257" s="2">
        <f t="shared" si="16"/>
        <v>0</v>
      </c>
      <c r="H257" s="2">
        <f>+IFERROR(VLOOKUP(A257,'2122'!$A$12:$C$389,3,),0)</f>
        <v>0</v>
      </c>
      <c r="I257" s="2">
        <v>0</v>
      </c>
      <c r="J257" s="2">
        <f t="shared" si="17"/>
        <v>0</v>
      </c>
      <c r="K257" s="2">
        <v>0</v>
      </c>
      <c r="M257" s="2">
        <v>0</v>
      </c>
      <c r="N257" s="2">
        <v>0</v>
      </c>
      <c r="P257" s="2">
        <v>0</v>
      </c>
    </row>
    <row r="258" spans="1:16">
      <c r="A258" s="2" t="s">
        <v>629</v>
      </c>
      <c r="B258" s="9">
        <v>6</v>
      </c>
      <c r="C258" s="2" t="s">
        <v>1074</v>
      </c>
      <c r="D258" s="2" t="s">
        <v>423</v>
      </c>
      <c r="E258" s="2">
        <f>+IFERROR(VLOOKUP(A258,'2122'!$A$12:$C$389,2,),0)</f>
        <v>0</v>
      </c>
      <c r="F258" s="2">
        <v>0</v>
      </c>
      <c r="G258" s="2">
        <f t="shared" si="16"/>
        <v>0</v>
      </c>
      <c r="H258" s="2">
        <f>+IFERROR(VLOOKUP(A258,'2122'!$A$12:$C$389,3,),0)</f>
        <v>0</v>
      </c>
      <c r="I258" s="2">
        <v>0</v>
      </c>
      <c r="J258" s="2">
        <f t="shared" si="17"/>
        <v>0</v>
      </c>
      <c r="K258" s="2">
        <v>0</v>
      </c>
      <c r="M258" s="2">
        <v>0</v>
      </c>
      <c r="N258" s="2">
        <v>0</v>
      </c>
      <c r="P258" s="2">
        <v>0</v>
      </c>
    </row>
    <row r="259" spans="1:16">
      <c r="A259" s="2" t="s">
        <v>108</v>
      </c>
      <c r="B259" s="9">
        <v>2</v>
      </c>
      <c r="C259" s="2" t="s">
        <v>1072</v>
      </c>
      <c r="D259" s="2" t="s">
        <v>522</v>
      </c>
      <c r="E259" s="2">
        <f>+IFERROR(VLOOKUP(A259,'2122'!$A$12:$C$389,2,),0)</f>
        <v>26458587.010000002</v>
      </c>
      <c r="F259" s="2">
        <v>0</v>
      </c>
      <c r="G259" s="2">
        <f t="shared" si="16"/>
        <v>26458587.010000002</v>
      </c>
      <c r="H259" s="2">
        <f>+IFERROR(VLOOKUP(A259,'2122'!$A$12:$C$389,3,),0)</f>
        <v>0</v>
      </c>
      <c r="I259" s="2">
        <v>0</v>
      </c>
      <c r="J259" s="2">
        <f t="shared" si="17"/>
        <v>0</v>
      </c>
      <c r="K259" s="2">
        <v>26188107.010000002</v>
      </c>
      <c r="M259" s="2">
        <v>26188107.010000002</v>
      </c>
      <c r="N259" s="2">
        <v>0</v>
      </c>
      <c r="P259" s="2">
        <v>0</v>
      </c>
    </row>
    <row r="260" spans="1:16">
      <c r="A260" s="2" t="s">
        <v>110</v>
      </c>
      <c r="B260" s="9">
        <v>12</v>
      </c>
      <c r="C260" s="2" t="s">
        <v>630</v>
      </c>
      <c r="D260" s="2" t="s">
        <v>631</v>
      </c>
      <c r="E260" s="2">
        <f>+IFERROR(VLOOKUP(A260,'2122'!$A$12:$C$389,2,),0)</f>
        <v>0</v>
      </c>
      <c r="F260" s="2">
        <v>0</v>
      </c>
      <c r="G260" s="2">
        <f t="shared" si="16"/>
        <v>0</v>
      </c>
      <c r="H260" s="2">
        <f>+IFERROR(VLOOKUP(A260,'2122'!$A$12:$C$389,3,),0)</f>
        <v>26922650</v>
      </c>
      <c r="I260" s="2">
        <v>0</v>
      </c>
      <c r="J260" s="2">
        <f t="shared" si="17"/>
        <v>26922650</v>
      </c>
      <c r="K260" s="2">
        <v>0</v>
      </c>
      <c r="M260" s="2">
        <v>0</v>
      </c>
      <c r="N260" s="2">
        <v>26922650</v>
      </c>
      <c r="P260" s="2">
        <v>26922650</v>
      </c>
    </row>
    <row r="261" spans="1:16">
      <c r="A261" s="2" t="s">
        <v>111</v>
      </c>
      <c r="B261" s="9">
        <v>25</v>
      </c>
      <c r="C261" s="2" t="s">
        <v>619</v>
      </c>
      <c r="D261" s="2" t="s">
        <v>632</v>
      </c>
      <c r="E261" s="2">
        <f>+IFERROR(VLOOKUP(A261,'2122'!$A$12:$C$389,2,),0)</f>
        <v>234882</v>
      </c>
      <c r="F261" s="2">
        <v>0</v>
      </c>
      <c r="G261" s="2">
        <f t="shared" si="16"/>
        <v>234882</v>
      </c>
      <c r="H261" s="2">
        <f>+IFERROR(VLOOKUP(A261,'2122'!$A$12:$C$389,3,),0)</f>
        <v>0</v>
      </c>
      <c r="I261" s="2">
        <v>0</v>
      </c>
      <c r="J261" s="2">
        <f t="shared" si="17"/>
        <v>0</v>
      </c>
      <c r="K261" s="2">
        <v>212650</v>
      </c>
      <c r="M261" s="2">
        <v>212650</v>
      </c>
      <c r="N261" s="2">
        <v>0</v>
      </c>
      <c r="P261" s="2">
        <v>0</v>
      </c>
    </row>
    <row r="262" spans="1:16">
      <c r="A262" s="2" t="s">
        <v>633</v>
      </c>
      <c r="B262" s="9">
        <v>27</v>
      </c>
      <c r="C262" s="2" t="s">
        <v>1560</v>
      </c>
      <c r="D262" s="2" t="s">
        <v>279</v>
      </c>
      <c r="E262" s="2">
        <f>+IFERROR(VLOOKUP(A262,'2122'!$A$12:$C$389,2,),0)</f>
        <v>0</v>
      </c>
      <c r="F262" s="2">
        <v>0</v>
      </c>
      <c r="G262" s="2">
        <f t="shared" si="16"/>
        <v>0</v>
      </c>
      <c r="H262" s="2">
        <f>+IFERROR(VLOOKUP(A262,'2122'!$A$12:$C$389,3,),0)</f>
        <v>0</v>
      </c>
      <c r="I262" s="2">
        <v>0</v>
      </c>
      <c r="J262" s="2">
        <f t="shared" si="17"/>
        <v>0</v>
      </c>
      <c r="K262" s="2">
        <v>0</v>
      </c>
      <c r="M262" s="2">
        <v>0</v>
      </c>
      <c r="N262" s="2">
        <v>0</v>
      </c>
      <c r="P262" s="2">
        <v>0</v>
      </c>
    </row>
    <row r="263" spans="1:16">
      <c r="A263" s="2" t="s">
        <v>112</v>
      </c>
      <c r="B263" s="9">
        <v>27</v>
      </c>
      <c r="C263" s="2" t="s">
        <v>1560</v>
      </c>
      <c r="D263" s="2" t="s">
        <v>279</v>
      </c>
      <c r="E263" s="2">
        <f>+IFERROR(VLOOKUP(A263,'2122'!$A$12:$C$389,2,),0)</f>
        <v>18000</v>
      </c>
      <c r="F263" s="2">
        <v>0</v>
      </c>
      <c r="G263" s="2">
        <f t="shared" si="16"/>
        <v>18000</v>
      </c>
      <c r="H263" s="2">
        <f>+IFERROR(VLOOKUP(A263,'2122'!$A$12:$C$389,3,),0)</f>
        <v>0</v>
      </c>
      <c r="I263" s="2">
        <v>0</v>
      </c>
      <c r="J263" s="2">
        <f t="shared" si="17"/>
        <v>0</v>
      </c>
      <c r="K263" s="2">
        <v>15900</v>
      </c>
      <c r="M263" s="2">
        <v>15900</v>
      </c>
      <c r="N263" s="2">
        <v>0</v>
      </c>
      <c r="P263" s="2">
        <v>0</v>
      </c>
    </row>
    <row r="264" spans="1:16">
      <c r="A264" s="2" t="s">
        <v>634</v>
      </c>
      <c r="B264" s="9">
        <v>25</v>
      </c>
      <c r="C264" s="2" t="s">
        <v>619</v>
      </c>
      <c r="D264" s="2" t="s">
        <v>620</v>
      </c>
      <c r="E264" s="2">
        <f>+IFERROR(VLOOKUP(A264,'2122'!$A$12:$C$389,2,),0)</f>
        <v>0</v>
      </c>
      <c r="F264" s="2">
        <v>0</v>
      </c>
      <c r="G264" s="2">
        <f t="shared" si="16"/>
        <v>0</v>
      </c>
      <c r="H264" s="2">
        <f>+IFERROR(VLOOKUP(A264,'2122'!$A$12:$C$389,3,),0)</f>
        <v>0</v>
      </c>
      <c r="I264" s="2">
        <v>0</v>
      </c>
      <c r="J264" s="2">
        <f t="shared" si="17"/>
        <v>0</v>
      </c>
      <c r="K264" s="2">
        <v>0</v>
      </c>
      <c r="M264" s="2">
        <v>0</v>
      </c>
      <c r="N264" s="2">
        <v>0</v>
      </c>
      <c r="P264" s="2">
        <v>0</v>
      </c>
    </row>
    <row r="265" spans="1:16">
      <c r="A265" s="235" t="s">
        <v>1666</v>
      </c>
      <c r="B265" s="9">
        <v>25</v>
      </c>
      <c r="C265" s="2" t="s">
        <v>619</v>
      </c>
      <c r="D265" s="2" t="s">
        <v>620</v>
      </c>
      <c r="E265" s="2">
        <f>+IFERROR(VLOOKUP(A265,'2122'!$A$12:$C$389,2,),0)</f>
        <v>10320</v>
      </c>
      <c r="F265" s="2">
        <v>0</v>
      </c>
      <c r="G265" s="2">
        <f t="shared" ref="G265" si="20">+E265+F265</f>
        <v>10320</v>
      </c>
      <c r="H265" s="2">
        <f>+IFERROR(VLOOKUP(A265,'2122'!$A$12:$C$389,3,),0)</f>
        <v>0</v>
      </c>
      <c r="I265" s="2">
        <v>0</v>
      </c>
      <c r="J265" s="2">
        <f t="shared" ref="J265" si="21">+H265+I265</f>
        <v>0</v>
      </c>
      <c r="K265" s="2">
        <v>0</v>
      </c>
    </row>
    <row r="266" spans="1:16">
      <c r="A266" s="2" t="s">
        <v>635</v>
      </c>
      <c r="B266" s="9">
        <v>27</v>
      </c>
      <c r="C266" s="2" t="s">
        <v>1560</v>
      </c>
      <c r="D266" s="2" t="s">
        <v>279</v>
      </c>
      <c r="E266" s="2">
        <f>+IFERROR(VLOOKUP(A266,'2122'!$A$12:$C$389,2,),0)</f>
        <v>0</v>
      </c>
      <c r="F266" s="2">
        <v>0</v>
      </c>
      <c r="G266" s="2">
        <f t="shared" si="16"/>
        <v>0</v>
      </c>
      <c r="H266" s="2">
        <f>+IFERROR(VLOOKUP(A266,'2122'!$A$12:$C$389,3,),0)</f>
        <v>0</v>
      </c>
      <c r="I266" s="2">
        <v>0</v>
      </c>
      <c r="J266" s="2">
        <f t="shared" si="17"/>
        <v>0</v>
      </c>
      <c r="K266" s="2">
        <v>0</v>
      </c>
      <c r="M266" s="2">
        <v>0</v>
      </c>
      <c r="N266" s="2">
        <v>0</v>
      </c>
      <c r="P266" s="2">
        <v>0</v>
      </c>
    </row>
    <row r="267" spans="1:16">
      <c r="A267" s="2" t="s">
        <v>113</v>
      </c>
      <c r="B267" s="9">
        <v>23</v>
      </c>
      <c r="C267" s="2" t="s">
        <v>573</v>
      </c>
      <c r="D267" s="2" t="s">
        <v>574</v>
      </c>
      <c r="E267" s="2">
        <f>+IFERROR(VLOOKUP(A267,'2122'!$A$12:$C$389,2,),0)</f>
        <v>5916</v>
      </c>
      <c r="F267" s="2">
        <v>0</v>
      </c>
      <c r="G267" s="2">
        <f t="shared" si="16"/>
        <v>5916</v>
      </c>
      <c r="H267" s="2">
        <f>+IFERROR(VLOOKUP(A267,'2122'!$A$12:$C$389,3,),0)</f>
        <v>0</v>
      </c>
      <c r="I267" s="2">
        <v>0</v>
      </c>
      <c r="J267" s="2">
        <f t="shared" si="17"/>
        <v>0</v>
      </c>
      <c r="K267" s="2">
        <v>0</v>
      </c>
      <c r="M267" s="2">
        <v>0</v>
      </c>
      <c r="N267" s="2">
        <v>0</v>
      </c>
      <c r="P267" s="2">
        <v>0</v>
      </c>
    </row>
    <row r="268" spans="1:16">
      <c r="A268" s="2" t="s">
        <v>114</v>
      </c>
      <c r="B268" s="9">
        <v>27</v>
      </c>
      <c r="C268" s="2" t="s">
        <v>1568</v>
      </c>
      <c r="D268" s="2" t="s">
        <v>1325</v>
      </c>
      <c r="E268" s="2">
        <f>+IFERROR(VLOOKUP(A268,'2122'!$A$12:$C$389,2,),0)</f>
        <v>1570177</v>
      </c>
      <c r="F268" s="2">
        <v>0</v>
      </c>
      <c r="G268" s="2">
        <f t="shared" si="16"/>
        <v>1570177</v>
      </c>
      <c r="H268" s="2">
        <f>+IFERROR(VLOOKUP(A268,'2122'!$A$12:$C$389,3,),0)</f>
        <v>0</v>
      </c>
      <c r="I268" s="2">
        <v>0</v>
      </c>
      <c r="J268" s="2">
        <f t="shared" si="17"/>
        <v>0</v>
      </c>
      <c r="K268" s="2">
        <v>2277589</v>
      </c>
      <c r="M268" s="2">
        <v>2277589</v>
      </c>
      <c r="N268" s="2">
        <v>0</v>
      </c>
      <c r="P268" s="2">
        <v>0</v>
      </c>
    </row>
    <row r="269" spans="1:16">
      <c r="A269" s="2" t="s">
        <v>115</v>
      </c>
      <c r="B269" s="9">
        <v>21</v>
      </c>
      <c r="C269" s="2" t="s">
        <v>621</v>
      </c>
      <c r="D269" s="2" t="s">
        <v>622</v>
      </c>
      <c r="E269" s="2">
        <f>+IFERROR(VLOOKUP(A269,'2122'!$A$12:$C$389,2,),0)</f>
        <v>0</v>
      </c>
      <c r="F269" s="2">
        <v>0</v>
      </c>
      <c r="G269" s="2">
        <f t="shared" ref="G269:G334" si="22">+E269+F269</f>
        <v>0</v>
      </c>
      <c r="H269" s="2">
        <f>+IFERROR(VLOOKUP(A269,'2122'!$A$12:$C$389,3,),0)</f>
        <v>15060978</v>
      </c>
      <c r="I269" s="2">
        <v>0</v>
      </c>
      <c r="J269" s="2">
        <f t="shared" ref="J269:J334" si="23">+H269+I269</f>
        <v>15060978</v>
      </c>
      <c r="K269" s="2">
        <v>0</v>
      </c>
      <c r="M269" s="2">
        <v>0</v>
      </c>
      <c r="N269" s="2">
        <v>0</v>
      </c>
      <c r="P269" s="2">
        <v>0</v>
      </c>
    </row>
    <row r="270" spans="1:16">
      <c r="A270" s="2" t="s">
        <v>116</v>
      </c>
      <c r="B270" s="9">
        <v>27</v>
      </c>
      <c r="C270" s="2" t="s">
        <v>1555</v>
      </c>
      <c r="D270" s="2" t="s">
        <v>1294</v>
      </c>
      <c r="E270" s="2">
        <f>+IFERROR(VLOOKUP(A270,'2122'!$A$12:$C$389,2,),0)</f>
        <v>72000</v>
      </c>
      <c r="F270" s="2">
        <v>0</v>
      </c>
      <c r="G270" s="2">
        <f t="shared" si="22"/>
        <v>72000</v>
      </c>
      <c r="H270" s="2">
        <f>+IFERROR(VLOOKUP(A270,'2122'!$A$12:$C$389,3,),0)</f>
        <v>0</v>
      </c>
      <c r="I270" s="2">
        <v>0</v>
      </c>
      <c r="J270" s="2">
        <f t="shared" si="23"/>
        <v>0</v>
      </c>
      <c r="K270" s="2">
        <v>64575</v>
      </c>
      <c r="M270" s="2">
        <v>64575</v>
      </c>
      <c r="N270" s="2">
        <v>0</v>
      </c>
      <c r="P270" s="2">
        <v>0</v>
      </c>
    </row>
    <row r="271" spans="1:16">
      <c r="A271" s="2" t="s">
        <v>117</v>
      </c>
      <c r="B271" s="9">
        <v>27</v>
      </c>
      <c r="C271" s="2" t="s">
        <v>1555</v>
      </c>
      <c r="D271" s="2" t="s">
        <v>1294</v>
      </c>
      <c r="E271" s="2">
        <f>+IFERROR(VLOOKUP(A271,'2122'!$A$12:$C$389,2,),0)</f>
        <v>262736</v>
      </c>
      <c r="F271" s="2">
        <v>0</v>
      </c>
      <c r="G271" s="2">
        <f t="shared" si="22"/>
        <v>262736</v>
      </c>
      <c r="H271" s="2">
        <f>+IFERROR(VLOOKUP(A271,'2122'!$A$12:$C$389,3,),0)</f>
        <v>0</v>
      </c>
      <c r="I271" s="2">
        <v>0</v>
      </c>
      <c r="J271" s="2">
        <f t="shared" si="23"/>
        <v>0</v>
      </c>
      <c r="K271" s="2">
        <v>244646.5</v>
      </c>
      <c r="M271" s="2">
        <v>244646.5</v>
      </c>
      <c r="N271" s="2">
        <v>0</v>
      </c>
      <c r="P271" s="2">
        <v>0</v>
      </c>
    </row>
    <row r="272" spans="1:16">
      <c r="A272" s="2" t="s">
        <v>118</v>
      </c>
      <c r="B272" s="9">
        <v>27</v>
      </c>
      <c r="C272" s="2" t="s">
        <v>1555</v>
      </c>
      <c r="D272" s="2" t="s">
        <v>1556</v>
      </c>
      <c r="E272" s="2">
        <f>+IFERROR(VLOOKUP(A272,'2122'!$A$12:$C$389,2,),0)</f>
        <v>69613175</v>
      </c>
      <c r="F272" s="2">
        <v>0</v>
      </c>
      <c r="G272" s="2">
        <f t="shared" si="22"/>
        <v>69613175</v>
      </c>
      <c r="H272" s="2">
        <f>+IFERROR(VLOOKUP(A272,'2122'!$A$12:$C$389,3,),0)</f>
        <v>0</v>
      </c>
      <c r="I272" s="2">
        <v>0</v>
      </c>
      <c r="J272" s="2">
        <f t="shared" si="23"/>
        <v>0</v>
      </c>
      <c r="K272" s="2">
        <v>66582536</v>
      </c>
      <c r="M272" s="2">
        <v>66582536</v>
      </c>
      <c r="N272" s="2">
        <v>0</v>
      </c>
      <c r="P272" s="2">
        <v>0</v>
      </c>
    </row>
    <row r="273" spans="1:16">
      <c r="A273" s="2" t="s">
        <v>119</v>
      </c>
      <c r="B273" s="9">
        <v>27</v>
      </c>
      <c r="C273" s="2" t="s">
        <v>1555</v>
      </c>
      <c r="D273" s="2" t="s">
        <v>1294</v>
      </c>
      <c r="E273" s="2">
        <f>+IFERROR(VLOOKUP(A273,'2122'!$A$12:$C$389,2,),0)</f>
        <v>240223</v>
      </c>
      <c r="F273" s="2">
        <v>0</v>
      </c>
      <c r="G273" s="2">
        <f t="shared" si="22"/>
        <v>240223</v>
      </c>
      <c r="H273" s="2">
        <f>+IFERROR(VLOOKUP(A273,'2122'!$A$12:$C$389,3,),0)</f>
        <v>0</v>
      </c>
      <c r="I273" s="2">
        <v>0</v>
      </c>
      <c r="J273" s="2">
        <f t="shared" si="23"/>
        <v>0</v>
      </c>
      <c r="K273" s="2">
        <v>218259</v>
      </c>
      <c r="M273" s="2">
        <v>218259</v>
      </c>
      <c r="N273" s="2">
        <v>0</v>
      </c>
      <c r="P273" s="2">
        <v>0</v>
      </c>
    </row>
    <row r="274" spans="1:16">
      <c r="A274" s="2" t="s">
        <v>636</v>
      </c>
      <c r="B274" s="9">
        <v>27</v>
      </c>
      <c r="C274" s="2" t="s">
        <v>1560</v>
      </c>
      <c r="D274" s="2" t="s">
        <v>279</v>
      </c>
      <c r="E274" s="2">
        <f>+IFERROR(VLOOKUP(A274,'2122'!$A$12:$C$389,2,),0)</f>
        <v>50000</v>
      </c>
      <c r="F274" s="2">
        <v>0</v>
      </c>
      <c r="G274" s="2">
        <f t="shared" si="22"/>
        <v>50000</v>
      </c>
      <c r="H274" s="2">
        <f>+IFERROR(VLOOKUP(A274,'2122'!$A$12:$C$389,3,),0)</f>
        <v>0</v>
      </c>
      <c r="I274" s="2">
        <v>0</v>
      </c>
      <c r="J274" s="2">
        <f t="shared" si="23"/>
        <v>0</v>
      </c>
      <c r="K274" s="2">
        <v>50000</v>
      </c>
      <c r="M274" s="2">
        <v>50000</v>
      </c>
      <c r="N274" s="2">
        <v>0</v>
      </c>
      <c r="P274" s="2">
        <v>0</v>
      </c>
    </row>
    <row r="275" spans="1:16">
      <c r="A275" s="2" t="s">
        <v>637</v>
      </c>
      <c r="B275" s="9">
        <v>27</v>
      </c>
      <c r="C275" s="2" t="s">
        <v>1555</v>
      </c>
      <c r="D275" s="2" t="s">
        <v>1294</v>
      </c>
      <c r="E275" s="2">
        <f>+IFERROR(VLOOKUP(A275,'2122'!$A$12:$C$389,2,),0)</f>
        <v>0</v>
      </c>
      <c r="F275" s="2">
        <v>0</v>
      </c>
      <c r="G275" s="2">
        <f t="shared" si="22"/>
        <v>0</v>
      </c>
      <c r="H275" s="2">
        <f>+IFERROR(VLOOKUP(A275,'2122'!$A$12:$C$389,3,),0)</f>
        <v>0</v>
      </c>
      <c r="I275" s="2">
        <v>0</v>
      </c>
      <c r="J275" s="2">
        <f t="shared" si="23"/>
        <v>0</v>
      </c>
      <c r="K275" s="2">
        <v>7700</v>
      </c>
      <c r="M275" s="2">
        <v>7700</v>
      </c>
      <c r="N275" s="2">
        <v>0</v>
      </c>
      <c r="P275" s="2">
        <v>0</v>
      </c>
    </row>
    <row r="276" spans="1:16">
      <c r="A276" s="2" t="s">
        <v>122</v>
      </c>
      <c r="B276" s="9">
        <v>27</v>
      </c>
      <c r="C276" s="2" t="s">
        <v>1555</v>
      </c>
      <c r="D276" s="2" t="s">
        <v>1295</v>
      </c>
      <c r="E276" s="2">
        <f>+IFERROR(VLOOKUP(A276,'2122'!$A$12:$C$389,2,),0)</f>
        <v>3282001</v>
      </c>
      <c r="F276" s="2">
        <v>0</v>
      </c>
      <c r="G276" s="2">
        <f t="shared" si="22"/>
        <v>3282001</v>
      </c>
      <c r="H276" s="2">
        <f>+IFERROR(VLOOKUP(A276,'2122'!$A$12:$C$389,3,),0)</f>
        <v>0</v>
      </c>
      <c r="I276" s="2">
        <v>0</v>
      </c>
      <c r="J276" s="2">
        <f t="shared" si="23"/>
        <v>0</v>
      </c>
      <c r="K276" s="2">
        <v>2854617</v>
      </c>
      <c r="M276" s="2">
        <v>2854617</v>
      </c>
      <c r="N276" s="2">
        <v>0</v>
      </c>
      <c r="P276" s="2">
        <v>0</v>
      </c>
    </row>
    <row r="277" spans="1:16">
      <c r="A277" s="2" t="s">
        <v>638</v>
      </c>
      <c r="B277" s="9">
        <v>17</v>
      </c>
      <c r="C277" s="2" t="s">
        <v>415</v>
      </c>
      <c r="D277" s="2" t="s">
        <v>416</v>
      </c>
      <c r="E277" s="2">
        <f>+IFERROR(VLOOKUP(A277,'2122'!$A$12:$C$389,2,),0)</f>
        <v>0</v>
      </c>
      <c r="F277" s="2">
        <v>0</v>
      </c>
      <c r="G277" s="2">
        <f t="shared" si="22"/>
        <v>0</v>
      </c>
      <c r="H277" s="2">
        <f>+IFERROR(VLOOKUP(A277,'2122'!$A$12:$C$389,3,),0)</f>
        <v>387409</v>
      </c>
      <c r="I277" s="2">
        <v>0</v>
      </c>
      <c r="J277" s="2">
        <f t="shared" si="23"/>
        <v>387409</v>
      </c>
      <c r="K277" s="2">
        <v>0</v>
      </c>
      <c r="M277" s="2">
        <v>0</v>
      </c>
      <c r="N277" s="2">
        <v>279076</v>
      </c>
      <c r="P277" s="2">
        <v>279076</v>
      </c>
    </row>
    <row r="278" spans="1:16">
      <c r="A278" s="2" t="s">
        <v>639</v>
      </c>
      <c r="B278" s="9">
        <v>17</v>
      </c>
      <c r="C278" s="2" t="s">
        <v>415</v>
      </c>
      <c r="D278" s="2" t="s">
        <v>415</v>
      </c>
      <c r="E278" s="2">
        <f>+IFERROR(VLOOKUP(A278,'2122'!$A$12:$C$389,2,),0)</f>
        <v>0</v>
      </c>
      <c r="F278" s="2">
        <v>0</v>
      </c>
      <c r="G278" s="2">
        <f t="shared" si="22"/>
        <v>0</v>
      </c>
      <c r="H278" s="2">
        <f>+IFERROR(VLOOKUP(A278,'2122'!$A$12:$C$389,3,),0)</f>
        <v>0</v>
      </c>
      <c r="I278" s="2">
        <v>0</v>
      </c>
      <c r="J278" s="2">
        <f t="shared" si="23"/>
        <v>0</v>
      </c>
      <c r="K278" s="2">
        <v>0</v>
      </c>
      <c r="M278" s="2">
        <v>0</v>
      </c>
      <c r="N278" s="2">
        <v>0</v>
      </c>
      <c r="P278" s="2">
        <v>0</v>
      </c>
    </row>
    <row r="279" spans="1:16">
      <c r="A279" s="2" t="s">
        <v>640</v>
      </c>
      <c r="B279" s="9">
        <v>17</v>
      </c>
      <c r="C279" s="2" t="s">
        <v>415</v>
      </c>
      <c r="D279" s="2" t="s">
        <v>415</v>
      </c>
      <c r="E279" s="2">
        <f>+IFERROR(VLOOKUP(A279,'2122'!$A$12:$C$389,2,),0)</f>
        <v>0</v>
      </c>
      <c r="F279" s="2">
        <v>0</v>
      </c>
      <c r="G279" s="2">
        <f t="shared" si="22"/>
        <v>0</v>
      </c>
      <c r="H279" s="2">
        <f>+IFERROR(VLOOKUP(A279,'2122'!$A$12:$C$389,3,),0)</f>
        <v>0</v>
      </c>
      <c r="I279" s="2">
        <v>0</v>
      </c>
      <c r="J279" s="2">
        <f t="shared" si="23"/>
        <v>0</v>
      </c>
      <c r="K279" s="2">
        <v>0</v>
      </c>
      <c r="M279" s="2">
        <v>0</v>
      </c>
      <c r="N279" s="2">
        <v>0</v>
      </c>
      <c r="P279" s="2">
        <v>0</v>
      </c>
    </row>
    <row r="280" spans="1:16">
      <c r="A280" s="2" t="s">
        <v>641</v>
      </c>
      <c r="B280" s="9">
        <v>3</v>
      </c>
      <c r="C280" s="2" t="s">
        <v>1549</v>
      </c>
      <c r="D280" s="2" t="s">
        <v>603</v>
      </c>
      <c r="E280" s="2">
        <f>+IFERROR(VLOOKUP(A280,'2122'!$A$12:$C$389,2,),0)</f>
        <v>0</v>
      </c>
      <c r="F280" s="2">
        <v>0</v>
      </c>
      <c r="G280" s="2">
        <f t="shared" si="22"/>
        <v>0</v>
      </c>
      <c r="H280" s="2">
        <f>+IFERROR(VLOOKUP(A280,'2122'!$A$12:$C$389,3,),0)</f>
        <v>0</v>
      </c>
      <c r="I280" s="2">
        <v>0</v>
      </c>
      <c r="J280" s="2">
        <f t="shared" si="23"/>
        <v>0</v>
      </c>
      <c r="K280" s="2">
        <v>0</v>
      </c>
      <c r="M280" s="2">
        <v>0</v>
      </c>
      <c r="N280" s="2">
        <v>0</v>
      </c>
      <c r="P280" s="2">
        <v>0</v>
      </c>
    </row>
    <row r="281" spans="1:16">
      <c r="A281" s="2" t="s">
        <v>642</v>
      </c>
      <c r="B281" s="9">
        <v>3</v>
      </c>
      <c r="C281" s="2" t="s">
        <v>1549</v>
      </c>
      <c r="D281" s="2" t="s">
        <v>603</v>
      </c>
      <c r="E281" s="2">
        <f>+IFERROR(VLOOKUP(A281,'2122'!$A$12:$C$389,2,),0)</f>
        <v>0</v>
      </c>
      <c r="F281" s="2">
        <v>0</v>
      </c>
      <c r="G281" s="2">
        <f t="shared" si="22"/>
        <v>0</v>
      </c>
      <c r="H281" s="2">
        <f>+IFERROR(VLOOKUP(A281,'2122'!$A$12:$C$389,3,),0)</f>
        <v>0</v>
      </c>
      <c r="I281" s="2">
        <v>0</v>
      </c>
      <c r="J281" s="2">
        <f t="shared" si="23"/>
        <v>0</v>
      </c>
      <c r="K281" s="2">
        <v>0</v>
      </c>
      <c r="M281" s="2">
        <v>0</v>
      </c>
      <c r="N281" s="2">
        <v>0</v>
      </c>
      <c r="P281" s="2">
        <v>0</v>
      </c>
    </row>
    <row r="282" spans="1:16">
      <c r="A282" s="2" t="s">
        <v>125</v>
      </c>
      <c r="B282" s="9">
        <v>3</v>
      </c>
      <c r="C282" s="2" t="s">
        <v>1549</v>
      </c>
      <c r="D282" s="2" t="s">
        <v>603</v>
      </c>
      <c r="E282" s="2">
        <f>+IFERROR(VLOOKUP(A282,'2122'!$A$12:$C$389,2,),0)</f>
        <v>1767870</v>
      </c>
      <c r="F282" s="2">
        <v>0</v>
      </c>
      <c r="G282" s="2">
        <f t="shared" si="22"/>
        <v>1767870</v>
      </c>
      <c r="H282" s="2">
        <f>+IFERROR(VLOOKUP(A282,'2122'!$A$12:$C$389,3,),0)</f>
        <v>0</v>
      </c>
      <c r="I282" s="2">
        <v>0</v>
      </c>
      <c r="J282" s="2">
        <f t="shared" si="23"/>
        <v>0</v>
      </c>
      <c r="K282" s="2">
        <v>1654054</v>
      </c>
      <c r="M282" s="2">
        <v>1654054</v>
      </c>
      <c r="N282" s="2">
        <v>0</v>
      </c>
      <c r="P282" s="2">
        <v>0</v>
      </c>
    </row>
    <row r="283" spans="1:16">
      <c r="A283" s="2" t="s">
        <v>126</v>
      </c>
      <c r="B283" s="9">
        <v>22</v>
      </c>
      <c r="C283" s="2" t="s">
        <v>491</v>
      </c>
      <c r="D283" s="2" t="s">
        <v>643</v>
      </c>
      <c r="E283" s="2">
        <f>+IFERROR(VLOOKUP(A283,'2122'!$A$12:$C$389,2,),0)</f>
        <v>0</v>
      </c>
      <c r="F283" s="2">
        <v>0</v>
      </c>
      <c r="G283" s="2">
        <f t="shared" si="22"/>
        <v>0</v>
      </c>
      <c r="H283" s="2">
        <f>+IFERROR(VLOOKUP(A283,'2122'!$A$12:$C$389,3,),0)</f>
        <v>1231216</v>
      </c>
      <c r="I283" s="2">
        <v>0</v>
      </c>
      <c r="J283" s="2">
        <f t="shared" si="23"/>
        <v>1231216</v>
      </c>
      <c r="K283" s="2">
        <v>0</v>
      </c>
      <c r="M283" s="2">
        <v>0</v>
      </c>
      <c r="N283" s="2">
        <v>1088007</v>
      </c>
      <c r="P283" s="2">
        <v>1088007</v>
      </c>
    </row>
    <row r="284" spans="1:16">
      <c r="A284" s="2" t="s">
        <v>127</v>
      </c>
      <c r="B284" s="9">
        <v>23</v>
      </c>
      <c r="C284" s="2" t="s">
        <v>573</v>
      </c>
      <c r="D284" s="2" t="s">
        <v>574</v>
      </c>
      <c r="E284" s="2">
        <f>+IFERROR(VLOOKUP(A284,'2122'!$A$12:$C$389,2,),0)</f>
        <v>150805</v>
      </c>
      <c r="F284" s="2">
        <v>0</v>
      </c>
      <c r="G284" s="2">
        <f t="shared" si="22"/>
        <v>150805</v>
      </c>
      <c r="H284" s="2">
        <f>+IFERROR(VLOOKUP(A284,'2122'!$A$12:$C$389,3,),0)</f>
        <v>0</v>
      </c>
      <c r="I284" s="2">
        <v>0</v>
      </c>
      <c r="J284" s="2">
        <f t="shared" si="23"/>
        <v>0</v>
      </c>
      <c r="K284" s="2">
        <v>202312.89</v>
      </c>
      <c r="M284" s="2">
        <v>202312.89</v>
      </c>
      <c r="N284" s="2">
        <v>0</v>
      </c>
      <c r="P284" s="2">
        <v>0</v>
      </c>
    </row>
    <row r="285" spans="1:16">
      <c r="A285" s="2" t="s">
        <v>644</v>
      </c>
      <c r="B285" s="9">
        <v>17</v>
      </c>
      <c r="C285" s="2" t="s">
        <v>415</v>
      </c>
      <c r="D285" s="2" t="s">
        <v>416</v>
      </c>
      <c r="E285" s="2">
        <f>+IFERROR(VLOOKUP(A285,'2122'!$A$12:$C$389,2,),0)</f>
        <v>0</v>
      </c>
      <c r="F285" s="2">
        <v>0</v>
      </c>
      <c r="G285" s="2">
        <f t="shared" si="22"/>
        <v>0</v>
      </c>
      <c r="H285" s="2">
        <f>+IFERROR(VLOOKUP(A285,'2122'!$A$12:$C$389,3,),0)</f>
        <v>0</v>
      </c>
      <c r="I285" s="2">
        <v>0</v>
      </c>
      <c r="J285" s="2">
        <f t="shared" si="23"/>
        <v>0</v>
      </c>
      <c r="K285" s="2">
        <v>0</v>
      </c>
      <c r="M285" s="2">
        <v>0</v>
      </c>
      <c r="N285" s="2">
        <v>0</v>
      </c>
      <c r="P285" s="2">
        <v>0</v>
      </c>
    </row>
    <row r="286" spans="1:16">
      <c r="A286" s="2" t="s">
        <v>128</v>
      </c>
      <c r="B286" s="9">
        <v>2</v>
      </c>
      <c r="C286" s="2" t="s">
        <v>1072</v>
      </c>
      <c r="D286" s="2" t="s">
        <v>522</v>
      </c>
      <c r="E286" s="2">
        <f>+IFERROR(VLOOKUP(A286,'2122'!$A$12:$C$389,2,),0)</f>
        <v>33965000</v>
      </c>
      <c r="F286" s="2">
        <v>0</v>
      </c>
      <c r="G286" s="2">
        <f t="shared" si="22"/>
        <v>33965000</v>
      </c>
      <c r="H286" s="2">
        <f>+IFERROR(VLOOKUP(A286,'2122'!$A$12:$C$389,3,),0)</f>
        <v>0</v>
      </c>
      <c r="I286" s="2">
        <v>0</v>
      </c>
      <c r="J286" s="2">
        <f t="shared" si="23"/>
        <v>0</v>
      </c>
      <c r="K286" s="2">
        <v>33965000</v>
      </c>
      <c r="M286" s="2">
        <v>33965000</v>
      </c>
      <c r="N286" s="2">
        <v>0</v>
      </c>
      <c r="P286" s="2">
        <v>0</v>
      </c>
    </row>
    <row r="287" spans="1:16">
      <c r="A287" s="2" t="s">
        <v>645</v>
      </c>
      <c r="B287" s="9">
        <v>21</v>
      </c>
      <c r="C287" s="2" t="s">
        <v>621</v>
      </c>
      <c r="D287" s="2" t="s">
        <v>622</v>
      </c>
      <c r="E287" s="2">
        <f>+IFERROR(VLOOKUP(A287,'2122'!$A$12:$C$389,2,),0)</f>
        <v>0</v>
      </c>
      <c r="F287" s="2">
        <v>0</v>
      </c>
      <c r="G287" s="2">
        <f t="shared" si="22"/>
        <v>0</v>
      </c>
      <c r="H287" s="2">
        <f>+IFERROR(VLOOKUP(A287,'2122'!$A$12:$C$389,3,),0)</f>
        <v>0</v>
      </c>
      <c r="I287" s="2">
        <v>0</v>
      </c>
      <c r="J287" s="2">
        <f t="shared" si="23"/>
        <v>0</v>
      </c>
      <c r="K287" s="2">
        <v>8000</v>
      </c>
      <c r="M287" s="2">
        <v>8000</v>
      </c>
      <c r="N287" s="2">
        <v>0</v>
      </c>
      <c r="P287" s="2">
        <v>0</v>
      </c>
    </row>
    <row r="288" spans="1:16">
      <c r="A288" s="2" t="s">
        <v>130</v>
      </c>
      <c r="B288" s="9">
        <v>2</v>
      </c>
      <c r="C288" s="2" t="s">
        <v>1072</v>
      </c>
      <c r="D288" s="2" t="s">
        <v>522</v>
      </c>
      <c r="E288" s="2">
        <f>+IFERROR(VLOOKUP(A288,'2122'!$A$12:$C$389,2,),0)</f>
        <v>1344196.03</v>
      </c>
      <c r="F288" s="2">
        <v>0</v>
      </c>
      <c r="G288" s="2">
        <f t="shared" si="22"/>
        <v>1344196.03</v>
      </c>
      <c r="H288" s="2">
        <f>+IFERROR(VLOOKUP(A288,'2122'!$A$12:$C$389,3,),0)</f>
        <v>0</v>
      </c>
      <c r="I288" s="2">
        <v>0</v>
      </c>
      <c r="J288" s="2">
        <f t="shared" si="23"/>
        <v>0</v>
      </c>
      <c r="K288" s="2">
        <v>1330213.03</v>
      </c>
      <c r="M288" s="2">
        <v>1330213.03</v>
      </c>
      <c r="N288" s="2">
        <v>0</v>
      </c>
      <c r="P288" s="2">
        <v>0</v>
      </c>
    </row>
    <row r="289" spans="1:16">
      <c r="A289" s="2" t="s">
        <v>646</v>
      </c>
      <c r="B289" s="9">
        <v>17</v>
      </c>
      <c r="C289" s="2" t="s">
        <v>415</v>
      </c>
      <c r="D289" s="2" t="s">
        <v>415</v>
      </c>
      <c r="E289" s="2">
        <f>+IFERROR(VLOOKUP(A289,'2122'!$A$12:$C$389,2,),0)</f>
        <v>0</v>
      </c>
      <c r="F289" s="2">
        <v>0</v>
      </c>
      <c r="G289" s="2">
        <f t="shared" si="22"/>
        <v>0</v>
      </c>
      <c r="H289" s="2">
        <f>+IFERROR(VLOOKUP(A289,'2122'!$A$12:$C$389,3,),0)</f>
        <v>0</v>
      </c>
      <c r="I289" s="2">
        <v>0</v>
      </c>
      <c r="J289" s="2">
        <f t="shared" si="23"/>
        <v>0</v>
      </c>
      <c r="K289" s="2">
        <v>0</v>
      </c>
      <c r="M289" s="2">
        <v>0</v>
      </c>
      <c r="N289" s="2">
        <v>57671</v>
      </c>
      <c r="P289" s="2">
        <v>57671</v>
      </c>
    </row>
    <row r="290" spans="1:16">
      <c r="A290" s="2" t="s">
        <v>647</v>
      </c>
      <c r="B290" s="9">
        <v>17</v>
      </c>
      <c r="C290" s="2" t="s">
        <v>415</v>
      </c>
      <c r="D290" s="2" t="s">
        <v>415</v>
      </c>
      <c r="E290" s="2">
        <f>+IFERROR(VLOOKUP(A290,'2122'!$A$12:$C$389,2,),0)</f>
        <v>0</v>
      </c>
      <c r="F290" s="2">
        <v>0</v>
      </c>
      <c r="G290" s="2">
        <f t="shared" si="22"/>
        <v>0</v>
      </c>
      <c r="H290" s="2">
        <f>+IFERROR(VLOOKUP(A290,'2122'!$A$12:$C$389,3,),0)</f>
        <v>0</v>
      </c>
      <c r="I290" s="2">
        <v>0</v>
      </c>
      <c r="J290" s="2">
        <f t="shared" si="23"/>
        <v>0</v>
      </c>
      <c r="K290" s="2">
        <v>0</v>
      </c>
      <c r="M290" s="2">
        <v>0</v>
      </c>
      <c r="N290" s="2">
        <v>0</v>
      </c>
      <c r="P290" s="2">
        <v>0</v>
      </c>
    </row>
    <row r="291" spans="1:16">
      <c r="A291" s="2" t="s">
        <v>132</v>
      </c>
      <c r="C291" s="2" t="s">
        <v>524</v>
      </c>
      <c r="D291" s="2" t="s">
        <v>648</v>
      </c>
      <c r="E291" s="2">
        <f>+IFERROR(VLOOKUP(A291,'2122'!$A$12:$C$389,2,),0)</f>
        <v>0</v>
      </c>
      <c r="F291" s="2">
        <v>0</v>
      </c>
      <c r="G291" s="2">
        <f t="shared" si="22"/>
        <v>0</v>
      </c>
      <c r="H291" s="2">
        <f>+IFERROR(VLOOKUP(A291,'2122'!$A$12:$C$389,3,),0)</f>
        <v>1800000</v>
      </c>
      <c r="I291" s="2">
        <v>0</v>
      </c>
      <c r="J291" s="2">
        <f t="shared" si="23"/>
        <v>1800000</v>
      </c>
      <c r="K291" s="2">
        <v>0</v>
      </c>
      <c r="M291" s="2">
        <v>0</v>
      </c>
      <c r="N291" s="2">
        <v>1800000</v>
      </c>
      <c r="P291" s="2">
        <v>1800000</v>
      </c>
    </row>
    <row r="292" spans="1:16">
      <c r="A292" s="2" t="s">
        <v>649</v>
      </c>
      <c r="B292" s="9">
        <v>17</v>
      </c>
      <c r="C292" s="2" t="s">
        <v>415</v>
      </c>
      <c r="D292" s="2" t="s">
        <v>415</v>
      </c>
      <c r="E292" s="2">
        <f>+IFERROR(VLOOKUP(A292,'2122'!$A$12:$C$389,2,),0)</f>
        <v>0</v>
      </c>
      <c r="F292" s="2">
        <v>0</v>
      </c>
      <c r="G292" s="2">
        <f t="shared" si="22"/>
        <v>0</v>
      </c>
      <c r="H292" s="2">
        <f>+IFERROR(VLOOKUP(A292,'2122'!$A$12:$C$389,3,),0)</f>
        <v>0</v>
      </c>
      <c r="I292" s="2">
        <v>0</v>
      </c>
      <c r="J292" s="2">
        <f t="shared" si="23"/>
        <v>0</v>
      </c>
      <c r="K292" s="2">
        <v>0</v>
      </c>
      <c r="M292" s="2">
        <v>0</v>
      </c>
      <c r="N292" s="2">
        <v>0</v>
      </c>
      <c r="P292" s="2">
        <v>0</v>
      </c>
    </row>
    <row r="293" spans="1:16">
      <c r="A293" s="2" t="s">
        <v>650</v>
      </c>
      <c r="B293" s="9">
        <v>25</v>
      </c>
      <c r="C293" s="2" t="s">
        <v>619</v>
      </c>
      <c r="D293" s="2" t="s">
        <v>632</v>
      </c>
      <c r="E293" s="2">
        <f>+IFERROR(VLOOKUP(A293,'2122'!$A$12:$C$389,2,),0)</f>
        <v>912232</v>
      </c>
      <c r="F293" s="2">
        <v>0</v>
      </c>
      <c r="G293" s="2">
        <f t="shared" si="22"/>
        <v>912232</v>
      </c>
      <c r="H293" s="2">
        <f>+IFERROR(VLOOKUP(A293,'2122'!$A$12:$C$389,3,),0)</f>
        <v>0</v>
      </c>
      <c r="I293" s="2">
        <v>0</v>
      </c>
      <c r="J293" s="2">
        <f t="shared" si="23"/>
        <v>0</v>
      </c>
      <c r="K293" s="2">
        <v>921661</v>
      </c>
      <c r="L293" s="2">
        <v>-1255580</v>
      </c>
      <c r="M293" s="2">
        <v>-333919</v>
      </c>
      <c r="N293" s="2">
        <v>0</v>
      </c>
      <c r="P293" s="2">
        <v>0</v>
      </c>
    </row>
    <row r="294" spans="1:16">
      <c r="A294" s="2" t="s">
        <v>651</v>
      </c>
      <c r="B294" s="9">
        <v>17</v>
      </c>
      <c r="C294" s="2" t="s">
        <v>415</v>
      </c>
      <c r="D294" s="2" t="s">
        <v>416</v>
      </c>
      <c r="E294" s="2">
        <f>+IFERROR(VLOOKUP(A294,'2122'!$A$12:$C$389,2,),0)</f>
        <v>0</v>
      </c>
      <c r="F294" s="2">
        <v>0</v>
      </c>
      <c r="G294" s="2">
        <f t="shared" si="22"/>
        <v>0</v>
      </c>
      <c r="H294" s="2">
        <f>+IFERROR(VLOOKUP(A294,'2122'!$A$12:$C$389,3,),0)</f>
        <v>0</v>
      </c>
      <c r="I294" s="2">
        <v>0</v>
      </c>
      <c r="J294" s="2">
        <f t="shared" si="23"/>
        <v>0</v>
      </c>
      <c r="K294" s="2">
        <v>0</v>
      </c>
      <c r="M294" s="2">
        <v>0</v>
      </c>
      <c r="N294" s="2">
        <v>0</v>
      </c>
      <c r="P294" s="2">
        <v>0</v>
      </c>
    </row>
    <row r="295" spans="1:16">
      <c r="A295" s="2" t="s">
        <v>652</v>
      </c>
      <c r="B295" s="9">
        <v>17</v>
      </c>
      <c r="C295" s="2" t="s">
        <v>415</v>
      </c>
      <c r="D295" s="2" t="s">
        <v>416</v>
      </c>
      <c r="E295" s="2">
        <f>+IFERROR(VLOOKUP(A295,'2122'!$A$12:$C$389,2,),0)</f>
        <v>0</v>
      </c>
      <c r="F295" s="2">
        <v>0</v>
      </c>
      <c r="G295" s="2">
        <f t="shared" si="22"/>
        <v>0</v>
      </c>
      <c r="H295" s="2">
        <f>+IFERROR(VLOOKUP(A295,'2122'!$A$12:$C$389,3,),0)</f>
        <v>0</v>
      </c>
      <c r="I295" s="2">
        <v>0</v>
      </c>
      <c r="J295" s="2">
        <f t="shared" si="23"/>
        <v>0</v>
      </c>
      <c r="K295" s="2">
        <v>0</v>
      </c>
      <c r="M295" s="2">
        <v>0</v>
      </c>
      <c r="N295" s="2">
        <v>116424</v>
      </c>
      <c r="P295" s="2">
        <v>116424</v>
      </c>
    </row>
    <row r="296" spans="1:16">
      <c r="A296" s="2" t="s">
        <v>653</v>
      </c>
      <c r="B296" s="9">
        <v>27</v>
      </c>
      <c r="C296" s="2" t="s">
        <v>1560</v>
      </c>
      <c r="D296" s="2" t="s">
        <v>1312</v>
      </c>
      <c r="E296" s="2">
        <f>+IFERROR(VLOOKUP(A296,'2122'!$A$12:$C$389,2,),0)</f>
        <v>0</v>
      </c>
      <c r="F296" s="2">
        <v>0</v>
      </c>
      <c r="G296" s="2">
        <f t="shared" si="22"/>
        <v>0</v>
      </c>
      <c r="H296" s="2">
        <f>+IFERROR(VLOOKUP(A296,'2122'!$A$12:$C$389,3,),0)</f>
        <v>0</v>
      </c>
      <c r="I296" s="2">
        <v>0</v>
      </c>
      <c r="J296" s="2">
        <f t="shared" si="23"/>
        <v>0</v>
      </c>
      <c r="K296" s="2">
        <v>0</v>
      </c>
      <c r="M296" s="2">
        <v>0</v>
      </c>
      <c r="N296" s="2">
        <v>0</v>
      </c>
      <c r="P296" s="2">
        <v>0</v>
      </c>
    </row>
    <row r="297" spans="1:16">
      <c r="A297" s="2" t="s">
        <v>654</v>
      </c>
      <c r="B297" s="9">
        <v>27</v>
      </c>
      <c r="C297" s="2" t="s">
        <v>1560</v>
      </c>
      <c r="D297" s="2" t="s">
        <v>1561</v>
      </c>
      <c r="E297" s="2">
        <f>+IFERROR(VLOOKUP(A297,'2122'!$A$12:$C$389,2,),0)</f>
        <v>0</v>
      </c>
      <c r="F297" s="2">
        <v>0</v>
      </c>
      <c r="G297" s="2">
        <f t="shared" si="22"/>
        <v>0</v>
      </c>
      <c r="H297" s="2">
        <f>+IFERROR(VLOOKUP(A297,'2122'!$A$12:$C$389,3,),0)</f>
        <v>0</v>
      </c>
      <c r="I297" s="2">
        <v>0</v>
      </c>
      <c r="J297" s="2">
        <f t="shared" si="23"/>
        <v>0</v>
      </c>
      <c r="K297" s="2">
        <v>45000</v>
      </c>
      <c r="M297" s="2">
        <v>45000</v>
      </c>
      <c r="N297" s="2">
        <v>0</v>
      </c>
      <c r="P297" s="2">
        <v>0</v>
      </c>
    </row>
    <row r="298" spans="1:16">
      <c r="A298" s="2" t="s">
        <v>1826</v>
      </c>
      <c r="B298" s="9">
        <v>27</v>
      </c>
      <c r="C298" s="2" t="s">
        <v>1560</v>
      </c>
      <c r="D298" s="2" t="s">
        <v>1561</v>
      </c>
      <c r="E298" s="2">
        <f>+IFERROR(VLOOKUP(A298,'2122'!$A$12:$C$389,2,),0)</f>
        <v>30000</v>
      </c>
      <c r="F298" s="2">
        <v>0</v>
      </c>
      <c r="G298" s="2">
        <f t="shared" ref="G298" si="24">+E298+F298</f>
        <v>30000</v>
      </c>
      <c r="H298" s="2">
        <f>+IFERROR(VLOOKUP(A298,'2122'!$A$12:$C$389,3,),0)</f>
        <v>0</v>
      </c>
      <c r="I298" s="2">
        <v>0</v>
      </c>
      <c r="J298" s="2">
        <f t="shared" ref="J298" si="25">+H298+I298</f>
        <v>0</v>
      </c>
      <c r="K298" s="2">
        <v>45000</v>
      </c>
    </row>
    <row r="299" spans="1:16">
      <c r="A299" s="2" t="s">
        <v>655</v>
      </c>
      <c r="B299" s="9">
        <v>27</v>
      </c>
      <c r="C299" s="2" t="s">
        <v>1560</v>
      </c>
      <c r="D299" s="2" t="s">
        <v>1561</v>
      </c>
      <c r="E299" s="2">
        <f>+IFERROR(VLOOKUP(A299,'2122'!$A$12:$C$389,2,),0)</f>
        <v>0</v>
      </c>
      <c r="F299" s="2">
        <v>0</v>
      </c>
      <c r="G299" s="2">
        <f t="shared" si="22"/>
        <v>0</v>
      </c>
      <c r="H299" s="2">
        <f>+IFERROR(VLOOKUP(A299,'2122'!$A$12:$C$389,3,),0)</f>
        <v>0</v>
      </c>
      <c r="I299" s="2">
        <v>0</v>
      </c>
      <c r="J299" s="2">
        <f t="shared" si="23"/>
        <v>0</v>
      </c>
      <c r="K299" s="2">
        <v>0</v>
      </c>
      <c r="M299" s="2">
        <v>0</v>
      </c>
      <c r="N299" s="2">
        <v>0</v>
      </c>
      <c r="P299" s="2">
        <v>0</v>
      </c>
    </row>
    <row r="300" spans="1:16">
      <c r="A300" s="2" t="s">
        <v>656</v>
      </c>
      <c r="B300" s="9">
        <v>27</v>
      </c>
      <c r="C300" s="2" t="s">
        <v>1560</v>
      </c>
      <c r="D300" s="2" t="s">
        <v>1561</v>
      </c>
      <c r="E300" s="2">
        <f>+IFERROR(VLOOKUP(A300,'2122'!$A$12:$C$389,2,),0)</f>
        <v>0</v>
      </c>
      <c r="F300" s="2">
        <v>0</v>
      </c>
      <c r="G300" s="2">
        <f t="shared" si="22"/>
        <v>0</v>
      </c>
      <c r="H300" s="2">
        <f>+IFERROR(VLOOKUP(A300,'2122'!$A$12:$C$389,3,),0)</f>
        <v>0</v>
      </c>
      <c r="I300" s="2">
        <v>0</v>
      </c>
      <c r="J300" s="2">
        <f t="shared" si="23"/>
        <v>0</v>
      </c>
      <c r="K300" s="2">
        <v>0</v>
      </c>
      <c r="M300" s="2">
        <v>0</v>
      </c>
      <c r="N300" s="2">
        <v>0</v>
      </c>
      <c r="P300" s="2">
        <v>0</v>
      </c>
    </row>
    <row r="301" spans="1:16">
      <c r="A301" s="2" t="s">
        <v>657</v>
      </c>
      <c r="B301" s="9">
        <v>27</v>
      </c>
      <c r="C301" s="2" t="s">
        <v>1560</v>
      </c>
      <c r="D301" s="2" t="s">
        <v>1561</v>
      </c>
      <c r="E301" s="2">
        <f>+IFERROR(VLOOKUP(A301,'2122'!$A$12:$C$389,2,),0)</f>
        <v>0</v>
      </c>
      <c r="F301" s="2">
        <v>0</v>
      </c>
      <c r="G301" s="2">
        <f t="shared" si="22"/>
        <v>0</v>
      </c>
      <c r="H301" s="2">
        <f>+IFERROR(VLOOKUP(A301,'2122'!$A$12:$C$389,3,),0)</f>
        <v>0</v>
      </c>
      <c r="I301" s="2">
        <v>0</v>
      </c>
      <c r="J301" s="2">
        <f t="shared" si="23"/>
        <v>0</v>
      </c>
      <c r="K301" s="2">
        <v>0</v>
      </c>
      <c r="M301" s="2">
        <v>0</v>
      </c>
      <c r="N301" s="2">
        <v>0</v>
      </c>
      <c r="P301" s="2">
        <v>0</v>
      </c>
    </row>
    <row r="302" spans="1:16">
      <c r="A302" s="2" t="s">
        <v>658</v>
      </c>
      <c r="B302" s="9">
        <v>27</v>
      </c>
      <c r="C302" s="2" t="s">
        <v>1560</v>
      </c>
      <c r="D302" s="2" t="s">
        <v>1561</v>
      </c>
      <c r="E302" s="2">
        <f>+IFERROR(VLOOKUP(A302,'2122'!$A$12:$C$389,2,),0)</f>
        <v>0</v>
      </c>
      <c r="F302" s="2">
        <v>0</v>
      </c>
      <c r="G302" s="2">
        <f t="shared" si="22"/>
        <v>0</v>
      </c>
      <c r="H302" s="2">
        <f>+IFERROR(VLOOKUP(A302,'2122'!$A$12:$C$389,3,),0)</f>
        <v>0</v>
      </c>
      <c r="I302" s="2">
        <v>0</v>
      </c>
      <c r="J302" s="2">
        <f t="shared" si="23"/>
        <v>0</v>
      </c>
      <c r="K302" s="2">
        <v>0</v>
      </c>
      <c r="M302" s="2">
        <v>0</v>
      </c>
      <c r="N302" s="2">
        <v>0</v>
      </c>
      <c r="P302" s="2">
        <v>0</v>
      </c>
    </row>
    <row r="303" spans="1:16">
      <c r="A303" s="2" t="s">
        <v>659</v>
      </c>
      <c r="B303" s="9">
        <v>17</v>
      </c>
      <c r="C303" s="2" t="s">
        <v>415</v>
      </c>
      <c r="D303" s="2" t="s">
        <v>416</v>
      </c>
      <c r="E303" s="2">
        <f>+IFERROR(VLOOKUP(A303,'2122'!$A$12:$C$389,2,),0)</f>
        <v>0</v>
      </c>
      <c r="F303" s="2">
        <v>0</v>
      </c>
      <c r="G303" s="2">
        <f t="shared" si="22"/>
        <v>0</v>
      </c>
      <c r="H303" s="2">
        <f>+IFERROR(VLOOKUP(A303,'2122'!$A$12:$C$389,3,),0)</f>
        <v>0</v>
      </c>
      <c r="I303" s="2">
        <v>0</v>
      </c>
      <c r="J303" s="2">
        <f t="shared" si="23"/>
        <v>0</v>
      </c>
      <c r="K303" s="2">
        <v>0</v>
      </c>
      <c r="M303" s="2">
        <v>0</v>
      </c>
      <c r="N303" s="2">
        <v>0</v>
      </c>
      <c r="P303" s="2">
        <v>0</v>
      </c>
    </row>
    <row r="304" spans="1:16">
      <c r="A304" s="2" t="s">
        <v>1828</v>
      </c>
      <c r="B304" s="9">
        <v>17</v>
      </c>
      <c r="C304" s="2" t="s">
        <v>415</v>
      </c>
      <c r="D304" s="2" t="s">
        <v>416</v>
      </c>
      <c r="E304" s="2">
        <f>+IFERROR(VLOOKUP(A304,'2122'!$A$12:$C$389,2,),0)</f>
        <v>0</v>
      </c>
      <c r="F304" s="2">
        <v>0</v>
      </c>
      <c r="G304" s="2">
        <f t="shared" ref="G304" si="26">+E304+F304</f>
        <v>0</v>
      </c>
      <c r="H304" s="2">
        <f>+IFERROR(VLOOKUP(A304,'2122'!$A$12:$C$389,3,),0)</f>
        <v>30000</v>
      </c>
      <c r="I304" s="2">
        <v>0</v>
      </c>
      <c r="J304" s="2">
        <f t="shared" ref="J304" si="27">+H304+I304</f>
        <v>30000</v>
      </c>
      <c r="K304" s="2">
        <v>0</v>
      </c>
      <c r="M304" s="2">
        <v>0</v>
      </c>
    </row>
    <row r="305" spans="1:16">
      <c r="A305" s="2" t="s">
        <v>135</v>
      </c>
      <c r="B305" s="9">
        <v>27</v>
      </c>
      <c r="C305" s="2" t="s">
        <v>1560</v>
      </c>
      <c r="D305" s="2" t="s">
        <v>1312</v>
      </c>
      <c r="E305" s="2">
        <f>+IFERROR(VLOOKUP(A305,'2122'!$A$12:$C$389,2,),0)</f>
        <v>18000</v>
      </c>
      <c r="F305" s="2">
        <v>0</v>
      </c>
      <c r="G305" s="2">
        <f t="shared" si="22"/>
        <v>18000</v>
      </c>
      <c r="H305" s="2">
        <f>+IFERROR(VLOOKUP(A305,'2122'!$A$12:$C$389,3,),0)</f>
        <v>0</v>
      </c>
      <c r="I305" s="2">
        <v>0</v>
      </c>
      <c r="J305" s="2">
        <f t="shared" si="23"/>
        <v>0</v>
      </c>
      <c r="K305" s="2">
        <v>36000</v>
      </c>
      <c r="M305" s="2">
        <v>36000</v>
      </c>
      <c r="N305" s="2">
        <v>0</v>
      </c>
      <c r="P305" s="2">
        <v>0</v>
      </c>
    </row>
    <row r="306" spans="1:16">
      <c r="A306" s="2" t="s">
        <v>660</v>
      </c>
      <c r="B306" s="9">
        <v>17</v>
      </c>
      <c r="C306" s="2" t="s">
        <v>415</v>
      </c>
      <c r="D306" s="2" t="s">
        <v>415</v>
      </c>
      <c r="E306" s="2">
        <f>+IFERROR(VLOOKUP(A306,'2122'!$A$12:$C$389,2,),0)</f>
        <v>0</v>
      </c>
      <c r="F306" s="2">
        <v>0</v>
      </c>
      <c r="G306" s="2">
        <f t="shared" si="22"/>
        <v>0</v>
      </c>
      <c r="H306" s="2">
        <f>+IFERROR(VLOOKUP(A306,'2122'!$A$12:$C$389,3,),0)</f>
        <v>0</v>
      </c>
      <c r="I306" s="2">
        <v>0</v>
      </c>
      <c r="J306" s="2">
        <f t="shared" si="23"/>
        <v>0</v>
      </c>
      <c r="K306" s="2">
        <v>0</v>
      </c>
      <c r="M306" s="2">
        <v>0</v>
      </c>
      <c r="N306" s="2">
        <v>0</v>
      </c>
      <c r="P306" s="2">
        <v>0</v>
      </c>
    </row>
    <row r="307" spans="1:16">
      <c r="A307" s="2" t="s">
        <v>661</v>
      </c>
      <c r="B307" s="9">
        <v>17</v>
      </c>
      <c r="C307" s="2" t="s">
        <v>415</v>
      </c>
      <c r="D307" s="2" t="s">
        <v>416</v>
      </c>
      <c r="E307" s="2">
        <f>+IFERROR(VLOOKUP(A307,'2122'!$A$12:$C$389,2,),0)</f>
        <v>0</v>
      </c>
      <c r="F307" s="2">
        <v>0</v>
      </c>
      <c r="G307" s="2">
        <f t="shared" si="22"/>
        <v>0</v>
      </c>
      <c r="H307" s="2">
        <f>+IFERROR(VLOOKUP(A307,'2122'!$A$12:$C$389,3,),0)</f>
        <v>0</v>
      </c>
      <c r="I307" s="2">
        <v>0</v>
      </c>
      <c r="J307" s="2">
        <f t="shared" si="23"/>
        <v>0</v>
      </c>
      <c r="K307" s="2">
        <v>0</v>
      </c>
      <c r="M307" s="2">
        <v>0</v>
      </c>
      <c r="N307" s="2">
        <v>8459</v>
      </c>
      <c r="P307" s="2">
        <v>8459</v>
      </c>
    </row>
    <row r="308" spans="1:16">
      <c r="A308" s="2" t="s">
        <v>136</v>
      </c>
      <c r="B308" s="9">
        <v>13</v>
      </c>
      <c r="C308" s="2" t="s">
        <v>474</v>
      </c>
      <c r="D308" s="2" t="s">
        <v>475</v>
      </c>
      <c r="E308" s="2">
        <f>+IFERROR(VLOOKUP(A308,'2122'!$A$12:$C$389,2,),0)</f>
        <v>0</v>
      </c>
      <c r="F308" s="2">
        <v>0</v>
      </c>
      <c r="G308" s="2">
        <f t="shared" si="22"/>
        <v>0</v>
      </c>
      <c r="H308" s="2">
        <f>+IFERROR(VLOOKUP(A308,'2122'!$A$12:$C$389,3,),0)</f>
        <v>1320768</v>
      </c>
      <c r="I308" s="2">
        <v>0</v>
      </c>
      <c r="J308" s="2">
        <f t="shared" si="23"/>
        <v>1320768</v>
      </c>
      <c r="K308" s="2">
        <v>0</v>
      </c>
      <c r="M308" s="2">
        <v>0</v>
      </c>
      <c r="N308" s="2">
        <v>1176528</v>
      </c>
      <c r="P308" s="2">
        <v>1176528</v>
      </c>
    </row>
    <row r="309" spans="1:16">
      <c r="A309" s="2" t="s">
        <v>662</v>
      </c>
      <c r="B309" s="9">
        <v>9</v>
      </c>
      <c r="C309" s="2" t="s">
        <v>602</v>
      </c>
      <c r="D309" s="2" t="s">
        <v>450</v>
      </c>
      <c r="E309" s="2">
        <f>+IFERROR(VLOOKUP(A309,'2122'!$A$12:$C$389,2,),0)</f>
        <v>15000</v>
      </c>
      <c r="F309" s="2">
        <v>0</v>
      </c>
      <c r="G309" s="2">
        <f t="shared" si="22"/>
        <v>15000</v>
      </c>
      <c r="H309" s="2">
        <f>+IFERROR(VLOOKUP(A309,'2122'!$A$12:$C$389,3,),0)</f>
        <v>0</v>
      </c>
      <c r="I309" s="2">
        <v>0</v>
      </c>
      <c r="J309" s="2">
        <f t="shared" si="23"/>
        <v>0</v>
      </c>
      <c r="K309" s="2">
        <v>27000</v>
      </c>
      <c r="M309" s="2">
        <v>27000</v>
      </c>
      <c r="N309" s="2">
        <v>0</v>
      </c>
      <c r="P309" s="2">
        <v>0</v>
      </c>
    </row>
    <row r="310" spans="1:16">
      <c r="A310" s="2" t="s">
        <v>139</v>
      </c>
      <c r="B310" s="9">
        <v>17</v>
      </c>
      <c r="C310" s="2" t="s">
        <v>415</v>
      </c>
      <c r="D310" s="2" t="s">
        <v>415</v>
      </c>
      <c r="E310" s="2">
        <f>+IFERROR(VLOOKUP(A310,'2122'!$A$12:$C$389,2,),0)</f>
        <v>0</v>
      </c>
      <c r="F310" s="2">
        <v>0</v>
      </c>
      <c r="G310" s="2">
        <f t="shared" si="22"/>
        <v>0</v>
      </c>
      <c r="H310" s="2">
        <f>+IFERROR(VLOOKUP(A310,'2122'!$A$12:$C$389,3,),0)</f>
        <v>114473</v>
      </c>
      <c r="I310" s="2">
        <v>0</v>
      </c>
      <c r="J310" s="2">
        <f t="shared" si="23"/>
        <v>114473</v>
      </c>
      <c r="K310" s="2">
        <v>0</v>
      </c>
      <c r="M310" s="2">
        <v>0</v>
      </c>
      <c r="N310" s="2">
        <v>67381.600000000006</v>
      </c>
      <c r="P310" s="2">
        <v>67381.600000000006</v>
      </c>
    </row>
    <row r="311" spans="1:16">
      <c r="A311" s="2" t="s">
        <v>663</v>
      </c>
      <c r="B311" s="9">
        <v>6</v>
      </c>
      <c r="C311" s="2" t="s">
        <v>1074</v>
      </c>
      <c r="D311" s="2" t="s">
        <v>423</v>
      </c>
      <c r="E311" s="2">
        <f>+IFERROR(VLOOKUP(A311,'2122'!$A$12:$C$389,2,),0)</f>
        <v>0</v>
      </c>
      <c r="F311" s="2">
        <v>0</v>
      </c>
      <c r="G311" s="2">
        <f t="shared" si="22"/>
        <v>0</v>
      </c>
      <c r="H311" s="2">
        <f>+IFERROR(VLOOKUP(A311,'2122'!$A$12:$C$389,3,),0)</f>
        <v>0</v>
      </c>
      <c r="I311" s="2">
        <v>0</v>
      </c>
      <c r="J311" s="2">
        <f t="shared" si="23"/>
        <v>0</v>
      </c>
      <c r="K311" s="2">
        <v>1753713</v>
      </c>
      <c r="M311" s="2">
        <v>1753713</v>
      </c>
      <c r="N311" s="2">
        <v>0</v>
      </c>
      <c r="P311" s="2">
        <v>0</v>
      </c>
    </row>
    <row r="312" spans="1:16">
      <c r="A312" s="2" t="s">
        <v>664</v>
      </c>
      <c r="B312" s="9">
        <v>6</v>
      </c>
      <c r="C312" s="2" t="s">
        <v>1074</v>
      </c>
      <c r="D312" s="2" t="s">
        <v>423</v>
      </c>
      <c r="E312" s="2">
        <f>+IFERROR(VLOOKUP(A312,'2122'!$A$12:$C$389,2,),0)</f>
        <v>0</v>
      </c>
      <c r="F312" s="2">
        <v>0</v>
      </c>
      <c r="G312" s="2">
        <f t="shared" si="22"/>
        <v>0</v>
      </c>
      <c r="H312" s="2">
        <f>+IFERROR(VLOOKUP(A312,'2122'!$A$12:$C$389,3,),0)</f>
        <v>0</v>
      </c>
      <c r="I312" s="2">
        <v>0</v>
      </c>
      <c r="J312" s="2">
        <f t="shared" si="23"/>
        <v>0</v>
      </c>
      <c r="K312" s="2">
        <v>0</v>
      </c>
      <c r="M312" s="2">
        <v>0</v>
      </c>
      <c r="N312" s="2">
        <v>0</v>
      </c>
      <c r="P312" s="2">
        <v>0</v>
      </c>
    </row>
    <row r="313" spans="1:16">
      <c r="A313" s="2" t="s">
        <v>665</v>
      </c>
      <c r="B313" s="9">
        <v>6</v>
      </c>
      <c r="C313" s="2" t="s">
        <v>1074</v>
      </c>
      <c r="D313" s="2" t="s">
        <v>423</v>
      </c>
      <c r="E313" s="2">
        <f>+IFERROR(VLOOKUP(A313,'2122'!$A$12:$C$389,2,),0)</f>
        <v>0</v>
      </c>
      <c r="F313" s="2">
        <v>0</v>
      </c>
      <c r="G313" s="2">
        <f t="shared" si="22"/>
        <v>0</v>
      </c>
      <c r="H313" s="2">
        <f>+IFERROR(VLOOKUP(A313,'2122'!$A$12:$C$389,3,),0)</f>
        <v>0</v>
      </c>
      <c r="I313" s="2">
        <v>0</v>
      </c>
      <c r="J313" s="2">
        <f t="shared" si="23"/>
        <v>0</v>
      </c>
      <c r="K313" s="2">
        <v>0</v>
      </c>
      <c r="M313" s="2">
        <v>0</v>
      </c>
      <c r="N313" s="2">
        <v>0</v>
      </c>
      <c r="P313" s="2">
        <v>0</v>
      </c>
    </row>
    <row r="314" spans="1:16">
      <c r="A314" s="2" t="s">
        <v>140</v>
      </c>
      <c r="B314" s="9">
        <v>27</v>
      </c>
      <c r="C314" s="2" t="s">
        <v>1560</v>
      </c>
      <c r="D314" s="2" t="s">
        <v>1565</v>
      </c>
      <c r="E314" s="2">
        <f>+IFERROR(VLOOKUP(A314,'2122'!$A$12:$C$389,2,),0)</f>
        <v>48000</v>
      </c>
      <c r="F314" s="2">
        <v>0</v>
      </c>
      <c r="G314" s="2">
        <f t="shared" si="22"/>
        <v>48000</v>
      </c>
      <c r="H314" s="2">
        <f>+IFERROR(VLOOKUP(A314,'2122'!$A$12:$C$389,3,),0)</f>
        <v>0</v>
      </c>
      <c r="I314" s="2">
        <v>0</v>
      </c>
      <c r="J314" s="2">
        <f t="shared" si="23"/>
        <v>0</v>
      </c>
      <c r="K314" s="2">
        <v>8000</v>
      </c>
      <c r="M314" s="2">
        <v>8000</v>
      </c>
      <c r="N314" s="2">
        <v>0</v>
      </c>
      <c r="P314" s="2">
        <v>0</v>
      </c>
    </row>
    <row r="315" spans="1:16">
      <c r="A315" s="2" t="s">
        <v>666</v>
      </c>
      <c r="B315" s="9">
        <v>19</v>
      </c>
      <c r="C315" s="2" t="s">
        <v>482</v>
      </c>
      <c r="D315" s="2" t="s">
        <v>531</v>
      </c>
      <c r="E315" s="2">
        <f>+IFERROR(VLOOKUP(A315,'2122'!$A$12:$C$389,2,),0)</f>
        <v>0</v>
      </c>
      <c r="F315" s="2">
        <v>0</v>
      </c>
      <c r="G315" s="2">
        <f t="shared" si="22"/>
        <v>0</v>
      </c>
      <c r="H315" s="2">
        <f>+IFERROR(VLOOKUP(A315,'2122'!$A$12:$C$389,3,),0)</f>
        <v>0</v>
      </c>
      <c r="I315" s="2">
        <v>0</v>
      </c>
      <c r="J315" s="2">
        <f t="shared" si="23"/>
        <v>0</v>
      </c>
      <c r="K315" s="2">
        <v>0</v>
      </c>
      <c r="M315" s="2">
        <v>0</v>
      </c>
      <c r="N315" s="2">
        <v>0</v>
      </c>
      <c r="P315" s="2">
        <v>0</v>
      </c>
    </row>
    <row r="316" spans="1:16">
      <c r="A316" s="2" t="s">
        <v>667</v>
      </c>
      <c r="B316" s="9">
        <v>19</v>
      </c>
      <c r="C316" s="2" t="s">
        <v>482</v>
      </c>
      <c r="D316" s="2" t="s">
        <v>531</v>
      </c>
      <c r="E316" s="2">
        <f>+IFERROR(VLOOKUP(A316,'2122'!$A$12:$C$389,2,),0)</f>
        <v>0</v>
      </c>
      <c r="F316" s="2">
        <v>0</v>
      </c>
      <c r="G316" s="2">
        <f t="shared" si="22"/>
        <v>0</v>
      </c>
      <c r="H316" s="2">
        <f>+IFERROR(VLOOKUP(A316,'2122'!$A$12:$C$389,3,),0)</f>
        <v>0</v>
      </c>
      <c r="I316" s="2">
        <v>0</v>
      </c>
      <c r="J316" s="2">
        <f t="shared" si="23"/>
        <v>0</v>
      </c>
      <c r="K316" s="2">
        <v>0</v>
      </c>
      <c r="M316" s="2">
        <v>0</v>
      </c>
      <c r="N316" s="2">
        <v>0</v>
      </c>
      <c r="P316" s="2">
        <v>0</v>
      </c>
    </row>
    <row r="317" spans="1:16">
      <c r="A317" s="2" t="s">
        <v>668</v>
      </c>
      <c r="B317" s="9">
        <v>19</v>
      </c>
      <c r="C317" s="2" t="s">
        <v>482</v>
      </c>
      <c r="D317" s="2" t="s">
        <v>531</v>
      </c>
      <c r="E317" s="2">
        <f>+IFERROR(VLOOKUP(A317,'2122'!$A$12:$C$389,2,),0)</f>
        <v>0</v>
      </c>
      <c r="F317" s="2">
        <v>0</v>
      </c>
      <c r="G317" s="2">
        <f t="shared" si="22"/>
        <v>0</v>
      </c>
      <c r="H317" s="2">
        <f>+IFERROR(VLOOKUP(A317,'2122'!$A$12:$C$389,3,),0)</f>
        <v>0</v>
      </c>
      <c r="I317" s="2">
        <v>0</v>
      </c>
      <c r="J317" s="2">
        <f t="shared" si="23"/>
        <v>0</v>
      </c>
      <c r="K317" s="2">
        <v>0</v>
      </c>
      <c r="M317" s="2">
        <v>0</v>
      </c>
      <c r="N317" s="2">
        <v>0</v>
      </c>
      <c r="P317" s="2">
        <v>0</v>
      </c>
    </row>
    <row r="318" spans="1:16">
      <c r="A318" s="2" t="s">
        <v>669</v>
      </c>
      <c r="B318" s="9">
        <v>19</v>
      </c>
      <c r="C318" s="2" t="s">
        <v>482</v>
      </c>
      <c r="D318" s="2" t="s">
        <v>531</v>
      </c>
      <c r="E318" s="2">
        <f>+IFERROR(VLOOKUP(A318,'2122'!$A$12:$C$389,2,),0)</f>
        <v>0</v>
      </c>
      <c r="F318" s="2">
        <v>0</v>
      </c>
      <c r="G318" s="2">
        <f t="shared" si="22"/>
        <v>0</v>
      </c>
      <c r="H318" s="2">
        <f>+IFERROR(VLOOKUP(A318,'2122'!$A$12:$C$389,3,),0)</f>
        <v>0</v>
      </c>
      <c r="I318" s="2">
        <v>0</v>
      </c>
      <c r="J318" s="2">
        <f t="shared" si="23"/>
        <v>0</v>
      </c>
      <c r="K318" s="2">
        <v>0</v>
      </c>
      <c r="M318" s="2">
        <v>0</v>
      </c>
      <c r="N318" s="2">
        <v>0</v>
      </c>
      <c r="P318" s="2">
        <v>0</v>
      </c>
    </row>
    <row r="319" spans="1:16">
      <c r="A319" s="2" t="s">
        <v>670</v>
      </c>
      <c r="B319" s="9">
        <v>19</v>
      </c>
      <c r="C319" s="2" t="s">
        <v>482</v>
      </c>
      <c r="D319" s="2" t="s">
        <v>531</v>
      </c>
      <c r="E319" s="2">
        <f>+IFERROR(VLOOKUP(A319,'2122'!$A$12:$C$389,2,),0)</f>
        <v>0</v>
      </c>
      <c r="F319" s="2">
        <v>0</v>
      </c>
      <c r="G319" s="2">
        <f t="shared" si="22"/>
        <v>0</v>
      </c>
      <c r="H319" s="2">
        <f>+IFERROR(VLOOKUP(A319,'2122'!$A$12:$C$389,3,),0)</f>
        <v>0</v>
      </c>
      <c r="I319" s="2">
        <v>0</v>
      </c>
      <c r="J319" s="2">
        <f t="shared" si="23"/>
        <v>0</v>
      </c>
      <c r="K319" s="2">
        <v>0</v>
      </c>
      <c r="M319" s="2">
        <v>0</v>
      </c>
      <c r="N319" s="2">
        <v>0</v>
      </c>
      <c r="P319" s="2">
        <v>0</v>
      </c>
    </row>
    <row r="320" spans="1:16">
      <c r="A320" s="2" t="s">
        <v>671</v>
      </c>
      <c r="B320" s="9">
        <v>19</v>
      </c>
      <c r="C320" s="2" t="s">
        <v>482</v>
      </c>
      <c r="D320" s="2" t="s">
        <v>531</v>
      </c>
      <c r="E320" s="2">
        <f>+IFERROR(VLOOKUP(A320,'2122'!$A$12:$C$389,2,),0)</f>
        <v>0</v>
      </c>
      <c r="F320" s="2">
        <v>0</v>
      </c>
      <c r="G320" s="2">
        <f t="shared" si="22"/>
        <v>0</v>
      </c>
      <c r="H320" s="2">
        <f>+IFERROR(VLOOKUP(A320,'2122'!$A$12:$C$389,3,),0)</f>
        <v>0</v>
      </c>
      <c r="I320" s="2">
        <v>0</v>
      </c>
      <c r="J320" s="2">
        <f t="shared" si="23"/>
        <v>0</v>
      </c>
      <c r="K320" s="2">
        <v>0</v>
      </c>
      <c r="M320" s="2">
        <v>0</v>
      </c>
      <c r="N320" s="2">
        <v>0</v>
      </c>
      <c r="P320" s="2">
        <v>0</v>
      </c>
    </row>
    <row r="321" spans="1:16">
      <c r="A321" s="2" t="s">
        <v>672</v>
      </c>
      <c r="B321" s="9">
        <v>19</v>
      </c>
      <c r="C321" s="2" t="s">
        <v>482</v>
      </c>
      <c r="D321" s="2" t="s">
        <v>531</v>
      </c>
      <c r="E321" s="2">
        <f>+IFERROR(VLOOKUP(A321,'2122'!$A$12:$C$389,2,),0)</f>
        <v>0</v>
      </c>
      <c r="F321" s="2">
        <v>0</v>
      </c>
      <c r="G321" s="2">
        <f t="shared" si="22"/>
        <v>0</v>
      </c>
      <c r="H321" s="2">
        <f>+IFERROR(VLOOKUP(A321,'2122'!$A$12:$C$389,3,),0)</f>
        <v>0</v>
      </c>
      <c r="I321" s="2">
        <v>0</v>
      </c>
      <c r="J321" s="2">
        <f t="shared" si="23"/>
        <v>0</v>
      </c>
      <c r="K321" s="2">
        <v>0</v>
      </c>
      <c r="M321" s="2">
        <v>0</v>
      </c>
      <c r="N321" s="2">
        <v>0</v>
      </c>
      <c r="P321" s="2">
        <v>0</v>
      </c>
    </row>
    <row r="322" spans="1:16">
      <c r="A322" s="2" t="s">
        <v>673</v>
      </c>
      <c r="B322" s="9">
        <v>19</v>
      </c>
      <c r="C322" s="2" t="s">
        <v>482</v>
      </c>
      <c r="D322" s="2" t="s">
        <v>531</v>
      </c>
      <c r="E322" s="2">
        <f>+IFERROR(VLOOKUP(A322,'2122'!$A$12:$C$389,2,),0)</f>
        <v>0</v>
      </c>
      <c r="F322" s="2">
        <v>0</v>
      </c>
      <c r="G322" s="2">
        <f t="shared" si="22"/>
        <v>0</v>
      </c>
      <c r="H322" s="2">
        <f>+IFERROR(VLOOKUP(A322,'2122'!$A$12:$C$389,3,),0)</f>
        <v>0</v>
      </c>
      <c r="I322" s="2">
        <v>0</v>
      </c>
      <c r="J322" s="2">
        <f t="shared" si="23"/>
        <v>0</v>
      </c>
      <c r="K322" s="2">
        <v>0</v>
      </c>
      <c r="M322" s="2">
        <v>0</v>
      </c>
      <c r="N322" s="2">
        <v>0</v>
      </c>
      <c r="P322" s="2">
        <v>0</v>
      </c>
    </row>
    <row r="323" spans="1:16">
      <c r="A323" s="2" t="s">
        <v>674</v>
      </c>
      <c r="B323" s="9">
        <v>19</v>
      </c>
      <c r="C323" s="2" t="s">
        <v>482</v>
      </c>
      <c r="D323" s="2" t="s">
        <v>531</v>
      </c>
      <c r="E323" s="2">
        <f>+IFERROR(VLOOKUP(A323,'2122'!$A$12:$C$389,2,),0)</f>
        <v>0</v>
      </c>
      <c r="F323" s="2">
        <v>0</v>
      </c>
      <c r="G323" s="2">
        <f t="shared" si="22"/>
        <v>0</v>
      </c>
      <c r="H323" s="2">
        <f>+IFERROR(VLOOKUP(A323,'2122'!$A$12:$C$389,3,),0)</f>
        <v>0</v>
      </c>
      <c r="I323" s="2">
        <v>0</v>
      </c>
      <c r="J323" s="2">
        <f t="shared" si="23"/>
        <v>0</v>
      </c>
      <c r="K323" s="2">
        <v>0</v>
      </c>
      <c r="M323" s="2">
        <v>0</v>
      </c>
      <c r="N323" s="2">
        <v>0</v>
      </c>
      <c r="P323" s="2">
        <v>0</v>
      </c>
    </row>
    <row r="324" spans="1:16">
      <c r="A324" s="2" t="s">
        <v>675</v>
      </c>
      <c r="B324" s="9">
        <v>19</v>
      </c>
      <c r="C324" s="2" t="s">
        <v>482</v>
      </c>
      <c r="D324" s="2" t="s">
        <v>531</v>
      </c>
      <c r="E324" s="2">
        <f>+IFERROR(VLOOKUP(A324,'2122'!$A$12:$C$389,2,),0)</f>
        <v>0</v>
      </c>
      <c r="F324" s="2">
        <v>0</v>
      </c>
      <c r="G324" s="2">
        <f t="shared" si="22"/>
        <v>0</v>
      </c>
      <c r="H324" s="2">
        <f>+IFERROR(VLOOKUP(A324,'2122'!$A$12:$C$389,3,),0)</f>
        <v>0</v>
      </c>
      <c r="I324" s="2">
        <v>0</v>
      </c>
      <c r="J324" s="2">
        <f t="shared" si="23"/>
        <v>0</v>
      </c>
      <c r="K324" s="2">
        <v>0</v>
      </c>
      <c r="M324" s="2">
        <v>0</v>
      </c>
      <c r="N324" s="2">
        <v>0</v>
      </c>
      <c r="P324" s="2">
        <v>0</v>
      </c>
    </row>
    <row r="325" spans="1:16">
      <c r="A325" s="2" t="s">
        <v>676</v>
      </c>
      <c r="B325" s="9">
        <v>19</v>
      </c>
      <c r="C325" s="2" t="s">
        <v>482</v>
      </c>
      <c r="D325" s="2" t="s">
        <v>531</v>
      </c>
      <c r="E325" s="2">
        <f>+IFERROR(VLOOKUP(A325,'2122'!$A$12:$C$389,2,),0)</f>
        <v>0</v>
      </c>
      <c r="F325" s="2">
        <v>0</v>
      </c>
      <c r="G325" s="2">
        <f t="shared" si="22"/>
        <v>0</v>
      </c>
      <c r="H325" s="2">
        <f>+IFERROR(VLOOKUP(A325,'2122'!$A$12:$C$389,3,),0)</f>
        <v>0</v>
      </c>
      <c r="I325" s="2">
        <v>0</v>
      </c>
      <c r="J325" s="2">
        <f t="shared" si="23"/>
        <v>0</v>
      </c>
      <c r="K325" s="2">
        <v>74562</v>
      </c>
      <c r="M325" s="2">
        <v>74562</v>
      </c>
      <c r="N325" s="2">
        <v>0</v>
      </c>
      <c r="P325" s="2">
        <v>0</v>
      </c>
    </row>
    <row r="326" spans="1:16">
      <c r="A326" s="2" t="s">
        <v>677</v>
      </c>
      <c r="B326" s="9">
        <v>19</v>
      </c>
      <c r="C326" s="2" t="s">
        <v>482</v>
      </c>
      <c r="D326" s="2" t="s">
        <v>531</v>
      </c>
      <c r="E326" s="2">
        <f>+IFERROR(VLOOKUP(A326,'2122'!$A$12:$C$389,2,),0)</f>
        <v>0</v>
      </c>
      <c r="F326" s="2">
        <v>0</v>
      </c>
      <c r="G326" s="2">
        <f t="shared" si="22"/>
        <v>0</v>
      </c>
      <c r="H326" s="2">
        <f>+IFERROR(VLOOKUP(A326,'2122'!$A$12:$C$389,3,),0)</f>
        <v>0</v>
      </c>
      <c r="I326" s="2">
        <v>0</v>
      </c>
      <c r="J326" s="2">
        <f t="shared" si="23"/>
        <v>0</v>
      </c>
      <c r="K326" s="2">
        <v>0</v>
      </c>
      <c r="M326" s="2">
        <v>0</v>
      </c>
      <c r="N326" s="2">
        <v>0</v>
      </c>
      <c r="P326" s="2">
        <v>0</v>
      </c>
    </row>
    <row r="327" spans="1:16">
      <c r="A327" s="2" t="s">
        <v>678</v>
      </c>
      <c r="B327" s="9">
        <v>17</v>
      </c>
      <c r="C327" s="2" t="s">
        <v>415</v>
      </c>
      <c r="D327" s="2" t="s">
        <v>415</v>
      </c>
      <c r="E327" s="2">
        <f>+IFERROR(VLOOKUP(A327,'2122'!$A$12:$C$389,2,),0)</f>
        <v>0</v>
      </c>
      <c r="F327" s="2">
        <v>0</v>
      </c>
      <c r="G327" s="2">
        <f t="shared" si="22"/>
        <v>0</v>
      </c>
      <c r="H327" s="2">
        <f>+IFERROR(VLOOKUP(A327,'2122'!$A$12:$C$389,3,),0)</f>
        <v>0</v>
      </c>
      <c r="I327" s="2">
        <v>0</v>
      </c>
      <c r="J327" s="2">
        <f t="shared" si="23"/>
        <v>0</v>
      </c>
      <c r="K327" s="2">
        <v>0</v>
      </c>
      <c r="M327" s="2">
        <v>0</v>
      </c>
      <c r="N327" s="2">
        <v>0</v>
      </c>
      <c r="P327" s="2">
        <v>0</v>
      </c>
    </row>
    <row r="328" spans="1:16">
      <c r="A328" s="2" t="s">
        <v>144</v>
      </c>
      <c r="B328" s="9">
        <v>23</v>
      </c>
      <c r="C328" s="2" t="s">
        <v>573</v>
      </c>
      <c r="D328" s="2" t="s">
        <v>574</v>
      </c>
      <c r="E328" s="2">
        <f>+IFERROR(VLOOKUP(A328,'2122'!$A$12:$C$389,2,),0)</f>
        <v>142111717</v>
      </c>
      <c r="F328" s="2">
        <v>0</v>
      </c>
      <c r="G328" s="2">
        <f t="shared" si="22"/>
        <v>142111717</v>
      </c>
      <c r="H328" s="2">
        <f>+IFERROR(VLOOKUP(A328,'2122'!$A$12:$C$389,3,),0)</f>
        <v>0</v>
      </c>
      <c r="I328" s="2">
        <v>0</v>
      </c>
      <c r="J328" s="2">
        <f t="shared" si="23"/>
        <v>0</v>
      </c>
      <c r="K328" s="2">
        <v>97418771</v>
      </c>
      <c r="M328" s="2">
        <v>97418771</v>
      </c>
      <c r="N328" s="2">
        <v>0</v>
      </c>
      <c r="P328" s="2">
        <v>0</v>
      </c>
    </row>
    <row r="329" spans="1:16">
      <c r="A329" s="2" t="s">
        <v>145</v>
      </c>
      <c r="B329" s="9">
        <v>20</v>
      </c>
      <c r="C329" s="2" t="s">
        <v>1553</v>
      </c>
      <c r="D329" s="2" t="s">
        <v>607</v>
      </c>
      <c r="E329" s="2">
        <f>+IFERROR(VLOOKUP(A329,'2122'!$A$12:$C$389,2,),0)</f>
        <v>0</v>
      </c>
      <c r="F329" s="2">
        <v>0</v>
      </c>
      <c r="G329" s="2">
        <f t="shared" si="22"/>
        <v>0</v>
      </c>
      <c r="H329" s="2">
        <f>+IFERROR(VLOOKUP(A329,'2122'!$A$12:$C$389,3,),0)</f>
        <v>1486209</v>
      </c>
      <c r="I329" s="2">
        <v>0</v>
      </c>
      <c r="J329" s="2">
        <f t="shared" si="23"/>
        <v>1486209</v>
      </c>
      <c r="K329" s="2">
        <v>0</v>
      </c>
      <c r="M329" s="2">
        <v>0</v>
      </c>
      <c r="N329" s="2">
        <v>1301094</v>
      </c>
      <c r="P329" s="2">
        <v>1301094</v>
      </c>
    </row>
    <row r="330" spans="1:16">
      <c r="A330" s="2" t="s">
        <v>147</v>
      </c>
      <c r="B330" s="9">
        <v>25</v>
      </c>
      <c r="C330" s="2" t="s">
        <v>619</v>
      </c>
      <c r="D330" s="2" t="s">
        <v>620</v>
      </c>
      <c r="E330" s="2">
        <f>+IFERROR(VLOOKUP(A330,'2122'!$A$12:$C$389,2,),0)</f>
        <v>1234315</v>
      </c>
      <c r="F330" s="2">
        <v>0</v>
      </c>
      <c r="G330" s="2">
        <f t="shared" si="22"/>
        <v>1234315</v>
      </c>
      <c r="H330" s="2">
        <f>+IFERROR(VLOOKUP(A330,'2122'!$A$12:$C$389,3,),0)</f>
        <v>0</v>
      </c>
      <c r="I330" s="2">
        <v>0</v>
      </c>
      <c r="J330" s="2">
        <f t="shared" si="23"/>
        <v>0</v>
      </c>
      <c r="K330" s="2">
        <v>1301094</v>
      </c>
      <c r="M330" s="2">
        <v>1301094</v>
      </c>
      <c r="N330" s="2">
        <v>0</v>
      </c>
      <c r="P330" s="2">
        <v>0</v>
      </c>
    </row>
    <row r="331" spans="1:16">
      <c r="A331" s="2" t="s">
        <v>150</v>
      </c>
      <c r="B331" s="9">
        <v>17</v>
      </c>
      <c r="C331" s="2" t="s">
        <v>415</v>
      </c>
      <c r="D331" s="2" t="s">
        <v>415</v>
      </c>
      <c r="E331" s="2">
        <f>+IFERROR(VLOOKUP(A331,'2122'!$A$12:$C$389,2,),0)</f>
        <v>0</v>
      </c>
      <c r="F331" s="2">
        <v>0</v>
      </c>
      <c r="G331" s="2">
        <f t="shared" si="22"/>
        <v>0</v>
      </c>
      <c r="H331" s="2">
        <f>+IFERROR(VLOOKUP(A331,'2122'!$A$12:$C$389,3,),0)</f>
        <v>708000</v>
      </c>
      <c r="I331" s="2">
        <v>0</v>
      </c>
      <c r="J331" s="2">
        <f t="shared" si="23"/>
        <v>708000</v>
      </c>
      <c r="K331" s="2">
        <v>0</v>
      </c>
      <c r="M331" s="2">
        <v>0</v>
      </c>
      <c r="N331" s="2">
        <v>0</v>
      </c>
      <c r="P331" s="2">
        <v>0</v>
      </c>
    </row>
    <row r="332" spans="1:16">
      <c r="A332" s="2" t="s">
        <v>679</v>
      </c>
      <c r="B332" s="9">
        <v>17</v>
      </c>
      <c r="C332" s="2" t="s">
        <v>415</v>
      </c>
      <c r="D332" s="2" t="s">
        <v>415</v>
      </c>
      <c r="E332" s="2">
        <f>+IFERROR(VLOOKUP(A332,'2122'!$A$12:$C$389,2,),0)</f>
        <v>0</v>
      </c>
      <c r="F332" s="2">
        <v>0</v>
      </c>
      <c r="G332" s="2">
        <f t="shared" si="22"/>
        <v>0</v>
      </c>
      <c r="H332" s="2">
        <f>+IFERROR(VLOOKUP(A332,'2122'!$A$12:$C$389,3,),0)</f>
        <v>0</v>
      </c>
      <c r="I332" s="2">
        <v>0</v>
      </c>
      <c r="J332" s="2">
        <f t="shared" si="23"/>
        <v>0</v>
      </c>
      <c r="K332" s="2">
        <v>0</v>
      </c>
      <c r="M332" s="2">
        <v>0</v>
      </c>
      <c r="N332" s="2">
        <v>11630</v>
      </c>
      <c r="P332" s="2">
        <v>11630</v>
      </c>
    </row>
    <row r="333" spans="1:16">
      <c r="A333" s="2" t="s">
        <v>680</v>
      </c>
      <c r="B333" s="9">
        <v>6</v>
      </c>
      <c r="C333" s="2" t="s">
        <v>1074</v>
      </c>
      <c r="D333" s="2" t="s">
        <v>423</v>
      </c>
      <c r="E333" s="2">
        <f>+IFERROR(VLOOKUP(A333,'2122'!$A$12:$C$389,2,),0)</f>
        <v>0</v>
      </c>
      <c r="F333" s="2">
        <v>0</v>
      </c>
      <c r="G333" s="2">
        <f t="shared" si="22"/>
        <v>0</v>
      </c>
      <c r="H333" s="2">
        <f>+IFERROR(VLOOKUP(A333,'2122'!$A$12:$C$389,3,),0)</f>
        <v>0</v>
      </c>
      <c r="I333" s="2">
        <v>0</v>
      </c>
      <c r="J333" s="2">
        <f t="shared" si="23"/>
        <v>0</v>
      </c>
      <c r="K333" s="2">
        <v>330414</v>
      </c>
      <c r="M333" s="2">
        <v>330414</v>
      </c>
      <c r="N333" s="2">
        <v>0</v>
      </c>
      <c r="P333" s="2">
        <v>0</v>
      </c>
    </row>
    <row r="334" spans="1:16">
      <c r="A334" s="2" t="s">
        <v>681</v>
      </c>
      <c r="B334" s="9">
        <v>10</v>
      </c>
      <c r="C334" s="2" t="s">
        <v>598</v>
      </c>
      <c r="D334" s="2" t="s">
        <v>445</v>
      </c>
      <c r="E334" s="2">
        <f>+IFERROR(VLOOKUP(A334,'2122'!$A$12:$C$389,2,),0)</f>
        <v>0</v>
      </c>
      <c r="F334" s="2">
        <v>0</v>
      </c>
      <c r="G334" s="2">
        <f t="shared" si="22"/>
        <v>0</v>
      </c>
      <c r="H334" s="2">
        <f>+IFERROR(VLOOKUP(A334,'2122'!$A$12:$C$389,3,),0)</f>
        <v>0</v>
      </c>
      <c r="I334" s="2">
        <v>0</v>
      </c>
      <c r="J334" s="2">
        <f t="shared" si="23"/>
        <v>0</v>
      </c>
      <c r="K334" s="2">
        <v>0</v>
      </c>
      <c r="M334" s="2">
        <v>0</v>
      </c>
      <c r="N334" s="2">
        <v>0</v>
      </c>
      <c r="P334" s="2">
        <v>0</v>
      </c>
    </row>
    <row r="335" spans="1:16">
      <c r="A335" s="2" t="s">
        <v>682</v>
      </c>
      <c r="B335" s="9">
        <v>27</v>
      </c>
      <c r="C335" s="2" t="s">
        <v>1568</v>
      </c>
      <c r="D335" s="2" t="s">
        <v>1324</v>
      </c>
      <c r="E335" s="2">
        <f>+IFERROR(VLOOKUP(A335,'2122'!$A$12:$C$389,2,),0)</f>
        <v>369150</v>
      </c>
      <c r="F335" s="2">
        <v>0</v>
      </c>
      <c r="G335" s="2">
        <f t="shared" ref="G335:G398" si="28">+E335+F335</f>
        <v>369150</v>
      </c>
      <c r="H335" s="2">
        <f>+IFERROR(VLOOKUP(A335,'2122'!$A$12:$C$389,3,),0)</f>
        <v>0</v>
      </c>
      <c r="I335" s="2">
        <v>0</v>
      </c>
      <c r="J335" s="2">
        <f t="shared" ref="J335:J398" si="29">+H335+I335</f>
        <v>0</v>
      </c>
      <c r="K335" s="2">
        <v>295193</v>
      </c>
      <c r="M335" s="2">
        <v>295193</v>
      </c>
      <c r="N335" s="2">
        <v>0</v>
      </c>
      <c r="P335" s="2">
        <v>0</v>
      </c>
    </row>
    <row r="336" spans="1:16">
      <c r="A336" s="2" t="s">
        <v>683</v>
      </c>
      <c r="B336" s="9">
        <v>27</v>
      </c>
      <c r="C336" s="2" t="s">
        <v>1568</v>
      </c>
      <c r="D336" s="2" t="s">
        <v>1324</v>
      </c>
      <c r="E336" s="2">
        <f>+IFERROR(VLOOKUP(A336,'2122'!$A$12:$C$389,2,),0)</f>
        <v>0</v>
      </c>
      <c r="F336" s="2">
        <v>0</v>
      </c>
      <c r="G336" s="2">
        <f t="shared" si="28"/>
        <v>0</v>
      </c>
      <c r="H336" s="2">
        <f>+IFERROR(VLOOKUP(A336,'2122'!$A$12:$C$389,3,),0)</f>
        <v>0</v>
      </c>
      <c r="I336" s="2">
        <v>0</v>
      </c>
      <c r="J336" s="2">
        <f t="shared" si="29"/>
        <v>0</v>
      </c>
      <c r="K336" s="2">
        <v>45574</v>
      </c>
      <c r="M336" s="2">
        <v>45574</v>
      </c>
      <c r="N336" s="2">
        <v>0</v>
      </c>
      <c r="P336" s="2">
        <v>0</v>
      </c>
    </row>
    <row r="337" spans="1:16">
      <c r="A337" s="2" t="s">
        <v>684</v>
      </c>
      <c r="B337" s="9">
        <v>27</v>
      </c>
      <c r="C337" s="2" t="s">
        <v>1560</v>
      </c>
      <c r="D337" s="2" t="s">
        <v>1311</v>
      </c>
      <c r="E337" s="2">
        <f>+IFERROR(VLOOKUP(A337,'2122'!$A$12:$C$389,2,),0)</f>
        <v>1140533</v>
      </c>
      <c r="F337" s="2">
        <v>0</v>
      </c>
      <c r="G337" s="2">
        <f t="shared" si="28"/>
        <v>1140533</v>
      </c>
      <c r="H337" s="2">
        <f>+IFERROR(VLOOKUP(A337,'2122'!$A$12:$C$389,3,),0)</f>
        <v>0</v>
      </c>
      <c r="I337" s="2">
        <v>0</v>
      </c>
      <c r="J337" s="2">
        <f t="shared" si="29"/>
        <v>0</v>
      </c>
      <c r="K337" s="2">
        <v>907184</v>
      </c>
      <c r="M337" s="2">
        <v>907184</v>
      </c>
      <c r="N337" s="2">
        <v>0</v>
      </c>
      <c r="P337" s="2">
        <v>0</v>
      </c>
    </row>
    <row r="338" spans="1:16">
      <c r="A338" s="2" t="s">
        <v>156</v>
      </c>
      <c r="B338" s="9">
        <v>10</v>
      </c>
      <c r="C338" s="2" t="s">
        <v>598</v>
      </c>
      <c r="D338" s="2" t="s">
        <v>685</v>
      </c>
      <c r="E338" s="2">
        <f>+IFERROR(VLOOKUP(A338,'2122'!$A$12:$C$389,2,),0)</f>
        <v>360609</v>
      </c>
      <c r="F338" s="2">
        <v>0</v>
      </c>
      <c r="G338" s="2">
        <f t="shared" si="28"/>
        <v>360609</v>
      </c>
      <c r="H338" s="2">
        <f>+IFERROR(VLOOKUP(A338,'2122'!$A$12:$C$389,3,),0)</f>
        <v>0</v>
      </c>
      <c r="I338" s="2">
        <v>0</v>
      </c>
      <c r="J338" s="2">
        <f t="shared" si="29"/>
        <v>0</v>
      </c>
      <c r="K338" s="2">
        <v>545158</v>
      </c>
      <c r="M338" s="2">
        <v>545158</v>
      </c>
      <c r="N338" s="2">
        <v>0</v>
      </c>
      <c r="P338" s="2">
        <v>0</v>
      </c>
    </row>
    <row r="339" spans="1:16">
      <c r="A339" s="2" t="s">
        <v>157</v>
      </c>
      <c r="B339" s="9">
        <v>10</v>
      </c>
      <c r="C339" s="2" t="s">
        <v>598</v>
      </c>
      <c r="D339" s="2" t="s">
        <v>686</v>
      </c>
      <c r="E339" s="2">
        <f>+IFERROR(VLOOKUP(A339,'2122'!$A$12:$C$389,2,),0)</f>
        <v>579346</v>
      </c>
      <c r="F339" s="2">
        <v>0</v>
      </c>
      <c r="G339" s="2">
        <f t="shared" si="28"/>
        <v>579346</v>
      </c>
      <c r="H339" s="2">
        <f>+IFERROR(VLOOKUP(A339,'2122'!$A$12:$C$389,3,),0)</f>
        <v>0</v>
      </c>
      <c r="I339" s="2">
        <v>0</v>
      </c>
      <c r="J339" s="2">
        <f t="shared" si="29"/>
        <v>0</v>
      </c>
      <c r="K339" s="2">
        <v>469083</v>
      </c>
      <c r="M339" s="2">
        <v>469083</v>
      </c>
      <c r="N339" s="2">
        <v>0</v>
      </c>
      <c r="P339" s="2">
        <v>0</v>
      </c>
    </row>
    <row r="340" spans="1:16">
      <c r="A340" s="2" t="s">
        <v>171</v>
      </c>
      <c r="B340" s="9">
        <v>17</v>
      </c>
      <c r="C340" s="2" t="s">
        <v>415</v>
      </c>
      <c r="D340" s="2" t="s">
        <v>415</v>
      </c>
      <c r="E340" s="2">
        <f>+IFERROR(VLOOKUP(A340,'2122'!$A$12:$C$389,2,),0)</f>
        <v>11945</v>
      </c>
      <c r="F340" s="2">
        <v>0</v>
      </c>
      <c r="G340" s="2">
        <f t="shared" si="28"/>
        <v>11945</v>
      </c>
      <c r="H340" s="2">
        <f>+IFERROR(VLOOKUP(A340,'2122'!$A$12:$C$389,3,),0)</f>
        <v>0</v>
      </c>
      <c r="I340" s="2">
        <v>0</v>
      </c>
      <c r="J340" s="2">
        <f t="shared" si="29"/>
        <v>0</v>
      </c>
      <c r="K340" s="2">
        <v>10681</v>
      </c>
      <c r="M340" s="2">
        <v>10681</v>
      </c>
      <c r="N340" s="2">
        <v>0</v>
      </c>
      <c r="P340" s="2">
        <v>0</v>
      </c>
    </row>
    <row r="341" spans="1:16">
      <c r="A341" s="2" t="s">
        <v>158</v>
      </c>
      <c r="B341" s="9">
        <v>22</v>
      </c>
      <c r="C341" s="2" t="s">
        <v>491</v>
      </c>
      <c r="D341" s="2" t="s">
        <v>687</v>
      </c>
      <c r="E341" s="2">
        <f>+IFERROR(VLOOKUP(A341,'2122'!$A$12:$C$389,2,),0)</f>
        <v>0</v>
      </c>
      <c r="F341" s="2">
        <v>0</v>
      </c>
      <c r="G341" s="2">
        <f t="shared" si="28"/>
        <v>0</v>
      </c>
      <c r="H341" s="2">
        <f>+IFERROR(VLOOKUP(A341,'2122'!$A$12:$C$389,3,),0)</f>
        <v>160002.60999999999</v>
      </c>
      <c r="I341" s="2">
        <v>0</v>
      </c>
      <c r="J341" s="2">
        <f t="shared" si="29"/>
        <v>160002.60999999999</v>
      </c>
      <c r="K341" s="2">
        <v>0</v>
      </c>
      <c r="M341" s="2">
        <v>0</v>
      </c>
      <c r="N341" s="2">
        <v>75929</v>
      </c>
      <c r="P341" s="2">
        <v>75929</v>
      </c>
    </row>
    <row r="342" spans="1:16">
      <c r="A342" s="2" t="s">
        <v>688</v>
      </c>
      <c r="B342" s="9">
        <v>23</v>
      </c>
      <c r="C342" s="2" t="s">
        <v>573</v>
      </c>
      <c r="D342" s="2" t="s">
        <v>574</v>
      </c>
      <c r="E342" s="2">
        <f>+IFERROR(VLOOKUP(A342,'2122'!$A$12:$C$389,2,),0)</f>
        <v>0</v>
      </c>
      <c r="F342" s="2">
        <v>0</v>
      </c>
      <c r="G342" s="2">
        <f t="shared" si="28"/>
        <v>0</v>
      </c>
      <c r="H342" s="2">
        <f>+IFERROR(VLOOKUP(A342,'2122'!$A$12:$C$389,3,),0)</f>
        <v>0</v>
      </c>
      <c r="I342" s="2">
        <v>0</v>
      </c>
      <c r="J342" s="2">
        <f t="shared" si="29"/>
        <v>0</v>
      </c>
      <c r="K342" s="2">
        <v>0</v>
      </c>
      <c r="M342" s="2">
        <v>0</v>
      </c>
      <c r="N342" s="2">
        <v>902538</v>
      </c>
      <c r="P342" s="2">
        <v>902538</v>
      </c>
    </row>
    <row r="343" spans="1:16">
      <c r="A343" s="2" t="s">
        <v>689</v>
      </c>
      <c r="B343" s="9">
        <v>27</v>
      </c>
      <c r="C343" s="2" t="s">
        <v>1560</v>
      </c>
      <c r="D343" s="2" t="s">
        <v>1571</v>
      </c>
      <c r="E343" s="2">
        <f>+IFERROR(VLOOKUP(A343,'2122'!$A$12:$C$389,2,),0)</f>
        <v>0</v>
      </c>
      <c r="F343" s="2">
        <v>0</v>
      </c>
      <c r="G343" s="2">
        <f t="shared" si="28"/>
        <v>0</v>
      </c>
      <c r="H343" s="2">
        <f>+IFERROR(VLOOKUP(A343,'2122'!$A$12:$C$389,3,),0)</f>
        <v>0</v>
      </c>
      <c r="I343" s="2">
        <v>0</v>
      </c>
      <c r="J343" s="2">
        <f t="shared" si="29"/>
        <v>0</v>
      </c>
      <c r="K343" s="2">
        <v>1699939</v>
      </c>
      <c r="M343" s="2">
        <v>1699939</v>
      </c>
      <c r="N343" s="2">
        <v>0</v>
      </c>
      <c r="P343" s="2">
        <v>0</v>
      </c>
    </row>
    <row r="344" spans="1:16">
      <c r="A344" s="2" t="s">
        <v>690</v>
      </c>
      <c r="B344" s="9">
        <v>27</v>
      </c>
      <c r="C344" s="2" t="s">
        <v>1560</v>
      </c>
      <c r="D344" s="2" t="s">
        <v>279</v>
      </c>
      <c r="E344" s="2">
        <f>+IFERROR(VLOOKUP(A344,'2122'!$A$12:$C$389,2,),0)</f>
        <v>0</v>
      </c>
      <c r="F344" s="2">
        <v>0</v>
      </c>
      <c r="G344" s="2">
        <f t="shared" si="28"/>
        <v>0</v>
      </c>
      <c r="H344" s="2">
        <f>+IFERROR(VLOOKUP(A344,'2122'!$A$12:$C$389,3,),0)</f>
        <v>0</v>
      </c>
      <c r="I344" s="2">
        <v>0</v>
      </c>
      <c r="J344" s="2">
        <f t="shared" si="29"/>
        <v>0</v>
      </c>
      <c r="K344" s="2">
        <v>0</v>
      </c>
      <c r="M344" s="2">
        <v>0</v>
      </c>
      <c r="N344" s="2">
        <v>0</v>
      </c>
      <c r="P344" s="2">
        <v>0</v>
      </c>
    </row>
    <row r="345" spans="1:16">
      <c r="A345" s="2" t="s">
        <v>691</v>
      </c>
      <c r="C345" s="2" t="s">
        <v>1560</v>
      </c>
      <c r="D345" s="2" t="s">
        <v>491</v>
      </c>
      <c r="E345" s="2">
        <f>+IFERROR(VLOOKUP(A345,'2122'!$A$12:$C$389,2,),0)</f>
        <v>0</v>
      </c>
      <c r="F345" s="2">
        <v>0</v>
      </c>
      <c r="G345" s="2">
        <f t="shared" si="28"/>
        <v>0</v>
      </c>
      <c r="H345" s="2">
        <f>+IFERROR(VLOOKUP(A345,'2122'!$A$12:$C$389,3,),0)</f>
        <v>0</v>
      </c>
      <c r="I345" s="2">
        <v>0</v>
      </c>
      <c r="J345" s="2">
        <f t="shared" si="29"/>
        <v>0</v>
      </c>
      <c r="K345" s="2">
        <v>0</v>
      </c>
      <c r="M345" s="2">
        <v>0</v>
      </c>
      <c r="N345" s="2">
        <v>0</v>
      </c>
      <c r="P345" s="2">
        <v>0</v>
      </c>
    </row>
    <row r="346" spans="1:16">
      <c r="A346" s="2" t="s">
        <v>692</v>
      </c>
      <c r="B346" s="9">
        <v>26</v>
      </c>
      <c r="C346" s="2" t="s">
        <v>509</v>
      </c>
      <c r="D346" s="2" t="s">
        <v>693</v>
      </c>
      <c r="E346" s="2">
        <f>+IFERROR(VLOOKUP(A346,'2122'!$A$12:$C$389,2,),0)</f>
        <v>0</v>
      </c>
      <c r="F346" s="2">
        <v>0</v>
      </c>
      <c r="G346" s="2">
        <f t="shared" si="28"/>
        <v>0</v>
      </c>
      <c r="H346" s="2">
        <f>+IFERROR(VLOOKUP(A346,'2122'!$A$12:$C$389,3,),0)</f>
        <v>0</v>
      </c>
      <c r="I346" s="2">
        <v>0</v>
      </c>
      <c r="J346" s="2">
        <f t="shared" si="29"/>
        <v>0</v>
      </c>
      <c r="K346" s="2">
        <v>0</v>
      </c>
      <c r="M346" s="2">
        <v>0</v>
      </c>
      <c r="N346" s="2">
        <v>0</v>
      </c>
      <c r="P346" s="2">
        <v>0</v>
      </c>
    </row>
    <row r="347" spans="1:16">
      <c r="A347" s="2" t="s">
        <v>694</v>
      </c>
      <c r="B347" s="9">
        <v>26</v>
      </c>
      <c r="C347" s="2" t="s">
        <v>509</v>
      </c>
      <c r="D347" s="2" t="s">
        <v>693</v>
      </c>
      <c r="E347" s="2">
        <f>+IFERROR(VLOOKUP(A347,'2122'!$A$12:$C$389,2,),0)</f>
        <v>0</v>
      </c>
      <c r="F347" s="2">
        <v>0</v>
      </c>
      <c r="G347" s="2">
        <f t="shared" si="28"/>
        <v>0</v>
      </c>
      <c r="H347" s="2">
        <f>+IFERROR(VLOOKUP(A347,'2122'!$A$12:$C$389,3,),0)</f>
        <v>0</v>
      </c>
      <c r="I347" s="2">
        <v>0</v>
      </c>
      <c r="J347" s="2">
        <f t="shared" si="29"/>
        <v>0</v>
      </c>
      <c r="K347" s="2">
        <v>1838</v>
      </c>
      <c r="M347" s="2">
        <v>1838</v>
      </c>
      <c r="N347" s="2">
        <v>0</v>
      </c>
      <c r="P347" s="2">
        <v>0</v>
      </c>
    </row>
    <row r="348" spans="1:16">
      <c r="A348" s="2" t="s">
        <v>695</v>
      </c>
      <c r="B348" s="9">
        <v>26</v>
      </c>
      <c r="C348" s="2" t="s">
        <v>509</v>
      </c>
      <c r="D348" s="2" t="s">
        <v>693</v>
      </c>
      <c r="E348" s="2">
        <f>+IFERROR(VLOOKUP(A348,'2122'!$A$12:$C$389,2,),0)</f>
        <v>0</v>
      </c>
      <c r="F348" s="2">
        <v>0</v>
      </c>
      <c r="G348" s="2">
        <f t="shared" si="28"/>
        <v>0</v>
      </c>
      <c r="H348" s="2">
        <f>+IFERROR(VLOOKUP(A348,'2122'!$A$12:$C$389,3,),0)</f>
        <v>0</v>
      </c>
      <c r="I348" s="2">
        <v>0</v>
      </c>
      <c r="J348" s="2">
        <f t="shared" si="29"/>
        <v>0</v>
      </c>
      <c r="K348" s="2">
        <v>2098</v>
      </c>
      <c r="M348" s="2">
        <v>2098</v>
      </c>
      <c r="N348" s="2">
        <v>0</v>
      </c>
      <c r="P348" s="2">
        <v>0</v>
      </c>
    </row>
    <row r="349" spans="1:16">
      <c r="A349" s="2" t="s">
        <v>159</v>
      </c>
      <c r="B349" s="9">
        <v>26</v>
      </c>
      <c r="C349" s="2" t="s">
        <v>509</v>
      </c>
      <c r="D349" s="2" t="s">
        <v>693</v>
      </c>
      <c r="E349" s="2">
        <f>+IFERROR(VLOOKUP(A349,'2122'!$A$12:$C$389,2,),0)</f>
        <v>115865.81</v>
      </c>
      <c r="F349" s="2">
        <v>0</v>
      </c>
      <c r="G349" s="2">
        <f t="shared" si="28"/>
        <v>115865.81</v>
      </c>
      <c r="H349" s="2">
        <f>+IFERROR(VLOOKUP(A349,'2122'!$A$12:$C$389,3,),0)</f>
        <v>0</v>
      </c>
      <c r="I349" s="2">
        <v>0</v>
      </c>
      <c r="J349" s="2">
        <f t="shared" si="29"/>
        <v>0</v>
      </c>
      <c r="K349" s="2">
        <v>368858</v>
      </c>
      <c r="M349" s="2">
        <v>368858</v>
      </c>
      <c r="N349" s="2">
        <v>0</v>
      </c>
      <c r="P349" s="2">
        <v>0</v>
      </c>
    </row>
    <row r="350" spans="1:16">
      <c r="A350" s="2" t="s">
        <v>160</v>
      </c>
      <c r="B350" s="9">
        <v>26</v>
      </c>
      <c r="C350" s="2" t="s">
        <v>509</v>
      </c>
      <c r="D350" s="2" t="s">
        <v>693</v>
      </c>
      <c r="E350" s="2">
        <f>+IFERROR(VLOOKUP(A350,'2122'!$A$12:$C$389,2,),0)</f>
        <v>143075.34</v>
      </c>
      <c r="F350" s="2">
        <v>0</v>
      </c>
      <c r="G350" s="2">
        <f t="shared" si="28"/>
        <v>143075.34</v>
      </c>
      <c r="H350" s="2">
        <f>+IFERROR(VLOOKUP(A350,'2122'!$A$12:$C$389,3,),0)</f>
        <v>0</v>
      </c>
      <c r="I350" s="2">
        <v>0</v>
      </c>
      <c r="J350" s="2">
        <f t="shared" si="29"/>
        <v>0</v>
      </c>
      <c r="K350" s="2">
        <v>460969</v>
      </c>
      <c r="M350" s="2">
        <v>460969</v>
      </c>
      <c r="N350" s="2">
        <v>0</v>
      </c>
      <c r="P350" s="2">
        <v>0</v>
      </c>
    </row>
    <row r="351" spans="1:16">
      <c r="A351" s="2" t="s">
        <v>161</v>
      </c>
      <c r="B351" s="9">
        <v>27</v>
      </c>
      <c r="C351" s="2" t="s">
        <v>1560</v>
      </c>
      <c r="D351" s="2" t="s">
        <v>279</v>
      </c>
      <c r="E351" s="2">
        <f>+IFERROR(VLOOKUP(A351,'2122'!$A$12:$C$389,2,),0)</f>
        <v>28228</v>
      </c>
      <c r="F351" s="2">
        <v>0</v>
      </c>
      <c r="G351" s="2">
        <f t="shared" si="28"/>
        <v>28228</v>
      </c>
      <c r="H351" s="2">
        <f>+IFERROR(VLOOKUP(A351,'2122'!$A$12:$C$389,3,),0)</f>
        <v>0</v>
      </c>
      <c r="I351" s="2">
        <v>0</v>
      </c>
      <c r="J351" s="2">
        <f t="shared" si="29"/>
        <v>0</v>
      </c>
      <c r="K351" s="2">
        <v>7</v>
      </c>
      <c r="M351" s="2">
        <v>7</v>
      </c>
      <c r="N351" s="2">
        <v>0</v>
      </c>
      <c r="P351" s="2">
        <v>0</v>
      </c>
    </row>
    <row r="352" spans="1:16">
      <c r="A352" s="2" t="s">
        <v>162</v>
      </c>
      <c r="B352" s="9">
        <v>27</v>
      </c>
      <c r="C352" s="2" t="s">
        <v>1560</v>
      </c>
      <c r="D352" s="2" t="s">
        <v>279</v>
      </c>
      <c r="E352" s="2">
        <f>+IFERROR(VLOOKUP(A352,'2122'!$A$12:$C$389,2,),0)</f>
        <v>14597</v>
      </c>
      <c r="F352" s="2">
        <v>0</v>
      </c>
      <c r="G352" s="2">
        <f t="shared" si="28"/>
        <v>14597</v>
      </c>
      <c r="H352" s="2">
        <f>+IFERROR(VLOOKUP(A352,'2122'!$A$12:$C$389,3,),0)</f>
        <v>0</v>
      </c>
      <c r="I352" s="2">
        <v>0</v>
      </c>
      <c r="J352" s="2">
        <f t="shared" si="29"/>
        <v>0</v>
      </c>
      <c r="K352" s="2">
        <v>10150</v>
      </c>
      <c r="M352" s="2">
        <v>10150</v>
      </c>
      <c r="N352" s="2">
        <v>0</v>
      </c>
      <c r="P352" s="2">
        <v>0</v>
      </c>
    </row>
    <row r="353" spans="1:16">
      <c r="A353" s="2" t="s">
        <v>164</v>
      </c>
      <c r="B353" s="9">
        <v>27</v>
      </c>
      <c r="C353" s="2" t="s">
        <v>1560</v>
      </c>
      <c r="D353" s="2" t="s">
        <v>279</v>
      </c>
      <c r="E353" s="2">
        <f>+IFERROR(VLOOKUP(A353,'2122'!$A$12:$C$389,2,),0)</f>
        <v>11403</v>
      </c>
      <c r="F353" s="2">
        <v>0</v>
      </c>
      <c r="G353" s="2">
        <f t="shared" si="28"/>
        <v>11403</v>
      </c>
      <c r="H353" s="2">
        <f>+IFERROR(VLOOKUP(A353,'2122'!$A$12:$C$389,3,),0)</f>
        <v>0</v>
      </c>
      <c r="I353" s="2">
        <v>0</v>
      </c>
      <c r="J353" s="2">
        <f t="shared" si="29"/>
        <v>0</v>
      </c>
      <c r="K353" s="2">
        <v>468</v>
      </c>
      <c r="M353" s="2">
        <v>468</v>
      </c>
      <c r="N353" s="2">
        <v>0</v>
      </c>
      <c r="P353" s="2">
        <v>0</v>
      </c>
    </row>
    <row r="354" spans="1:16">
      <c r="A354" s="2" t="s">
        <v>165</v>
      </c>
      <c r="B354" s="9">
        <v>27</v>
      </c>
      <c r="C354" s="2" t="s">
        <v>1560</v>
      </c>
      <c r="D354" s="2" t="s">
        <v>279</v>
      </c>
      <c r="E354" s="2">
        <f>+IFERROR(VLOOKUP(A354,'2122'!$A$12:$C$389,2,),0)</f>
        <v>154003</v>
      </c>
      <c r="F354" s="2">
        <v>0</v>
      </c>
      <c r="G354" s="2">
        <f t="shared" si="28"/>
        <v>154003</v>
      </c>
      <c r="H354" s="2">
        <f>+IFERROR(VLOOKUP(A354,'2122'!$A$12:$C$389,3,),0)</f>
        <v>0</v>
      </c>
      <c r="I354" s="2">
        <v>0</v>
      </c>
      <c r="J354" s="2">
        <f t="shared" si="29"/>
        <v>0</v>
      </c>
      <c r="K354" s="2">
        <v>19982</v>
      </c>
      <c r="M354" s="2">
        <v>19982</v>
      </c>
      <c r="N354" s="2">
        <v>0</v>
      </c>
      <c r="P354" s="2">
        <v>0</v>
      </c>
    </row>
    <row r="355" spans="1:16">
      <c r="A355" s="2" t="s">
        <v>696</v>
      </c>
      <c r="B355" s="9">
        <v>27</v>
      </c>
      <c r="C355" s="2" t="s">
        <v>1560</v>
      </c>
      <c r="D355" s="2" t="s">
        <v>279</v>
      </c>
      <c r="E355" s="2">
        <f>+IFERROR(VLOOKUP(A355,'2122'!$A$12:$C$389,2,),0)</f>
        <v>0</v>
      </c>
      <c r="F355" s="2">
        <v>0</v>
      </c>
      <c r="G355" s="2">
        <f t="shared" si="28"/>
        <v>0</v>
      </c>
      <c r="H355" s="2">
        <f>+IFERROR(VLOOKUP(A355,'2122'!$A$12:$C$389,3,),0)</f>
        <v>0</v>
      </c>
      <c r="I355" s="2">
        <v>0</v>
      </c>
      <c r="J355" s="2">
        <f t="shared" si="29"/>
        <v>0</v>
      </c>
      <c r="K355" s="2">
        <v>76133</v>
      </c>
      <c r="M355" s="2">
        <v>76133</v>
      </c>
      <c r="N355" s="2">
        <v>0</v>
      </c>
      <c r="P355" s="2">
        <v>0</v>
      </c>
    </row>
    <row r="356" spans="1:16">
      <c r="A356" s="2" t="s">
        <v>167</v>
      </c>
      <c r="B356" s="9">
        <v>27</v>
      </c>
      <c r="C356" s="2" t="s">
        <v>1560</v>
      </c>
      <c r="D356" s="2" t="s">
        <v>279</v>
      </c>
      <c r="E356" s="2">
        <f>+IFERROR(VLOOKUP(A356,'2122'!$A$12:$C$389,2,),0)</f>
        <v>2716</v>
      </c>
      <c r="F356" s="2">
        <v>0</v>
      </c>
      <c r="G356" s="2">
        <f t="shared" si="28"/>
        <v>2716</v>
      </c>
      <c r="H356" s="2">
        <f>+IFERROR(VLOOKUP(A356,'2122'!$A$12:$C$389,3,),0)</f>
        <v>0</v>
      </c>
      <c r="I356" s="2">
        <v>0</v>
      </c>
      <c r="J356" s="2">
        <f t="shared" si="29"/>
        <v>0</v>
      </c>
      <c r="K356" s="2">
        <v>0</v>
      </c>
      <c r="M356" s="2">
        <v>0</v>
      </c>
      <c r="N356" s="2">
        <v>0</v>
      </c>
      <c r="P356" s="2">
        <v>0</v>
      </c>
    </row>
    <row r="357" spans="1:16">
      <c r="A357" s="2" t="s">
        <v>697</v>
      </c>
      <c r="B357" s="9">
        <v>27</v>
      </c>
      <c r="C357" s="2" t="s">
        <v>1560</v>
      </c>
      <c r="D357" s="2" t="s">
        <v>279</v>
      </c>
      <c r="E357" s="2">
        <f>+IFERROR(VLOOKUP(A357,'2122'!$A$12:$C$389,2,),0)</f>
        <v>0</v>
      </c>
      <c r="F357" s="2">
        <v>0</v>
      </c>
      <c r="G357" s="2">
        <f t="shared" si="28"/>
        <v>0</v>
      </c>
      <c r="H357" s="2">
        <f>+IFERROR(VLOOKUP(A357,'2122'!$A$12:$C$389,3,),0)</f>
        <v>0</v>
      </c>
      <c r="I357" s="2">
        <v>0</v>
      </c>
      <c r="J357" s="2">
        <f t="shared" si="29"/>
        <v>0</v>
      </c>
      <c r="K357" s="2">
        <v>0</v>
      </c>
      <c r="M357" s="2">
        <v>0</v>
      </c>
      <c r="N357" s="2">
        <v>0</v>
      </c>
      <c r="P357" s="2">
        <v>0</v>
      </c>
    </row>
    <row r="358" spans="1:16">
      <c r="A358" s="2" t="s">
        <v>698</v>
      </c>
      <c r="B358" s="9">
        <v>27</v>
      </c>
      <c r="C358" s="2" t="s">
        <v>1560</v>
      </c>
      <c r="D358" s="2" t="s">
        <v>279</v>
      </c>
      <c r="E358" s="2">
        <f>+IFERROR(VLOOKUP(A358,'2122'!$A$12:$C$389,2,),0)</f>
        <v>0</v>
      </c>
      <c r="F358" s="2">
        <v>0</v>
      </c>
      <c r="G358" s="2">
        <f t="shared" si="28"/>
        <v>0</v>
      </c>
      <c r="H358" s="2">
        <f>+IFERROR(VLOOKUP(A358,'2122'!$A$12:$C$389,3,),0)</f>
        <v>0</v>
      </c>
      <c r="I358" s="2">
        <v>0</v>
      </c>
      <c r="J358" s="2">
        <f t="shared" si="29"/>
        <v>0</v>
      </c>
      <c r="K358" s="2">
        <v>0</v>
      </c>
      <c r="M358" s="2">
        <v>0</v>
      </c>
      <c r="N358" s="2">
        <v>0</v>
      </c>
      <c r="P358" s="2">
        <v>0</v>
      </c>
    </row>
    <row r="359" spans="1:16">
      <c r="A359" s="2" t="s">
        <v>168</v>
      </c>
      <c r="B359" s="9">
        <v>27</v>
      </c>
      <c r="C359" s="2" t="s">
        <v>1560</v>
      </c>
      <c r="D359" s="2" t="s">
        <v>279</v>
      </c>
      <c r="E359" s="2">
        <f>+IFERROR(VLOOKUP(A359,'2122'!$A$12:$C$389,2,),0)</f>
        <v>44863</v>
      </c>
      <c r="F359" s="2">
        <v>0</v>
      </c>
      <c r="G359" s="2">
        <f t="shared" si="28"/>
        <v>44863</v>
      </c>
      <c r="H359" s="2">
        <f>+IFERROR(VLOOKUP(A359,'2122'!$A$12:$C$389,3,),0)</f>
        <v>0</v>
      </c>
      <c r="I359" s="2">
        <v>0</v>
      </c>
      <c r="J359" s="2">
        <f t="shared" si="29"/>
        <v>0</v>
      </c>
      <c r="K359" s="2">
        <v>7</v>
      </c>
      <c r="M359" s="2">
        <v>7</v>
      </c>
      <c r="N359" s="2">
        <v>0</v>
      </c>
      <c r="P359" s="2">
        <v>0</v>
      </c>
    </row>
    <row r="360" spans="1:16">
      <c r="A360" s="2" t="s">
        <v>699</v>
      </c>
      <c r="B360" s="9">
        <v>27</v>
      </c>
      <c r="C360" s="2" t="s">
        <v>1560</v>
      </c>
      <c r="D360" s="2" t="s">
        <v>279</v>
      </c>
      <c r="E360" s="2">
        <f>+IFERROR(VLOOKUP(A360,'2122'!$A$12:$C$389,2,),0)</f>
        <v>6791</v>
      </c>
      <c r="F360" s="2">
        <v>0</v>
      </c>
      <c r="G360" s="2">
        <f t="shared" si="28"/>
        <v>6791</v>
      </c>
      <c r="H360" s="2">
        <f>+IFERROR(VLOOKUP(A360,'2122'!$A$12:$C$389,3,),0)</f>
        <v>0</v>
      </c>
      <c r="I360" s="2">
        <v>0</v>
      </c>
      <c r="J360" s="2">
        <f t="shared" si="29"/>
        <v>0</v>
      </c>
      <c r="K360" s="2">
        <v>4285</v>
      </c>
      <c r="M360" s="2">
        <v>4285</v>
      </c>
      <c r="N360" s="2">
        <v>0</v>
      </c>
      <c r="P360" s="2">
        <v>0</v>
      </c>
    </row>
    <row r="361" spans="1:16">
      <c r="A361" s="2" t="s">
        <v>700</v>
      </c>
      <c r="B361" s="9">
        <v>27</v>
      </c>
      <c r="C361" s="2" t="s">
        <v>1560</v>
      </c>
      <c r="D361" s="2" t="s">
        <v>279</v>
      </c>
      <c r="E361" s="2">
        <f>+IFERROR(VLOOKUP(A361,'2122'!$A$12:$C$389,2,),0)</f>
        <v>0</v>
      </c>
      <c r="F361" s="2">
        <v>0</v>
      </c>
      <c r="G361" s="2">
        <f t="shared" si="28"/>
        <v>0</v>
      </c>
      <c r="H361" s="2">
        <f>+IFERROR(VLOOKUP(A361,'2122'!$A$12:$C$389,3,),0)</f>
        <v>0</v>
      </c>
      <c r="I361" s="2">
        <v>0</v>
      </c>
      <c r="J361" s="2">
        <f t="shared" si="29"/>
        <v>0</v>
      </c>
      <c r="K361" s="2">
        <v>0</v>
      </c>
      <c r="M361" s="2">
        <v>0</v>
      </c>
      <c r="N361" s="2">
        <v>0</v>
      </c>
      <c r="P361" s="2">
        <v>0</v>
      </c>
    </row>
    <row r="362" spans="1:16">
      <c r="A362" s="2" t="s">
        <v>701</v>
      </c>
      <c r="B362" s="9">
        <v>27</v>
      </c>
      <c r="C362" s="2" t="s">
        <v>1560</v>
      </c>
      <c r="D362" s="2" t="s">
        <v>279</v>
      </c>
      <c r="E362" s="2">
        <f>+IFERROR(VLOOKUP(A362,'2122'!$A$12:$C$389,2,),0)</f>
        <v>0</v>
      </c>
      <c r="F362" s="2">
        <v>0</v>
      </c>
      <c r="G362" s="2">
        <f t="shared" si="28"/>
        <v>0</v>
      </c>
      <c r="H362" s="2">
        <f>+IFERROR(VLOOKUP(A362,'2122'!$A$12:$C$389,3,),0)</f>
        <v>0</v>
      </c>
      <c r="I362" s="2">
        <v>0</v>
      </c>
      <c r="J362" s="2">
        <f t="shared" si="29"/>
        <v>0</v>
      </c>
      <c r="K362" s="2">
        <v>0</v>
      </c>
      <c r="M362" s="2">
        <v>0</v>
      </c>
      <c r="N362" s="2">
        <v>0</v>
      </c>
      <c r="P362" s="2">
        <v>0</v>
      </c>
    </row>
    <row r="363" spans="1:16">
      <c r="A363" s="2" t="s">
        <v>702</v>
      </c>
      <c r="B363" s="9">
        <v>18</v>
      </c>
      <c r="C363" s="2" t="s">
        <v>1551</v>
      </c>
      <c r="D363" s="2" t="s">
        <v>1624</v>
      </c>
      <c r="E363" s="2">
        <f>+IFERROR(VLOOKUP(A363,'2122'!$A$12:$C$389,2,),0)</f>
        <v>0</v>
      </c>
      <c r="F363" s="2">
        <v>0</v>
      </c>
      <c r="G363" s="2">
        <f t="shared" si="28"/>
        <v>0</v>
      </c>
      <c r="H363" s="2">
        <f>+IFERROR(VLOOKUP(A363,'2122'!$A$12:$C$389,3,),0)</f>
        <v>0</v>
      </c>
      <c r="I363" s="2">
        <v>0</v>
      </c>
      <c r="J363" s="2">
        <f t="shared" si="29"/>
        <v>0</v>
      </c>
      <c r="K363" s="2">
        <v>0</v>
      </c>
      <c r="M363" s="2">
        <v>0</v>
      </c>
      <c r="N363" s="2">
        <v>139269</v>
      </c>
      <c r="P363" s="2">
        <v>139269</v>
      </c>
    </row>
    <row r="364" spans="1:16">
      <c r="A364" s="2" t="s">
        <v>703</v>
      </c>
      <c r="B364" s="9">
        <v>26</v>
      </c>
      <c r="C364" s="2" t="s">
        <v>509</v>
      </c>
      <c r="D364" s="2" t="s">
        <v>693</v>
      </c>
      <c r="E364" s="2">
        <f>+IFERROR(VLOOKUP(A364,'2122'!$A$12:$C$389,2,),0)</f>
        <v>4146914</v>
      </c>
      <c r="F364" s="2">
        <v>0</v>
      </c>
      <c r="G364" s="2">
        <f t="shared" si="28"/>
        <v>4146914</v>
      </c>
      <c r="H364" s="2">
        <f>+IFERROR(VLOOKUP(A364,'2122'!$A$12:$C$389,3,),0)</f>
        <v>0</v>
      </c>
      <c r="I364" s="2">
        <v>0</v>
      </c>
      <c r="J364" s="2">
        <f t="shared" si="29"/>
        <v>0</v>
      </c>
      <c r="K364" s="2">
        <v>2678489.9500000002</v>
      </c>
      <c r="M364" s="2">
        <v>2678489.9500000002</v>
      </c>
      <c r="N364" s="2">
        <v>0</v>
      </c>
      <c r="P364" s="2">
        <v>0</v>
      </c>
    </row>
    <row r="365" spans="1:16">
      <c r="A365" s="2" t="s">
        <v>704</v>
      </c>
      <c r="B365" s="9">
        <v>26</v>
      </c>
      <c r="C365" s="2" t="s">
        <v>509</v>
      </c>
      <c r="D365" s="2" t="s">
        <v>693</v>
      </c>
      <c r="E365" s="2">
        <f>+IFERROR(VLOOKUP(A365,'2122'!$A$12:$C$389,2,),0)</f>
        <v>0</v>
      </c>
      <c r="F365" s="2">
        <v>0</v>
      </c>
      <c r="G365" s="2">
        <f t="shared" si="28"/>
        <v>0</v>
      </c>
      <c r="H365" s="2">
        <f>+IFERROR(VLOOKUP(A365,'2122'!$A$12:$C$389,3,),0)</f>
        <v>0</v>
      </c>
      <c r="I365" s="2">
        <v>0</v>
      </c>
      <c r="J365" s="2">
        <f t="shared" si="29"/>
        <v>0</v>
      </c>
      <c r="K365" s="2">
        <v>6</v>
      </c>
      <c r="M365" s="2">
        <v>6</v>
      </c>
      <c r="N365" s="2">
        <v>0</v>
      </c>
      <c r="P365" s="2">
        <v>0</v>
      </c>
    </row>
    <row r="366" spans="1:16">
      <c r="A366" s="2" t="s">
        <v>705</v>
      </c>
      <c r="B366" s="9">
        <v>26</v>
      </c>
      <c r="C366" s="2" t="s">
        <v>509</v>
      </c>
      <c r="D366" s="2" t="s">
        <v>693</v>
      </c>
      <c r="E366" s="2">
        <f>+IFERROR(VLOOKUP(A366,'2122'!$A$12:$C$389,2,),0)</f>
        <v>0</v>
      </c>
      <c r="F366" s="2">
        <v>0</v>
      </c>
      <c r="G366" s="2">
        <f t="shared" si="28"/>
        <v>0</v>
      </c>
      <c r="H366" s="2">
        <f>+IFERROR(VLOOKUP(A366,'2122'!$A$12:$C$389,3,),0)</f>
        <v>0</v>
      </c>
      <c r="I366" s="2">
        <v>0</v>
      </c>
      <c r="J366" s="2">
        <f t="shared" si="29"/>
        <v>0</v>
      </c>
      <c r="K366" s="2">
        <v>1225</v>
      </c>
      <c r="M366" s="2">
        <v>1225</v>
      </c>
      <c r="N366" s="2">
        <v>0</v>
      </c>
      <c r="P366" s="2">
        <v>0</v>
      </c>
    </row>
    <row r="367" spans="1:16">
      <c r="A367" s="2" t="s">
        <v>706</v>
      </c>
      <c r="B367" s="9">
        <v>26</v>
      </c>
      <c r="C367" s="2" t="s">
        <v>509</v>
      </c>
      <c r="D367" s="2" t="s">
        <v>693</v>
      </c>
      <c r="E367" s="2">
        <f>+IFERROR(VLOOKUP(A367,'2122'!$A$12:$C$389,2,),0)</f>
        <v>1795701</v>
      </c>
      <c r="F367" s="2">
        <v>0</v>
      </c>
      <c r="G367" s="2">
        <f t="shared" si="28"/>
        <v>1795701</v>
      </c>
      <c r="H367" s="2">
        <f>+IFERROR(VLOOKUP(A367,'2122'!$A$12:$C$389,3,),0)</f>
        <v>0</v>
      </c>
      <c r="I367" s="2">
        <v>0</v>
      </c>
      <c r="J367" s="2">
        <f t="shared" si="29"/>
        <v>0</v>
      </c>
      <c r="K367" s="2">
        <v>1577670</v>
      </c>
      <c r="M367" s="2">
        <v>1577670</v>
      </c>
      <c r="N367" s="2">
        <v>0</v>
      </c>
      <c r="P367" s="2">
        <v>0</v>
      </c>
    </row>
    <row r="368" spans="1:16">
      <c r="A368" s="2" t="s">
        <v>175</v>
      </c>
      <c r="B368" s="9">
        <v>27</v>
      </c>
      <c r="C368" s="2" t="s">
        <v>1560</v>
      </c>
      <c r="D368" s="2" t="s">
        <v>1307</v>
      </c>
      <c r="E368" s="2">
        <f>+IFERROR(VLOOKUP(A368,'2122'!$A$12:$C$389,2,),0)</f>
        <v>200000</v>
      </c>
      <c r="F368" s="2">
        <v>0</v>
      </c>
      <c r="G368" s="2">
        <f t="shared" si="28"/>
        <v>200000</v>
      </c>
      <c r="H368" s="2">
        <f>+IFERROR(VLOOKUP(A368,'2122'!$A$12:$C$389,3,),0)</f>
        <v>0</v>
      </c>
      <c r="I368" s="2">
        <v>0</v>
      </c>
      <c r="J368" s="2">
        <f t="shared" si="29"/>
        <v>0</v>
      </c>
      <c r="K368" s="2">
        <v>180000</v>
      </c>
      <c r="M368" s="2">
        <v>180000</v>
      </c>
      <c r="N368" s="2">
        <v>0</v>
      </c>
      <c r="P368" s="2">
        <v>0</v>
      </c>
    </row>
    <row r="369" spans="1:16">
      <c r="A369" s="2" t="s">
        <v>707</v>
      </c>
      <c r="B369" s="9">
        <v>17</v>
      </c>
      <c r="C369" s="2" t="s">
        <v>415</v>
      </c>
      <c r="D369" s="2" t="s">
        <v>415</v>
      </c>
      <c r="E369" s="2">
        <f>+IFERROR(VLOOKUP(A369,'2122'!$A$12:$C$389,2,),0)</f>
        <v>0</v>
      </c>
      <c r="F369" s="2">
        <v>0</v>
      </c>
      <c r="G369" s="2">
        <f t="shared" si="28"/>
        <v>0</v>
      </c>
      <c r="H369" s="2">
        <f>+IFERROR(VLOOKUP(A369,'2122'!$A$12:$C$389,3,),0)</f>
        <v>0</v>
      </c>
      <c r="I369" s="2">
        <v>0</v>
      </c>
      <c r="J369" s="2">
        <f t="shared" si="29"/>
        <v>0</v>
      </c>
      <c r="K369" s="2">
        <v>0</v>
      </c>
      <c r="M369" s="2">
        <v>0</v>
      </c>
      <c r="N369" s="2">
        <v>0</v>
      </c>
      <c r="P369" s="2">
        <v>0</v>
      </c>
    </row>
    <row r="370" spans="1:16">
      <c r="A370" s="2" t="s">
        <v>708</v>
      </c>
      <c r="B370" s="9">
        <v>17</v>
      </c>
      <c r="C370" s="2" t="s">
        <v>415</v>
      </c>
      <c r="D370" s="2" t="s">
        <v>415</v>
      </c>
      <c r="E370" s="2">
        <f>+IFERROR(VLOOKUP(A370,'2122'!$A$12:$C$389,2,),0)</f>
        <v>0</v>
      </c>
      <c r="F370" s="2">
        <v>0</v>
      </c>
      <c r="G370" s="2">
        <f t="shared" si="28"/>
        <v>0</v>
      </c>
      <c r="H370" s="2">
        <f>+IFERROR(VLOOKUP(A370,'2122'!$A$12:$C$389,3,),0)</f>
        <v>828637</v>
      </c>
      <c r="I370" s="2">
        <v>0</v>
      </c>
      <c r="J370" s="2">
        <f t="shared" si="29"/>
        <v>828637</v>
      </c>
      <c r="K370" s="2">
        <v>0</v>
      </c>
      <c r="M370" s="2">
        <v>0</v>
      </c>
      <c r="N370" s="2">
        <v>537677</v>
      </c>
      <c r="P370" s="2">
        <v>537677</v>
      </c>
    </row>
    <row r="371" spans="1:16">
      <c r="A371" s="2" t="s">
        <v>709</v>
      </c>
      <c r="B371" s="9">
        <v>17</v>
      </c>
      <c r="C371" s="2" t="s">
        <v>415</v>
      </c>
      <c r="D371" s="2" t="s">
        <v>415</v>
      </c>
      <c r="E371" s="2">
        <f>+IFERROR(VLOOKUP(A371,'2122'!$A$12:$C$389,2,),0)</f>
        <v>0</v>
      </c>
      <c r="F371" s="2">
        <v>0</v>
      </c>
      <c r="G371" s="2">
        <f t="shared" si="28"/>
        <v>0</v>
      </c>
      <c r="H371" s="2">
        <f>+IFERROR(VLOOKUP(A371,'2122'!$A$12:$C$389,3,),0)</f>
        <v>0</v>
      </c>
      <c r="I371" s="2">
        <v>0</v>
      </c>
      <c r="J371" s="2">
        <f t="shared" si="29"/>
        <v>0</v>
      </c>
      <c r="K371" s="2">
        <v>0</v>
      </c>
      <c r="M371" s="2">
        <v>0</v>
      </c>
      <c r="N371" s="2">
        <v>0</v>
      </c>
      <c r="P371" s="2">
        <v>0</v>
      </c>
    </row>
    <row r="372" spans="1:16">
      <c r="A372" s="2" t="s">
        <v>330</v>
      </c>
      <c r="B372" s="9">
        <v>17</v>
      </c>
      <c r="C372" s="2" t="s">
        <v>415</v>
      </c>
      <c r="D372" s="2" t="s">
        <v>415</v>
      </c>
      <c r="E372" s="2">
        <f>+IFERROR(VLOOKUP(A372,'2122'!$A$12:$C$389,2,),0)</f>
        <v>0</v>
      </c>
      <c r="F372" s="2">
        <v>0</v>
      </c>
      <c r="G372" s="2">
        <f t="shared" si="28"/>
        <v>0</v>
      </c>
      <c r="H372" s="2">
        <f>+IFERROR(VLOOKUP(A372,'2122'!$A$12:$C$389,3,),0)</f>
        <v>2686453</v>
      </c>
      <c r="I372" s="2">
        <v>0</v>
      </c>
      <c r="J372" s="2">
        <f t="shared" si="29"/>
        <v>2686453</v>
      </c>
      <c r="K372" s="2">
        <v>0</v>
      </c>
      <c r="M372" s="2">
        <v>0</v>
      </c>
      <c r="N372" s="2">
        <v>2456715</v>
      </c>
      <c r="P372" s="2">
        <v>2456715</v>
      </c>
    </row>
    <row r="373" spans="1:16">
      <c r="A373" s="2" t="s">
        <v>710</v>
      </c>
      <c r="B373" s="9">
        <v>6</v>
      </c>
      <c r="C373" s="2" t="s">
        <v>1074</v>
      </c>
      <c r="D373" s="2" t="s">
        <v>423</v>
      </c>
      <c r="E373" s="2">
        <f>+IFERROR(VLOOKUP(A373,'2122'!$A$12:$C$389,2,),0)</f>
        <v>0</v>
      </c>
      <c r="F373" s="2">
        <v>0</v>
      </c>
      <c r="G373" s="2">
        <f t="shared" si="28"/>
        <v>0</v>
      </c>
      <c r="H373" s="2">
        <f>+IFERROR(VLOOKUP(A373,'2122'!$A$12:$C$389,3,),0)</f>
        <v>0</v>
      </c>
      <c r="I373" s="2">
        <v>0</v>
      </c>
      <c r="J373" s="2">
        <f t="shared" si="29"/>
        <v>0</v>
      </c>
      <c r="K373" s="2">
        <v>0</v>
      </c>
      <c r="M373" s="2">
        <v>0</v>
      </c>
      <c r="N373" s="2">
        <v>0</v>
      </c>
      <c r="P373" s="2">
        <v>0</v>
      </c>
    </row>
    <row r="374" spans="1:16">
      <c r="A374" s="2" t="s">
        <v>711</v>
      </c>
      <c r="B374" s="9">
        <v>6</v>
      </c>
      <c r="C374" s="2" t="s">
        <v>1074</v>
      </c>
      <c r="D374" s="2" t="s">
        <v>423</v>
      </c>
      <c r="E374" s="2">
        <f>+IFERROR(VLOOKUP(A374,'2122'!$A$12:$C$389,2,),0)</f>
        <v>0</v>
      </c>
      <c r="F374" s="2">
        <v>0</v>
      </c>
      <c r="G374" s="2">
        <f t="shared" si="28"/>
        <v>0</v>
      </c>
      <c r="H374" s="2">
        <f>+IFERROR(VLOOKUP(A374,'2122'!$A$12:$C$389,3,),0)</f>
        <v>0</v>
      </c>
      <c r="I374" s="2">
        <v>0</v>
      </c>
      <c r="J374" s="2">
        <f t="shared" si="29"/>
        <v>0</v>
      </c>
      <c r="K374" s="2">
        <v>172778</v>
      </c>
      <c r="M374" s="2">
        <v>172778</v>
      </c>
      <c r="N374" s="2">
        <v>0</v>
      </c>
      <c r="P374" s="2">
        <v>0</v>
      </c>
    </row>
    <row r="375" spans="1:16">
      <c r="A375" s="2" t="s">
        <v>712</v>
      </c>
      <c r="B375" s="9">
        <v>17</v>
      </c>
      <c r="C375" s="2" t="s">
        <v>415</v>
      </c>
      <c r="D375" s="2" t="s">
        <v>415</v>
      </c>
      <c r="E375" s="2">
        <f>+IFERROR(VLOOKUP(A375,'2122'!$A$12:$C$389,2,),0)</f>
        <v>0</v>
      </c>
      <c r="F375" s="2">
        <v>0</v>
      </c>
      <c r="G375" s="2">
        <f t="shared" si="28"/>
        <v>0</v>
      </c>
      <c r="H375" s="2">
        <f>+IFERROR(VLOOKUP(A375,'2122'!$A$12:$C$389,3,),0)</f>
        <v>0</v>
      </c>
      <c r="I375" s="2">
        <v>0</v>
      </c>
      <c r="J375" s="2">
        <f t="shared" si="29"/>
        <v>0</v>
      </c>
      <c r="K375" s="2">
        <v>0</v>
      </c>
      <c r="M375" s="2">
        <v>0</v>
      </c>
      <c r="N375" s="2">
        <v>0</v>
      </c>
      <c r="P375" s="2">
        <v>0</v>
      </c>
    </row>
    <row r="376" spans="1:16">
      <c r="A376" s="2" t="s">
        <v>713</v>
      </c>
      <c r="B376" s="9">
        <v>17</v>
      </c>
      <c r="C376" s="2" t="s">
        <v>415</v>
      </c>
      <c r="D376" s="2" t="s">
        <v>416</v>
      </c>
      <c r="E376" s="2">
        <f>+IFERROR(VLOOKUP(A376,'2122'!$A$12:$C$389,2,),0)</f>
        <v>0</v>
      </c>
      <c r="F376" s="2">
        <v>0</v>
      </c>
      <c r="G376" s="2">
        <f t="shared" si="28"/>
        <v>0</v>
      </c>
      <c r="H376" s="2">
        <f>+IFERROR(VLOOKUP(A376,'2122'!$A$12:$C$389,3,),0)</f>
        <v>0</v>
      </c>
      <c r="I376" s="2">
        <v>0</v>
      </c>
      <c r="J376" s="2">
        <f t="shared" si="29"/>
        <v>0</v>
      </c>
      <c r="K376" s="2">
        <v>0</v>
      </c>
      <c r="M376" s="2">
        <v>0</v>
      </c>
      <c r="N376" s="2">
        <v>0</v>
      </c>
      <c r="P376" s="2">
        <v>0</v>
      </c>
    </row>
    <row r="377" spans="1:16">
      <c r="A377" s="2" t="s">
        <v>714</v>
      </c>
      <c r="B377" s="9">
        <v>17</v>
      </c>
      <c r="C377" s="2" t="s">
        <v>415</v>
      </c>
      <c r="D377" s="2" t="s">
        <v>416</v>
      </c>
      <c r="E377" s="2">
        <f>+IFERROR(VLOOKUP(A377,'2122'!$A$12:$C$389,2,),0)</f>
        <v>0</v>
      </c>
      <c r="F377" s="2">
        <v>0</v>
      </c>
      <c r="G377" s="2">
        <f t="shared" si="28"/>
        <v>0</v>
      </c>
      <c r="H377" s="2">
        <f>+IFERROR(VLOOKUP(A377,'2122'!$A$12:$C$389,3,),0)</f>
        <v>0</v>
      </c>
      <c r="I377" s="2">
        <v>0</v>
      </c>
      <c r="J377" s="2">
        <f t="shared" si="29"/>
        <v>0</v>
      </c>
      <c r="K377" s="2">
        <v>0</v>
      </c>
      <c r="M377" s="2">
        <v>0</v>
      </c>
      <c r="N377" s="2">
        <v>0</v>
      </c>
      <c r="P377" s="2">
        <v>0</v>
      </c>
    </row>
    <row r="378" spans="1:16">
      <c r="A378" s="2" t="s">
        <v>715</v>
      </c>
      <c r="B378" s="9">
        <v>17</v>
      </c>
      <c r="C378" s="2" t="s">
        <v>415</v>
      </c>
      <c r="D378" s="2" t="s">
        <v>416</v>
      </c>
      <c r="E378" s="2">
        <f>+IFERROR(VLOOKUP(A378,'2122'!$A$12:$C$389,2,),0)</f>
        <v>0</v>
      </c>
      <c r="F378" s="2">
        <v>0</v>
      </c>
      <c r="G378" s="2">
        <f t="shared" si="28"/>
        <v>0</v>
      </c>
      <c r="H378" s="2">
        <f>+IFERROR(VLOOKUP(A378,'2122'!$A$12:$C$389,3,),0)</f>
        <v>0</v>
      </c>
      <c r="I378" s="2">
        <v>0</v>
      </c>
      <c r="J378" s="2">
        <f t="shared" si="29"/>
        <v>0</v>
      </c>
      <c r="K378" s="2">
        <v>0</v>
      </c>
      <c r="M378" s="2">
        <v>0</v>
      </c>
      <c r="N378" s="2">
        <v>0</v>
      </c>
      <c r="P378" s="2">
        <v>0</v>
      </c>
    </row>
    <row r="379" spans="1:16">
      <c r="A379" s="2" t="s">
        <v>356</v>
      </c>
      <c r="B379" s="9">
        <v>4</v>
      </c>
      <c r="C379" s="2" t="s">
        <v>1547</v>
      </c>
      <c r="D379" s="2" t="s">
        <v>958</v>
      </c>
      <c r="E379" s="2">
        <f>+IFERROR(VLOOKUP(A379,'2122'!$A$12:$C$389,2,),0)</f>
        <v>700000</v>
      </c>
      <c r="F379" s="2">
        <v>0</v>
      </c>
      <c r="G379" s="2">
        <f t="shared" si="28"/>
        <v>700000</v>
      </c>
      <c r="H379" s="2">
        <f>+IFERROR(VLOOKUP(A379,'2122'!$A$12:$C$389,3,),0)</f>
        <v>0</v>
      </c>
      <c r="I379" s="2">
        <v>0</v>
      </c>
      <c r="J379" s="2">
        <f t="shared" si="29"/>
        <v>0</v>
      </c>
      <c r="K379" s="2">
        <v>0</v>
      </c>
      <c r="M379" s="2">
        <v>0</v>
      </c>
      <c r="N379" s="2">
        <v>0</v>
      </c>
      <c r="P379" s="2">
        <v>0</v>
      </c>
    </row>
    <row r="380" spans="1:16">
      <c r="A380" s="2" t="s">
        <v>176</v>
      </c>
      <c r="B380" s="9">
        <v>13</v>
      </c>
      <c r="C380" s="2" t="s">
        <v>474</v>
      </c>
      <c r="D380" s="2" t="s">
        <v>475</v>
      </c>
      <c r="E380" s="2">
        <f>+IFERROR(VLOOKUP(A380,'2122'!$A$12:$C$389,2,),0)</f>
        <v>0</v>
      </c>
      <c r="F380" s="2">
        <v>0</v>
      </c>
      <c r="G380" s="2">
        <f t="shared" si="28"/>
        <v>0</v>
      </c>
      <c r="H380" s="2">
        <f>+IFERROR(VLOOKUP(A380,'2122'!$A$12:$C$389,3,),0)</f>
        <v>5747563</v>
      </c>
      <c r="I380" s="2">
        <v>0</v>
      </c>
      <c r="J380" s="2">
        <f t="shared" si="29"/>
        <v>5747563</v>
      </c>
      <c r="K380" s="2">
        <v>0</v>
      </c>
      <c r="M380" s="2">
        <v>0</v>
      </c>
      <c r="N380" s="2">
        <v>6384474</v>
      </c>
      <c r="P380" s="2">
        <v>6384474</v>
      </c>
    </row>
    <row r="381" spans="1:16">
      <c r="A381" s="2" t="s">
        <v>716</v>
      </c>
      <c r="B381" s="9">
        <v>17</v>
      </c>
      <c r="C381" s="2" t="s">
        <v>415</v>
      </c>
      <c r="D381" s="2" t="s">
        <v>415</v>
      </c>
      <c r="E381" s="2">
        <f>+IFERROR(VLOOKUP(A381,'2122'!$A$12:$C$389,2,),0)</f>
        <v>0</v>
      </c>
      <c r="F381" s="2">
        <v>0</v>
      </c>
      <c r="G381" s="2">
        <f t="shared" si="28"/>
        <v>0</v>
      </c>
      <c r="H381" s="2">
        <f>+IFERROR(VLOOKUP(A381,'2122'!$A$12:$C$389,3,),0)</f>
        <v>0</v>
      </c>
      <c r="I381" s="2">
        <v>0</v>
      </c>
      <c r="J381" s="2">
        <f t="shared" si="29"/>
        <v>0</v>
      </c>
      <c r="K381" s="2">
        <v>0</v>
      </c>
      <c r="M381" s="2">
        <v>0</v>
      </c>
      <c r="N381" s="2">
        <v>0</v>
      </c>
      <c r="P381" s="2">
        <v>0</v>
      </c>
    </row>
    <row r="382" spans="1:16">
      <c r="A382" s="2" t="s">
        <v>717</v>
      </c>
      <c r="B382" s="9">
        <v>6</v>
      </c>
      <c r="C382" s="2" t="s">
        <v>1074</v>
      </c>
      <c r="D382" s="2" t="s">
        <v>423</v>
      </c>
      <c r="E382" s="2">
        <f>+IFERROR(VLOOKUP(A382,'2122'!$A$12:$C$389,2,),0)</f>
        <v>0</v>
      </c>
      <c r="F382" s="2">
        <v>0</v>
      </c>
      <c r="G382" s="2">
        <f t="shared" si="28"/>
        <v>0</v>
      </c>
      <c r="H382" s="2">
        <f>+IFERROR(VLOOKUP(A382,'2122'!$A$12:$C$389,3,),0)</f>
        <v>0</v>
      </c>
      <c r="I382" s="2">
        <v>0</v>
      </c>
      <c r="J382" s="2">
        <f t="shared" si="29"/>
        <v>0</v>
      </c>
      <c r="K382" s="2">
        <v>0</v>
      </c>
      <c r="M382" s="2">
        <v>0</v>
      </c>
      <c r="N382" s="2">
        <v>0</v>
      </c>
      <c r="P382" s="2">
        <v>0</v>
      </c>
    </row>
    <row r="383" spans="1:16">
      <c r="A383" s="2" t="s">
        <v>718</v>
      </c>
      <c r="B383" s="9">
        <v>6</v>
      </c>
      <c r="C383" s="2" t="s">
        <v>1074</v>
      </c>
      <c r="D383" s="2" t="s">
        <v>423</v>
      </c>
      <c r="E383" s="2">
        <f>+IFERROR(VLOOKUP(A383,'2122'!$A$12:$C$389,2,),0)</f>
        <v>1310924</v>
      </c>
      <c r="F383" s="2">
        <v>0</v>
      </c>
      <c r="G383" s="2">
        <f t="shared" si="28"/>
        <v>1310924</v>
      </c>
      <c r="H383" s="2">
        <f>+IFERROR(VLOOKUP(A383,'2122'!$A$12:$C$389,3,),0)</f>
        <v>0</v>
      </c>
      <c r="I383" s="2">
        <v>0</v>
      </c>
      <c r="J383" s="2">
        <f t="shared" si="29"/>
        <v>0</v>
      </c>
      <c r="K383" s="2">
        <v>0</v>
      </c>
      <c r="M383" s="2">
        <v>0</v>
      </c>
      <c r="N383" s="2">
        <v>0</v>
      </c>
      <c r="P383" s="2">
        <v>0</v>
      </c>
    </row>
    <row r="384" spans="1:16">
      <c r="A384" s="2" t="s">
        <v>719</v>
      </c>
      <c r="B384" s="9">
        <v>6</v>
      </c>
      <c r="C384" s="2" t="s">
        <v>1074</v>
      </c>
      <c r="D384" s="2" t="s">
        <v>423</v>
      </c>
      <c r="E384" s="2">
        <f>+IFERROR(VLOOKUP(A384,'2122'!$A$12:$C$389,2,),0)</f>
        <v>0</v>
      </c>
      <c r="F384" s="2">
        <v>0</v>
      </c>
      <c r="G384" s="2">
        <f t="shared" si="28"/>
        <v>0</v>
      </c>
      <c r="H384" s="2">
        <f>+IFERROR(VLOOKUP(A384,'2122'!$A$12:$C$389,3,),0)</f>
        <v>0</v>
      </c>
      <c r="I384" s="2">
        <v>0</v>
      </c>
      <c r="J384" s="2">
        <f t="shared" si="29"/>
        <v>0</v>
      </c>
      <c r="K384" s="2">
        <v>573513</v>
      </c>
      <c r="M384" s="2">
        <v>573513</v>
      </c>
      <c r="N384" s="2">
        <v>0</v>
      </c>
      <c r="P384" s="2">
        <v>0</v>
      </c>
    </row>
    <row r="385" spans="1:16">
      <c r="A385" s="2" t="s">
        <v>720</v>
      </c>
      <c r="B385" s="9">
        <v>17</v>
      </c>
      <c r="C385" s="2" t="s">
        <v>415</v>
      </c>
      <c r="D385" s="2" t="s">
        <v>416</v>
      </c>
      <c r="E385" s="2">
        <f>+IFERROR(VLOOKUP(A385,'2122'!$A$12:$C$389,2,),0)</f>
        <v>0</v>
      </c>
      <c r="F385" s="2">
        <v>0</v>
      </c>
      <c r="G385" s="2">
        <f t="shared" si="28"/>
        <v>0</v>
      </c>
      <c r="H385" s="2">
        <f>+IFERROR(VLOOKUP(A385,'2122'!$A$12:$C$389,3,),0)</f>
        <v>0</v>
      </c>
      <c r="I385" s="2">
        <v>0</v>
      </c>
      <c r="J385" s="2">
        <f t="shared" si="29"/>
        <v>0</v>
      </c>
      <c r="K385" s="2">
        <v>0</v>
      </c>
      <c r="M385" s="2">
        <v>0</v>
      </c>
      <c r="N385" s="2">
        <v>0</v>
      </c>
      <c r="P385" s="2">
        <v>0</v>
      </c>
    </row>
    <row r="386" spans="1:16">
      <c r="A386" s="2" t="s">
        <v>179</v>
      </c>
      <c r="B386" s="9">
        <v>9</v>
      </c>
      <c r="C386" s="2" t="s">
        <v>602</v>
      </c>
      <c r="D386" s="2" t="s">
        <v>450</v>
      </c>
      <c r="E386" s="2">
        <f>+IFERROR(VLOOKUP(A386,'2122'!$A$12:$C$389,2,),0)</f>
        <v>20000</v>
      </c>
      <c r="F386" s="2">
        <v>0</v>
      </c>
      <c r="G386" s="2">
        <f t="shared" si="28"/>
        <v>20000</v>
      </c>
      <c r="H386" s="2">
        <f>+IFERROR(VLOOKUP(A386,'2122'!$A$12:$C$389,3,),0)</f>
        <v>0</v>
      </c>
      <c r="I386" s="2">
        <v>0</v>
      </c>
      <c r="J386" s="2">
        <f t="shared" si="29"/>
        <v>0</v>
      </c>
      <c r="K386" s="2">
        <v>66000</v>
      </c>
      <c r="M386" s="2">
        <v>66000</v>
      </c>
      <c r="N386" s="2">
        <v>0</v>
      </c>
      <c r="P386" s="2">
        <v>0</v>
      </c>
    </row>
    <row r="387" spans="1:16">
      <c r="A387" s="2" t="s">
        <v>721</v>
      </c>
      <c r="B387" s="9">
        <v>17</v>
      </c>
      <c r="C387" s="2" t="s">
        <v>415</v>
      </c>
      <c r="D387" s="2" t="s">
        <v>416</v>
      </c>
      <c r="E387" s="2">
        <f>+IFERROR(VLOOKUP(A387,'2122'!$A$12:$C$389,2,),0)</f>
        <v>0</v>
      </c>
      <c r="F387" s="2">
        <v>0</v>
      </c>
      <c r="G387" s="2">
        <f t="shared" si="28"/>
        <v>0</v>
      </c>
      <c r="H387" s="2">
        <f>+IFERROR(VLOOKUP(A387,'2122'!$A$12:$C$389,3,),0)</f>
        <v>0</v>
      </c>
      <c r="I387" s="2">
        <v>0</v>
      </c>
      <c r="J387" s="2">
        <f t="shared" si="29"/>
        <v>0</v>
      </c>
      <c r="K387" s="2">
        <v>0</v>
      </c>
      <c r="M387" s="2">
        <v>0</v>
      </c>
      <c r="N387" s="2">
        <v>0</v>
      </c>
      <c r="P387" s="2">
        <v>0</v>
      </c>
    </row>
    <row r="388" spans="1:16">
      <c r="A388" s="2" t="s">
        <v>185</v>
      </c>
      <c r="B388" s="9">
        <v>17</v>
      </c>
      <c r="C388" s="2" t="s">
        <v>415</v>
      </c>
      <c r="D388" s="2" t="s">
        <v>416</v>
      </c>
      <c r="E388" s="2">
        <f>+IFERROR(VLOOKUP(A388,'2122'!$A$12:$C$389,2,),0)</f>
        <v>0</v>
      </c>
      <c r="F388" s="2">
        <v>0</v>
      </c>
      <c r="G388" s="2">
        <f t="shared" si="28"/>
        <v>0</v>
      </c>
      <c r="H388" s="2">
        <f>+IFERROR(VLOOKUP(A388,'2122'!$A$12:$C$389,3,),0)</f>
        <v>4130</v>
      </c>
      <c r="I388" s="2">
        <v>0</v>
      </c>
      <c r="J388" s="2">
        <f t="shared" si="29"/>
        <v>4130</v>
      </c>
      <c r="K388" s="2">
        <v>0</v>
      </c>
      <c r="M388" s="2">
        <v>0</v>
      </c>
      <c r="N388" s="2">
        <v>0</v>
      </c>
      <c r="P388" s="2">
        <v>0</v>
      </c>
    </row>
    <row r="389" spans="1:16">
      <c r="A389" s="2" t="s">
        <v>181</v>
      </c>
      <c r="B389" s="9">
        <v>13</v>
      </c>
      <c r="C389" s="2" t="s">
        <v>474</v>
      </c>
      <c r="D389" s="2" t="s">
        <v>475</v>
      </c>
      <c r="E389" s="2">
        <f>+IFERROR(VLOOKUP(A389,'2122'!$A$12:$C$389,2,),0)</f>
        <v>0</v>
      </c>
      <c r="F389" s="2">
        <v>0</v>
      </c>
      <c r="G389" s="2">
        <f t="shared" si="28"/>
        <v>0</v>
      </c>
      <c r="H389" s="2">
        <f>+IFERROR(VLOOKUP(A389,'2122'!$A$12:$C$389,3,),0)</f>
        <v>3790656</v>
      </c>
      <c r="I389" s="2">
        <v>0</v>
      </c>
      <c r="J389" s="2">
        <f t="shared" si="29"/>
        <v>3790656</v>
      </c>
      <c r="K389" s="2">
        <v>0</v>
      </c>
      <c r="M389" s="2">
        <v>0</v>
      </c>
      <c r="N389" s="2">
        <v>3529583</v>
      </c>
      <c r="P389" s="2">
        <v>3529583</v>
      </c>
    </row>
    <row r="390" spans="1:16">
      <c r="A390" s="2" t="s">
        <v>182</v>
      </c>
      <c r="B390" s="9">
        <v>17</v>
      </c>
      <c r="C390" s="2" t="s">
        <v>415</v>
      </c>
      <c r="D390" s="2" t="s">
        <v>415</v>
      </c>
      <c r="E390" s="2">
        <f>+IFERROR(VLOOKUP(A390,'2122'!$A$12:$C$389,2,),0)</f>
        <v>0</v>
      </c>
      <c r="F390" s="2">
        <v>0</v>
      </c>
      <c r="G390" s="2">
        <f t="shared" si="28"/>
        <v>0</v>
      </c>
      <c r="H390" s="2">
        <f>+IFERROR(VLOOKUP(A390,'2122'!$A$12:$C$389,3,),0)</f>
        <v>17205005.399999999</v>
      </c>
      <c r="I390" s="2">
        <v>0</v>
      </c>
      <c r="J390" s="2">
        <f t="shared" si="29"/>
        <v>17205005.399999999</v>
      </c>
      <c r="K390" s="2">
        <v>0</v>
      </c>
      <c r="M390" s="2">
        <v>0</v>
      </c>
      <c r="N390" s="2">
        <v>12238807.5</v>
      </c>
      <c r="P390" s="2">
        <v>12238807.5</v>
      </c>
    </row>
    <row r="391" spans="1:16">
      <c r="A391" s="2" t="s">
        <v>183</v>
      </c>
      <c r="B391" s="9">
        <v>17</v>
      </c>
      <c r="C391" s="2" t="s">
        <v>415</v>
      </c>
      <c r="D391" s="2" t="s">
        <v>415</v>
      </c>
      <c r="E391" s="2">
        <f>+IFERROR(VLOOKUP(A391,'2122'!$A$12:$C$389,2,),0)</f>
        <v>0</v>
      </c>
      <c r="F391" s="2">
        <v>0</v>
      </c>
      <c r="G391" s="2">
        <f t="shared" si="28"/>
        <v>0</v>
      </c>
      <c r="H391" s="2">
        <f>+IFERROR(VLOOKUP(A391,'2122'!$A$12:$C$389,3,),0)</f>
        <v>5788</v>
      </c>
      <c r="I391" s="2">
        <v>0</v>
      </c>
      <c r="J391" s="2">
        <f t="shared" si="29"/>
        <v>5788</v>
      </c>
      <c r="K391" s="2">
        <v>0</v>
      </c>
      <c r="M391" s="2">
        <v>0</v>
      </c>
      <c r="N391" s="2">
        <v>0</v>
      </c>
      <c r="P391" s="2">
        <v>0</v>
      </c>
    </row>
    <row r="392" spans="1:16">
      <c r="A392" s="2" t="s">
        <v>186</v>
      </c>
      <c r="B392" s="9">
        <v>9</v>
      </c>
      <c r="C392" s="2" t="s">
        <v>602</v>
      </c>
      <c r="D392" s="2" t="s">
        <v>450</v>
      </c>
      <c r="E392" s="2">
        <f>+IFERROR(VLOOKUP(A392,'2122'!$A$12:$C$389,2,),0)</f>
        <v>14000</v>
      </c>
      <c r="F392" s="2">
        <v>0</v>
      </c>
      <c r="G392" s="2">
        <f t="shared" si="28"/>
        <v>14000</v>
      </c>
      <c r="H392" s="2">
        <f>+IFERROR(VLOOKUP(A392,'2122'!$A$12:$C$389,3,),0)</f>
        <v>0</v>
      </c>
      <c r="I392" s="2">
        <v>0</v>
      </c>
      <c r="J392" s="2">
        <f t="shared" si="29"/>
        <v>0</v>
      </c>
      <c r="K392" s="2">
        <v>6000</v>
      </c>
      <c r="M392" s="2">
        <v>6000</v>
      </c>
      <c r="N392" s="2">
        <v>0</v>
      </c>
      <c r="P392" s="2">
        <v>0</v>
      </c>
    </row>
    <row r="393" spans="1:16">
      <c r="A393" s="2" t="s">
        <v>722</v>
      </c>
      <c r="B393" s="9">
        <v>17</v>
      </c>
      <c r="C393" s="2" t="s">
        <v>415</v>
      </c>
      <c r="D393" s="2" t="s">
        <v>415</v>
      </c>
      <c r="E393" s="2">
        <f>+IFERROR(VLOOKUP(A393,'2122'!$A$12:$C$389,2,),0)</f>
        <v>0</v>
      </c>
      <c r="F393" s="2">
        <v>0</v>
      </c>
      <c r="G393" s="2">
        <f t="shared" si="28"/>
        <v>0</v>
      </c>
      <c r="H393" s="2">
        <f>+IFERROR(VLOOKUP(A393,'2122'!$A$12:$C$389,3,),0)</f>
        <v>0</v>
      </c>
      <c r="I393" s="2">
        <v>0</v>
      </c>
      <c r="J393" s="2">
        <f t="shared" si="29"/>
        <v>0</v>
      </c>
      <c r="K393" s="2">
        <v>0</v>
      </c>
      <c r="M393" s="2">
        <v>0</v>
      </c>
      <c r="N393" s="2">
        <v>0</v>
      </c>
      <c r="P393" s="2">
        <v>0</v>
      </c>
    </row>
    <row r="394" spans="1:16">
      <c r="A394" s="2" t="s">
        <v>194</v>
      </c>
      <c r="B394" s="9">
        <v>17</v>
      </c>
      <c r="C394" s="2" t="s">
        <v>415</v>
      </c>
      <c r="D394" s="2" t="s">
        <v>416</v>
      </c>
      <c r="E394" s="2">
        <f>+IFERROR(VLOOKUP(A394,'2122'!$A$12:$C$389,2,),0)</f>
        <v>0</v>
      </c>
      <c r="F394" s="2">
        <v>0</v>
      </c>
      <c r="G394" s="2">
        <f t="shared" si="28"/>
        <v>0</v>
      </c>
      <c r="H394" s="2">
        <f>+IFERROR(VLOOKUP(A394,'2122'!$A$12:$C$389,3,),0)</f>
        <v>44466</v>
      </c>
      <c r="I394" s="2">
        <v>0</v>
      </c>
      <c r="J394" s="2">
        <f t="shared" si="29"/>
        <v>44466</v>
      </c>
      <c r="K394" s="2">
        <v>0</v>
      </c>
      <c r="M394" s="2">
        <v>0</v>
      </c>
      <c r="N394" s="2">
        <v>47229</v>
      </c>
      <c r="P394" s="2">
        <v>47229</v>
      </c>
    </row>
    <row r="395" spans="1:16">
      <c r="A395" s="2" t="s">
        <v>187</v>
      </c>
      <c r="B395" s="9">
        <v>27</v>
      </c>
      <c r="C395" s="2" t="s">
        <v>1560</v>
      </c>
      <c r="D395" s="2" t="s">
        <v>279</v>
      </c>
      <c r="E395" s="2">
        <f>+IFERROR(VLOOKUP(A395,'2122'!$A$12:$C$389,2,),0)</f>
        <v>13680</v>
      </c>
      <c r="F395" s="2">
        <v>0</v>
      </c>
      <c r="G395" s="2">
        <f t="shared" si="28"/>
        <v>13680</v>
      </c>
      <c r="H395" s="2">
        <f>+IFERROR(VLOOKUP(A395,'2122'!$A$12:$C$389,3,),0)</f>
        <v>0</v>
      </c>
      <c r="I395" s="2">
        <v>0</v>
      </c>
      <c r="J395" s="2">
        <f t="shared" si="29"/>
        <v>0</v>
      </c>
      <c r="K395" s="2">
        <v>14112</v>
      </c>
      <c r="M395" s="2">
        <v>14112</v>
      </c>
      <c r="N395" s="2">
        <v>0</v>
      </c>
      <c r="P395" s="2">
        <v>0</v>
      </c>
    </row>
    <row r="396" spans="1:16">
      <c r="A396" s="2" t="s">
        <v>723</v>
      </c>
      <c r="B396" s="9">
        <v>17</v>
      </c>
      <c r="C396" s="2" t="s">
        <v>415</v>
      </c>
      <c r="D396" s="2" t="s">
        <v>415</v>
      </c>
      <c r="E396" s="2">
        <f>+IFERROR(VLOOKUP(A396,'2122'!$A$12:$C$389,2,),0)</f>
        <v>0</v>
      </c>
      <c r="F396" s="2">
        <v>0</v>
      </c>
      <c r="G396" s="2">
        <f t="shared" si="28"/>
        <v>0</v>
      </c>
      <c r="H396" s="2">
        <f>+IFERROR(VLOOKUP(A396,'2122'!$A$12:$C$389,3,),0)</f>
        <v>0</v>
      </c>
      <c r="I396" s="2">
        <v>0</v>
      </c>
      <c r="J396" s="2">
        <f t="shared" si="29"/>
        <v>0</v>
      </c>
      <c r="K396" s="2">
        <v>0</v>
      </c>
      <c r="M396" s="2">
        <v>0</v>
      </c>
      <c r="N396" s="2">
        <v>5721513</v>
      </c>
      <c r="P396" s="2">
        <v>5721513</v>
      </c>
    </row>
    <row r="397" spans="1:16">
      <c r="A397" s="2" t="s">
        <v>188</v>
      </c>
      <c r="B397" s="9">
        <v>6</v>
      </c>
      <c r="C397" s="2" t="s">
        <v>1074</v>
      </c>
      <c r="D397" s="2" t="s">
        <v>423</v>
      </c>
      <c r="E397" s="2">
        <f>+IFERROR(VLOOKUP(A397,'2122'!$A$12:$C$389,2,),0)</f>
        <v>42218801</v>
      </c>
      <c r="F397" s="2">
        <v>0</v>
      </c>
      <c r="G397" s="2">
        <f t="shared" si="28"/>
        <v>42218801</v>
      </c>
      <c r="H397" s="2">
        <f>+IFERROR(VLOOKUP(A397,'2122'!$A$12:$C$389,3,),0)</f>
        <v>0</v>
      </c>
      <c r="I397" s="2">
        <v>0</v>
      </c>
      <c r="J397" s="2">
        <f t="shared" si="29"/>
        <v>0</v>
      </c>
      <c r="K397" s="2">
        <v>45230726</v>
      </c>
      <c r="M397" s="2">
        <v>45230726</v>
      </c>
      <c r="N397" s="2">
        <v>0</v>
      </c>
      <c r="P397" s="2">
        <v>0</v>
      </c>
    </row>
    <row r="398" spans="1:16">
      <c r="A398" s="2" t="s">
        <v>724</v>
      </c>
      <c r="B398" s="9">
        <v>6</v>
      </c>
      <c r="C398" s="2" t="s">
        <v>1074</v>
      </c>
      <c r="D398" s="2" t="s">
        <v>423</v>
      </c>
      <c r="E398" s="2">
        <f>+IFERROR(VLOOKUP(A398,'2122'!$A$12:$C$389,2,),0)</f>
        <v>0</v>
      </c>
      <c r="F398" s="2">
        <v>0</v>
      </c>
      <c r="G398" s="2">
        <f t="shared" si="28"/>
        <v>0</v>
      </c>
      <c r="H398" s="2">
        <f>+IFERROR(VLOOKUP(A398,'2122'!$A$12:$C$389,3,),0)</f>
        <v>0</v>
      </c>
      <c r="I398" s="2">
        <v>0</v>
      </c>
      <c r="J398" s="2">
        <f t="shared" si="29"/>
        <v>0</v>
      </c>
      <c r="K398" s="2">
        <v>0</v>
      </c>
      <c r="M398" s="2">
        <v>0</v>
      </c>
      <c r="N398" s="2">
        <v>0</v>
      </c>
      <c r="P398" s="2">
        <v>0</v>
      </c>
    </row>
    <row r="399" spans="1:16">
      <c r="A399" s="2" t="s">
        <v>725</v>
      </c>
      <c r="B399" s="9">
        <v>17</v>
      </c>
      <c r="C399" s="2" t="s">
        <v>415</v>
      </c>
      <c r="D399" s="2" t="s">
        <v>415</v>
      </c>
      <c r="E399" s="2">
        <f>+IFERROR(VLOOKUP(A399,'2122'!$A$12:$C$389,2,),0)</f>
        <v>0</v>
      </c>
      <c r="F399" s="2">
        <v>0</v>
      </c>
      <c r="G399" s="2">
        <f t="shared" ref="G399:G462" si="30">+E399+F399</f>
        <v>0</v>
      </c>
      <c r="H399" s="2">
        <f>+IFERROR(VLOOKUP(A399,'2122'!$A$12:$C$389,3,),0)</f>
        <v>0</v>
      </c>
      <c r="I399" s="2">
        <v>0</v>
      </c>
      <c r="J399" s="2">
        <f t="shared" ref="J399:J462" si="31">+H399+I399</f>
        <v>0</v>
      </c>
      <c r="K399" s="2">
        <v>0</v>
      </c>
      <c r="M399" s="2">
        <v>0</v>
      </c>
      <c r="N399" s="2">
        <v>0</v>
      </c>
      <c r="P399" s="2">
        <v>0</v>
      </c>
    </row>
    <row r="400" spans="1:16">
      <c r="A400" s="2" t="s">
        <v>190</v>
      </c>
      <c r="B400" s="9">
        <v>27</v>
      </c>
      <c r="C400" s="2" t="s">
        <v>1560</v>
      </c>
      <c r="D400" s="2" t="s">
        <v>279</v>
      </c>
      <c r="E400" s="2">
        <f>+IFERROR(VLOOKUP(A400,'2122'!$A$12:$C$389,2,),0)</f>
        <v>676</v>
      </c>
      <c r="F400" s="2">
        <v>0</v>
      </c>
      <c r="G400" s="2">
        <f t="shared" si="30"/>
        <v>676</v>
      </c>
      <c r="H400" s="2">
        <f>+IFERROR(VLOOKUP(A400,'2122'!$A$12:$C$389,3,),0)</f>
        <v>0</v>
      </c>
      <c r="I400" s="2">
        <v>0</v>
      </c>
      <c r="J400" s="2">
        <f t="shared" si="31"/>
        <v>0</v>
      </c>
      <c r="K400" s="2">
        <v>0</v>
      </c>
      <c r="M400" s="2">
        <v>0</v>
      </c>
      <c r="N400" s="2">
        <v>0</v>
      </c>
      <c r="P400" s="2">
        <v>0</v>
      </c>
    </row>
    <row r="401" spans="1:16">
      <c r="A401" s="2" t="s">
        <v>726</v>
      </c>
      <c r="B401" s="9">
        <v>26</v>
      </c>
      <c r="C401" s="2" t="s">
        <v>509</v>
      </c>
      <c r="D401" s="2" t="s">
        <v>693</v>
      </c>
      <c r="E401" s="2">
        <f>+IFERROR(VLOOKUP(A401,'2122'!$A$12:$C$389,2,),0)</f>
        <v>0</v>
      </c>
      <c r="F401" s="2">
        <v>0</v>
      </c>
      <c r="G401" s="2">
        <f t="shared" si="30"/>
        <v>0</v>
      </c>
      <c r="H401" s="2">
        <f>+IFERROR(VLOOKUP(A401,'2122'!$A$12:$C$389,3,),0)</f>
        <v>0</v>
      </c>
      <c r="I401" s="2">
        <v>0</v>
      </c>
      <c r="J401" s="2">
        <f t="shared" si="31"/>
        <v>0</v>
      </c>
      <c r="K401" s="2">
        <v>0</v>
      </c>
      <c r="M401" s="2">
        <v>0</v>
      </c>
      <c r="N401" s="2">
        <v>0</v>
      </c>
      <c r="P401" s="2">
        <v>0</v>
      </c>
    </row>
    <row r="402" spans="1:16">
      <c r="A402" s="2" t="s">
        <v>191</v>
      </c>
      <c r="B402" s="9">
        <v>25</v>
      </c>
      <c r="C402" s="2" t="s">
        <v>619</v>
      </c>
      <c r="D402" s="2" t="s">
        <v>620</v>
      </c>
      <c r="E402" s="2">
        <f>+IFERROR(VLOOKUP(A402,'2122'!$A$12:$C$389,2,),0)</f>
        <v>221807</v>
      </c>
      <c r="F402" s="2">
        <v>0</v>
      </c>
      <c r="G402" s="2">
        <f t="shared" si="30"/>
        <v>221807</v>
      </c>
      <c r="H402" s="2">
        <f>+IFERROR(VLOOKUP(A402,'2122'!$A$12:$C$389,3,),0)</f>
        <v>0</v>
      </c>
      <c r="I402" s="2">
        <v>0</v>
      </c>
      <c r="J402" s="2">
        <f t="shared" si="31"/>
        <v>0</v>
      </c>
      <c r="K402" s="2">
        <v>198086</v>
      </c>
      <c r="M402" s="2">
        <v>198086</v>
      </c>
      <c r="N402" s="2">
        <v>0</v>
      </c>
      <c r="P402" s="2">
        <v>0</v>
      </c>
    </row>
    <row r="403" spans="1:16">
      <c r="A403" s="2" t="s">
        <v>192</v>
      </c>
      <c r="B403" s="9">
        <v>20</v>
      </c>
      <c r="C403" s="2" t="s">
        <v>1553</v>
      </c>
      <c r="D403" s="2" t="s">
        <v>607</v>
      </c>
      <c r="E403" s="2">
        <f>+IFERROR(VLOOKUP(A403,'2122'!$A$12:$C$389,2,),0)</f>
        <v>0</v>
      </c>
      <c r="F403" s="2">
        <v>0</v>
      </c>
      <c r="G403" s="2">
        <f t="shared" si="30"/>
        <v>0</v>
      </c>
      <c r="H403" s="2">
        <f>+IFERROR(VLOOKUP(A403,'2122'!$A$12:$C$389,3,),0)</f>
        <v>221807</v>
      </c>
      <c r="I403" s="2">
        <v>0</v>
      </c>
      <c r="J403" s="2">
        <f t="shared" si="31"/>
        <v>221807</v>
      </c>
      <c r="K403" s="2">
        <v>0</v>
      </c>
      <c r="M403" s="2">
        <v>0</v>
      </c>
      <c r="N403" s="2">
        <v>198086</v>
      </c>
      <c r="P403" s="2">
        <v>198086</v>
      </c>
    </row>
    <row r="404" spans="1:16">
      <c r="A404" s="2" t="s">
        <v>193</v>
      </c>
      <c r="B404" s="9">
        <v>27</v>
      </c>
      <c r="C404" s="2" t="s">
        <v>1560</v>
      </c>
      <c r="D404" s="2" t="s">
        <v>1561</v>
      </c>
      <c r="E404" s="2">
        <f>+IFERROR(VLOOKUP(A404,'2122'!$A$12:$C$389,2,),0)</f>
        <v>470250</v>
      </c>
      <c r="F404" s="2">
        <v>0</v>
      </c>
      <c r="G404" s="2">
        <f t="shared" si="30"/>
        <v>470250</v>
      </c>
      <c r="H404" s="2">
        <f>+IFERROR(VLOOKUP(A404,'2122'!$A$12:$C$389,3,),0)</f>
        <v>0</v>
      </c>
      <c r="I404" s="2">
        <v>0</v>
      </c>
      <c r="J404" s="2">
        <f t="shared" si="31"/>
        <v>0</v>
      </c>
      <c r="K404" s="2">
        <v>243920</v>
      </c>
      <c r="M404" s="2">
        <v>243920</v>
      </c>
      <c r="N404" s="2">
        <v>0</v>
      </c>
      <c r="P404" s="2">
        <v>0</v>
      </c>
    </row>
    <row r="405" spans="1:16">
      <c r="A405" s="2" t="s">
        <v>727</v>
      </c>
      <c r="B405" s="9">
        <v>6</v>
      </c>
      <c r="C405" s="2" t="s">
        <v>1074</v>
      </c>
      <c r="D405" s="2" t="s">
        <v>423</v>
      </c>
      <c r="E405" s="2">
        <f>+IFERROR(VLOOKUP(A405,'2122'!$A$12:$C$389,2,),0)</f>
        <v>0</v>
      </c>
      <c r="F405" s="2">
        <v>0</v>
      </c>
      <c r="G405" s="2">
        <f t="shared" si="30"/>
        <v>0</v>
      </c>
      <c r="H405" s="2">
        <f>+IFERROR(VLOOKUP(A405,'2122'!$A$12:$C$389,3,),0)</f>
        <v>0</v>
      </c>
      <c r="I405" s="2">
        <v>0</v>
      </c>
      <c r="J405" s="2">
        <f t="shared" si="31"/>
        <v>0</v>
      </c>
      <c r="K405" s="2">
        <v>0</v>
      </c>
      <c r="M405" s="2">
        <v>0</v>
      </c>
      <c r="N405" s="2">
        <v>0</v>
      </c>
      <c r="P405" s="2">
        <v>0</v>
      </c>
    </row>
    <row r="406" spans="1:16">
      <c r="A406" s="2" t="s">
        <v>195</v>
      </c>
      <c r="B406" s="9">
        <v>17</v>
      </c>
      <c r="C406" s="2" t="s">
        <v>415</v>
      </c>
      <c r="D406" s="2" t="s">
        <v>415</v>
      </c>
      <c r="E406" s="2">
        <f>+IFERROR(VLOOKUP(A406,'2122'!$A$12:$C$389,2,),0)</f>
        <v>0</v>
      </c>
      <c r="F406" s="2">
        <v>0</v>
      </c>
      <c r="G406" s="2">
        <f t="shared" si="30"/>
        <v>0</v>
      </c>
      <c r="H406" s="2">
        <f>+IFERROR(VLOOKUP(A406,'2122'!$A$12:$C$389,3,),0)</f>
        <v>10694991.5</v>
      </c>
      <c r="I406" s="2">
        <v>0</v>
      </c>
      <c r="J406" s="2">
        <f t="shared" si="31"/>
        <v>10694991.5</v>
      </c>
      <c r="K406" s="2">
        <v>0</v>
      </c>
      <c r="M406" s="2">
        <v>0</v>
      </c>
      <c r="N406" s="2">
        <v>11871807.5</v>
      </c>
      <c r="P406" s="2">
        <v>11871807.5</v>
      </c>
    </row>
    <row r="407" spans="1:16">
      <c r="A407" s="2" t="s">
        <v>196</v>
      </c>
      <c r="B407" s="9">
        <v>27</v>
      </c>
      <c r="C407" s="2" t="s">
        <v>1555</v>
      </c>
      <c r="D407" s="2" t="s">
        <v>1557</v>
      </c>
      <c r="E407" s="2">
        <f>+IFERROR(VLOOKUP(A407,'2122'!$A$12:$C$389,2,),0)</f>
        <v>153090</v>
      </c>
      <c r="F407" s="2">
        <v>0</v>
      </c>
      <c r="G407" s="2">
        <f t="shared" si="30"/>
        <v>153090</v>
      </c>
      <c r="H407" s="2">
        <f>+IFERROR(VLOOKUP(A407,'2122'!$A$12:$C$389,3,),0)</f>
        <v>0</v>
      </c>
      <c r="I407" s="2">
        <v>0</v>
      </c>
      <c r="J407" s="2">
        <f t="shared" si="31"/>
        <v>0</v>
      </c>
      <c r="K407" s="2">
        <v>136767</v>
      </c>
      <c r="M407" s="2">
        <v>136767</v>
      </c>
      <c r="N407" s="2">
        <v>0</v>
      </c>
      <c r="P407" s="2">
        <v>0</v>
      </c>
    </row>
    <row r="408" spans="1:16">
      <c r="A408" s="2" t="s">
        <v>197</v>
      </c>
      <c r="B408" s="9">
        <v>27</v>
      </c>
      <c r="C408" s="2" t="s">
        <v>1555</v>
      </c>
      <c r="D408" s="2" t="s">
        <v>1557</v>
      </c>
      <c r="E408" s="2">
        <f>+IFERROR(VLOOKUP(A408,'2122'!$A$12:$C$389,2,),0)</f>
        <v>1590159</v>
      </c>
      <c r="F408" s="2">
        <v>0</v>
      </c>
      <c r="G408" s="2">
        <f t="shared" si="30"/>
        <v>1590159</v>
      </c>
      <c r="H408" s="2">
        <f>+IFERROR(VLOOKUP(A408,'2122'!$A$12:$C$389,3,),0)</f>
        <v>0</v>
      </c>
      <c r="I408" s="2">
        <v>0</v>
      </c>
      <c r="J408" s="2">
        <f t="shared" si="31"/>
        <v>0</v>
      </c>
      <c r="K408" s="2">
        <v>1020022</v>
      </c>
      <c r="M408" s="2">
        <v>1020022</v>
      </c>
      <c r="N408" s="2">
        <v>0</v>
      </c>
      <c r="P408" s="2">
        <v>0</v>
      </c>
    </row>
    <row r="409" spans="1:16">
      <c r="A409" s="2" t="s">
        <v>728</v>
      </c>
      <c r="B409" s="9">
        <v>27</v>
      </c>
      <c r="C409" s="2" t="s">
        <v>1555</v>
      </c>
      <c r="D409" s="2" t="s">
        <v>1557</v>
      </c>
      <c r="E409" s="2">
        <f>+IFERROR(VLOOKUP(A409,'2122'!$A$12:$C$389,2,),0)</f>
        <v>308026.14</v>
      </c>
      <c r="F409" s="2">
        <v>0</v>
      </c>
      <c r="G409" s="2">
        <f t="shared" si="30"/>
        <v>308026.14</v>
      </c>
      <c r="H409" s="2">
        <f>+IFERROR(VLOOKUP(A409,'2122'!$A$12:$C$389,3,),0)</f>
        <v>0</v>
      </c>
      <c r="I409" s="2">
        <v>0</v>
      </c>
      <c r="J409" s="2">
        <f t="shared" si="31"/>
        <v>0</v>
      </c>
      <c r="K409" s="2">
        <v>1231418.3999999999</v>
      </c>
      <c r="M409" s="2">
        <v>1231418.3999999999</v>
      </c>
      <c r="N409" s="2">
        <v>0</v>
      </c>
      <c r="P409" s="2">
        <v>0</v>
      </c>
    </row>
    <row r="410" spans="1:16">
      <c r="A410" s="2" t="s">
        <v>198</v>
      </c>
      <c r="B410" s="9">
        <v>27</v>
      </c>
      <c r="C410" s="2" t="s">
        <v>1555</v>
      </c>
      <c r="D410" s="2" t="s">
        <v>1557</v>
      </c>
      <c r="E410" s="2">
        <f>+IFERROR(VLOOKUP(A410,'2122'!$A$12:$C$389,2,),0)</f>
        <v>3724110.85</v>
      </c>
      <c r="F410" s="2">
        <v>0</v>
      </c>
      <c r="G410" s="2">
        <f t="shared" si="30"/>
        <v>3724110.85</v>
      </c>
      <c r="H410" s="2">
        <f>+IFERROR(VLOOKUP(A410,'2122'!$A$12:$C$389,3,),0)</f>
        <v>0</v>
      </c>
      <c r="I410" s="2">
        <v>0</v>
      </c>
      <c r="J410" s="2">
        <f t="shared" si="31"/>
        <v>0</v>
      </c>
      <c r="K410" s="2">
        <v>7737390.6699999999</v>
      </c>
      <c r="M410" s="2">
        <v>7737390.6699999999</v>
      </c>
      <c r="N410" s="2">
        <v>0</v>
      </c>
      <c r="P410" s="2">
        <v>0</v>
      </c>
    </row>
    <row r="411" spans="1:16">
      <c r="A411" s="2" t="s">
        <v>729</v>
      </c>
      <c r="B411" s="9">
        <v>17</v>
      </c>
      <c r="C411" s="2" t="s">
        <v>415</v>
      </c>
      <c r="D411" s="2" t="s">
        <v>415</v>
      </c>
      <c r="E411" s="2">
        <f>+IFERROR(VLOOKUP(A411,'2122'!$A$12:$C$389,2,),0)</f>
        <v>0</v>
      </c>
      <c r="F411" s="2">
        <v>0</v>
      </c>
      <c r="G411" s="2">
        <f t="shared" si="30"/>
        <v>0</v>
      </c>
      <c r="H411" s="2">
        <f>+IFERROR(VLOOKUP(A411,'2122'!$A$12:$C$389,3,),0)</f>
        <v>0</v>
      </c>
      <c r="I411" s="2">
        <v>0</v>
      </c>
      <c r="J411" s="2">
        <f t="shared" si="31"/>
        <v>0</v>
      </c>
      <c r="K411" s="2">
        <v>0</v>
      </c>
      <c r="M411" s="2">
        <v>0</v>
      </c>
      <c r="N411" s="2">
        <v>0</v>
      </c>
      <c r="P411" s="2">
        <v>0</v>
      </c>
    </row>
    <row r="412" spans="1:16">
      <c r="A412" s="2" t="s">
        <v>200</v>
      </c>
      <c r="B412" s="9">
        <v>10</v>
      </c>
      <c r="C412" s="2" t="s">
        <v>598</v>
      </c>
      <c r="D412" s="2" t="s">
        <v>445</v>
      </c>
      <c r="E412" s="2">
        <f>+IFERROR(VLOOKUP(A412,'2122'!$A$12:$C$389,2,),0)</f>
        <v>91778</v>
      </c>
      <c r="F412" s="2">
        <v>0</v>
      </c>
      <c r="G412" s="2">
        <f t="shared" si="30"/>
        <v>91778</v>
      </c>
      <c r="H412" s="2">
        <f>+IFERROR(VLOOKUP(A412,'2122'!$A$12:$C$389,3,),0)</f>
        <v>0</v>
      </c>
      <c r="I412" s="2">
        <v>0</v>
      </c>
      <c r="J412" s="2">
        <f t="shared" si="31"/>
        <v>0</v>
      </c>
      <c r="K412" s="2">
        <v>411283</v>
      </c>
      <c r="M412" s="2">
        <v>411283</v>
      </c>
      <c r="N412" s="2">
        <v>0</v>
      </c>
      <c r="P412" s="2">
        <v>0</v>
      </c>
    </row>
    <row r="413" spans="1:16">
      <c r="A413" s="2" t="s">
        <v>201</v>
      </c>
      <c r="B413" s="9">
        <v>9</v>
      </c>
      <c r="C413" s="2" t="s">
        <v>602</v>
      </c>
      <c r="D413" s="2" t="s">
        <v>450</v>
      </c>
      <c r="E413" s="2">
        <f>+IFERROR(VLOOKUP(A413,'2122'!$A$12:$C$389,2,),0)</f>
        <v>5000</v>
      </c>
      <c r="F413" s="2">
        <v>0</v>
      </c>
      <c r="G413" s="2">
        <f t="shared" si="30"/>
        <v>5000</v>
      </c>
      <c r="H413" s="2">
        <f>+IFERROR(VLOOKUP(A413,'2122'!$A$12:$C$389,3,),0)</f>
        <v>0</v>
      </c>
      <c r="I413" s="2">
        <v>0</v>
      </c>
      <c r="J413" s="2">
        <f t="shared" si="31"/>
        <v>0</v>
      </c>
      <c r="K413" s="2">
        <v>11000</v>
      </c>
      <c r="M413" s="2">
        <v>11000</v>
      </c>
      <c r="N413" s="2">
        <v>0</v>
      </c>
      <c r="P413" s="2">
        <v>0</v>
      </c>
    </row>
    <row r="414" spans="1:16">
      <c r="A414" s="2" t="s">
        <v>730</v>
      </c>
      <c r="B414" s="9">
        <v>17</v>
      </c>
      <c r="C414" s="2" t="s">
        <v>415</v>
      </c>
      <c r="D414" s="2" t="s">
        <v>416</v>
      </c>
      <c r="E414" s="2">
        <f>+IFERROR(VLOOKUP(A414,'2122'!$A$12:$C$389,2,),0)</f>
        <v>0</v>
      </c>
      <c r="F414" s="2">
        <v>0</v>
      </c>
      <c r="G414" s="2">
        <f t="shared" si="30"/>
        <v>0</v>
      </c>
      <c r="H414" s="2">
        <f>+IFERROR(VLOOKUP(A414,'2122'!$A$12:$C$389,3,),0)</f>
        <v>0</v>
      </c>
      <c r="I414" s="2">
        <v>0</v>
      </c>
      <c r="J414" s="2">
        <f t="shared" si="31"/>
        <v>0</v>
      </c>
      <c r="K414" s="2">
        <v>0</v>
      </c>
      <c r="M414" s="2">
        <v>0</v>
      </c>
      <c r="N414" s="2">
        <v>0</v>
      </c>
      <c r="P414" s="2">
        <v>0</v>
      </c>
    </row>
    <row r="415" spans="1:16">
      <c r="A415" s="2" t="s">
        <v>731</v>
      </c>
      <c r="B415" s="9">
        <v>17</v>
      </c>
      <c r="C415" s="2" t="s">
        <v>415</v>
      </c>
      <c r="D415" s="2" t="s">
        <v>416</v>
      </c>
      <c r="E415" s="2">
        <f>+IFERROR(VLOOKUP(A415,'2122'!$A$12:$C$389,2,),0)</f>
        <v>0</v>
      </c>
      <c r="F415" s="2">
        <v>0</v>
      </c>
      <c r="G415" s="2">
        <f t="shared" si="30"/>
        <v>0</v>
      </c>
      <c r="H415" s="2">
        <f>+IFERROR(VLOOKUP(A415,'2122'!$A$12:$C$389,3,),0)</f>
        <v>0</v>
      </c>
      <c r="I415" s="2">
        <v>0</v>
      </c>
      <c r="J415" s="2">
        <f t="shared" si="31"/>
        <v>0</v>
      </c>
      <c r="K415" s="2">
        <v>0</v>
      </c>
      <c r="M415" s="2">
        <v>0</v>
      </c>
      <c r="N415" s="2">
        <v>0</v>
      </c>
      <c r="P415" s="2">
        <v>0</v>
      </c>
    </row>
    <row r="416" spans="1:16">
      <c r="A416" s="2" t="s">
        <v>732</v>
      </c>
      <c r="B416" s="9">
        <v>9</v>
      </c>
      <c r="C416" s="2" t="s">
        <v>602</v>
      </c>
      <c r="D416" s="2" t="s">
        <v>450</v>
      </c>
      <c r="E416" s="2">
        <f>+IFERROR(VLOOKUP(A416,'2122'!$A$12:$C$389,2,),0)</f>
        <v>0</v>
      </c>
      <c r="F416" s="2">
        <v>0</v>
      </c>
      <c r="G416" s="2">
        <f t="shared" si="30"/>
        <v>0</v>
      </c>
      <c r="H416" s="2">
        <f>+IFERROR(VLOOKUP(A416,'2122'!$A$12:$C$389,3,),0)</f>
        <v>0</v>
      </c>
      <c r="I416" s="2">
        <v>0</v>
      </c>
      <c r="J416" s="2">
        <f t="shared" si="31"/>
        <v>0</v>
      </c>
      <c r="K416" s="2">
        <v>0</v>
      </c>
      <c r="M416" s="2">
        <v>0</v>
      </c>
      <c r="N416" s="2">
        <v>0</v>
      </c>
      <c r="P416" s="2">
        <v>0</v>
      </c>
    </row>
    <row r="417" spans="1:16">
      <c r="A417" s="2" t="s">
        <v>203</v>
      </c>
      <c r="B417" s="9">
        <v>9</v>
      </c>
      <c r="C417" s="2" t="s">
        <v>602</v>
      </c>
      <c r="D417" s="2" t="s">
        <v>450</v>
      </c>
      <c r="E417" s="2">
        <f>+IFERROR(VLOOKUP(A417,'2122'!$A$12:$C$389,2,),0)</f>
        <v>39000</v>
      </c>
      <c r="F417" s="2">
        <v>0</v>
      </c>
      <c r="G417" s="2">
        <f t="shared" si="30"/>
        <v>39000</v>
      </c>
      <c r="H417" s="2">
        <f>+IFERROR(VLOOKUP(A417,'2122'!$A$12:$C$389,3,),0)</f>
        <v>0</v>
      </c>
      <c r="I417" s="2">
        <v>0</v>
      </c>
      <c r="J417" s="2">
        <f t="shared" si="31"/>
        <v>0</v>
      </c>
      <c r="K417" s="2">
        <v>8000</v>
      </c>
      <c r="M417" s="2">
        <v>8000</v>
      </c>
      <c r="N417" s="2">
        <v>0</v>
      </c>
      <c r="P417" s="2">
        <v>0</v>
      </c>
    </row>
    <row r="418" spans="1:16">
      <c r="A418" s="2" t="s">
        <v>733</v>
      </c>
      <c r="C418" s="2" t="s">
        <v>439</v>
      </c>
      <c r="D418" s="2" t="s">
        <v>734</v>
      </c>
      <c r="E418" s="2">
        <f>+IFERROR(VLOOKUP(A418,'2122'!$A$12:$C$389,2,),0)</f>
        <v>0</v>
      </c>
      <c r="F418" s="2">
        <v>0</v>
      </c>
      <c r="G418" s="2">
        <f t="shared" si="30"/>
        <v>0</v>
      </c>
      <c r="H418" s="2">
        <f>+IFERROR(VLOOKUP(A418,'2122'!$A$12:$C$389,3,),0)</f>
        <v>0</v>
      </c>
      <c r="I418" s="2">
        <v>0</v>
      </c>
      <c r="J418" s="2">
        <f t="shared" si="31"/>
        <v>0</v>
      </c>
      <c r="K418" s="2">
        <v>0</v>
      </c>
      <c r="M418" s="2">
        <v>0</v>
      </c>
      <c r="N418" s="2">
        <v>0</v>
      </c>
      <c r="P418" s="2">
        <v>0</v>
      </c>
    </row>
    <row r="419" spans="1:16">
      <c r="A419" s="2" t="s">
        <v>735</v>
      </c>
      <c r="C419" s="2" t="s">
        <v>439</v>
      </c>
      <c r="D419" s="2" t="s">
        <v>734</v>
      </c>
      <c r="E419" s="2">
        <f>+IFERROR(VLOOKUP(A419,'2122'!$A$12:$C$389,2,),0)</f>
        <v>0</v>
      </c>
      <c r="F419" s="2">
        <v>0</v>
      </c>
      <c r="G419" s="2">
        <f t="shared" si="30"/>
        <v>0</v>
      </c>
      <c r="H419" s="2">
        <f>+IFERROR(VLOOKUP(A419,'2122'!$A$12:$C$389,3,),0)</f>
        <v>0</v>
      </c>
      <c r="I419" s="2">
        <v>0</v>
      </c>
      <c r="J419" s="2">
        <f t="shared" si="31"/>
        <v>0</v>
      </c>
      <c r="K419" s="2">
        <v>0</v>
      </c>
      <c r="M419" s="2">
        <v>0</v>
      </c>
      <c r="N419" s="2">
        <v>0</v>
      </c>
      <c r="P419" s="2">
        <v>0</v>
      </c>
    </row>
    <row r="420" spans="1:16">
      <c r="A420" s="2" t="s">
        <v>736</v>
      </c>
      <c r="C420" s="2" t="s">
        <v>439</v>
      </c>
      <c r="D420" s="2" t="s">
        <v>734</v>
      </c>
      <c r="E420" s="2">
        <f>+IFERROR(VLOOKUP(A420,'2122'!$A$12:$C$389,2,),0)</f>
        <v>0</v>
      </c>
      <c r="F420" s="2">
        <v>0</v>
      </c>
      <c r="G420" s="2">
        <f t="shared" si="30"/>
        <v>0</v>
      </c>
      <c r="H420" s="2">
        <f>+IFERROR(VLOOKUP(A420,'2122'!$A$12:$C$389,3,),0)</f>
        <v>0</v>
      </c>
      <c r="I420" s="2">
        <v>0</v>
      </c>
      <c r="J420" s="2">
        <f t="shared" si="31"/>
        <v>0</v>
      </c>
      <c r="K420" s="2">
        <v>0</v>
      </c>
      <c r="M420" s="2">
        <v>0</v>
      </c>
      <c r="N420" s="2">
        <v>0</v>
      </c>
      <c r="P420" s="2">
        <v>0</v>
      </c>
    </row>
    <row r="421" spans="1:16">
      <c r="A421" s="2" t="s">
        <v>737</v>
      </c>
      <c r="C421" s="2" t="s">
        <v>439</v>
      </c>
      <c r="D421" s="2" t="s">
        <v>734</v>
      </c>
      <c r="E421" s="2">
        <f>+IFERROR(VLOOKUP(A421,'2122'!$A$12:$C$389,2,),0)</f>
        <v>0</v>
      </c>
      <c r="F421" s="2">
        <v>0</v>
      </c>
      <c r="G421" s="2">
        <f t="shared" si="30"/>
        <v>0</v>
      </c>
      <c r="H421" s="2">
        <f>+IFERROR(VLOOKUP(A421,'2122'!$A$12:$C$389,3,),0)</f>
        <v>0</v>
      </c>
      <c r="I421" s="2">
        <v>0</v>
      </c>
      <c r="J421" s="2">
        <f t="shared" si="31"/>
        <v>0</v>
      </c>
      <c r="K421" s="2">
        <v>0</v>
      </c>
      <c r="M421" s="2">
        <v>0</v>
      </c>
      <c r="N421" s="2">
        <v>0</v>
      </c>
      <c r="P421" s="2">
        <v>0</v>
      </c>
    </row>
    <row r="422" spans="1:16">
      <c r="A422" s="2" t="s">
        <v>738</v>
      </c>
      <c r="C422" s="2" t="s">
        <v>439</v>
      </c>
      <c r="D422" s="2" t="s">
        <v>734</v>
      </c>
      <c r="E422" s="2">
        <f>+IFERROR(VLOOKUP(A422,'2122'!$A$12:$C$389,2,),0)</f>
        <v>0</v>
      </c>
      <c r="F422" s="2">
        <v>0</v>
      </c>
      <c r="G422" s="2">
        <f t="shared" si="30"/>
        <v>0</v>
      </c>
      <c r="H422" s="2">
        <f>+IFERROR(VLOOKUP(A422,'2122'!$A$12:$C$389,3,),0)</f>
        <v>0</v>
      </c>
      <c r="I422" s="2">
        <v>0</v>
      </c>
      <c r="J422" s="2">
        <f t="shared" si="31"/>
        <v>0</v>
      </c>
      <c r="K422" s="2">
        <v>0</v>
      </c>
      <c r="M422" s="2">
        <v>0</v>
      </c>
      <c r="N422" s="2">
        <v>0</v>
      </c>
      <c r="P422" s="2">
        <v>0</v>
      </c>
    </row>
    <row r="423" spans="1:16">
      <c r="A423" s="2" t="s">
        <v>739</v>
      </c>
      <c r="C423" s="2" t="s">
        <v>439</v>
      </c>
      <c r="D423" s="2" t="s">
        <v>734</v>
      </c>
      <c r="E423" s="2">
        <f>+IFERROR(VLOOKUP(A423,'2122'!$A$12:$C$389,2,),0)</f>
        <v>0</v>
      </c>
      <c r="F423" s="2">
        <v>0</v>
      </c>
      <c r="G423" s="2">
        <f t="shared" si="30"/>
        <v>0</v>
      </c>
      <c r="H423" s="2">
        <f>+IFERROR(VLOOKUP(A423,'2122'!$A$12:$C$389,3,),0)</f>
        <v>0</v>
      </c>
      <c r="I423" s="2">
        <v>0</v>
      </c>
      <c r="J423" s="2">
        <f t="shared" si="31"/>
        <v>0</v>
      </c>
      <c r="K423" s="2">
        <v>0</v>
      </c>
      <c r="M423" s="2">
        <v>0</v>
      </c>
      <c r="N423" s="2">
        <v>0</v>
      </c>
      <c r="P423" s="2">
        <v>0</v>
      </c>
    </row>
    <row r="424" spans="1:16">
      <c r="A424" s="2" t="s">
        <v>740</v>
      </c>
      <c r="B424" s="9">
        <v>17</v>
      </c>
      <c r="C424" s="2" t="s">
        <v>415</v>
      </c>
      <c r="D424" s="2" t="s">
        <v>415</v>
      </c>
      <c r="E424" s="2">
        <f>+IFERROR(VLOOKUP(A424,'2122'!$A$12:$C$389,2,),0)</f>
        <v>0</v>
      </c>
      <c r="F424" s="2">
        <v>0</v>
      </c>
      <c r="G424" s="2">
        <f t="shared" si="30"/>
        <v>0</v>
      </c>
      <c r="H424" s="2">
        <f>+IFERROR(VLOOKUP(A424,'2122'!$A$12:$C$389,3,),0)</f>
        <v>0</v>
      </c>
      <c r="I424" s="2">
        <v>0</v>
      </c>
      <c r="J424" s="2">
        <f t="shared" si="31"/>
        <v>0</v>
      </c>
      <c r="K424" s="2">
        <v>0</v>
      </c>
      <c r="M424" s="2">
        <v>0</v>
      </c>
      <c r="N424" s="2">
        <v>0</v>
      </c>
      <c r="P424" s="2">
        <v>0</v>
      </c>
    </row>
    <row r="425" spans="1:16">
      <c r="A425" s="2" t="s">
        <v>741</v>
      </c>
      <c r="B425" s="9">
        <v>25</v>
      </c>
      <c r="C425" s="2" t="s">
        <v>619</v>
      </c>
      <c r="D425" s="2" t="s">
        <v>742</v>
      </c>
      <c r="E425" s="2">
        <f>+IFERROR(VLOOKUP(A425,'2122'!$A$12:$C$389,2,),0)</f>
        <v>198462</v>
      </c>
      <c r="F425" s="2">
        <v>0</v>
      </c>
      <c r="G425" s="2">
        <f t="shared" si="30"/>
        <v>198462</v>
      </c>
      <c r="H425" s="2">
        <f>+IFERROR(VLOOKUP(A425,'2122'!$A$12:$C$389,3,),0)</f>
        <v>0</v>
      </c>
      <c r="I425" s="2">
        <v>0</v>
      </c>
      <c r="J425" s="2">
        <f t="shared" si="31"/>
        <v>0</v>
      </c>
      <c r="K425" s="2">
        <v>306631</v>
      </c>
      <c r="M425" s="2">
        <v>306631</v>
      </c>
      <c r="N425" s="2">
        <v>0</v>
      </c>
      <c r="P425" s="2">
        <v>0</v>
      </c>
    </row>
    <row r="426" spans="1:16">
      <c r="A426" s="2" t="s">
        <v>205</v>
      </c>
      <c r="B426" s="9">
        <v>27</v>
      </c>
      <c r="C426" s="2" t="s">
        <v>1560</v>
      </c>
      <c r="D426" s="2" t="s">
        <v>1312</v>
      </c>
      <c r="E426" s="2">
        <f>+IFERROR(VLOOKUP(A426,'2122'!$A$12:$C$389,2,),0)</f>
        <v>550</v>
      </c>
      <c r="F426" s="2">
        <v>0</v>
      </c>
      <c r="G426" s="2">
        <f t="shared" si="30"/>
        <v>550</v>
      </c>
      <c r="H426" s="2">
        <f>+IFERROR(VLOOKUP(A426,'2122'!$A$12:$C$389,3,),0)</f>
        <v>0</v>
      </c>
      <c r="I426" s="2">
        <v>0</v>
      </c>
      <c r="J426" s="2">
        <f t="shared" si="31"/>
        <v>0</v>
      </c>
      <c r="K426" s="2">
        <v>0</v>
      </c>
      <c r="M426" s="2">
        <v>0</v>
      </c>
      <c r="N426" s="2">
        <v>0</v>
      </c>
      <c r="P426" s="2">
        <v>0</v>
      </c>
    </row>
    <row r="427" spans="1:16">
      <c r="A427" s="2" t="s">
        <v>743</v>
      </c>
      <c r="B427" s="9">
        <v>17</v>
      </c>
      <c r="C427" s="2" t="s">
        <v>415</v>
      </c>
      <c r="D427" s="2" t="s">
        <v>416</v>
      </c>
      <c r="E427" s="2">
        <f>+IFERROR(VLOOKUP(A427,'2122'!$A$12:$C$389,2,),0)</f>
        <v>0</v>
      </c>
      <c r="F427" s="2">
        <v>0</v>
      </c>
      <c r="G427" s="2">
        <f t="shared" si="30"/>
        <v>0</v>
      </c>
      <c r="H427" s="2">
        <f>+IFERROR(VLOOKUP(A427,'2122'!$A$12:$C$389,3,),0)</f>
        <v>0</v>
      </c>
      <c r="I427" s="2">
        <v>0</v>
      </c>
      <c r="J427" s="2">
        <f t="shared" si="31"/>
        <v>0</v>
      </c>
      <c r="K427" s="2">
        <v>0</v>
      </c>
      <c r="M427" s="2">
        <v>0</v>
      </c>
      <c r="N427" s="2">
        <v>0</v>
      </c>
      <c r="P427" s="2">
        <v>0</v>
      </c>
    </row>
    <row r="428" spans="1:16">
      <c r="A428" s="2" t="s">
        <v>744</v>
      </c>
      <c r="B428" s="9">
        <v>9</v>
      </c>
      <c r="C428" s="2" t="s">
        <v>602</v>
      </c>
      <c r="D428" s="2" t="s">
        <v>450</v>
      </c>
      <c r="E428" s="2">
        <f>+IFERROR(VLOOKUP(A428,'2122'!$A$12:$C$389,2,),0)</f>
        <v>9000</v>
      </c>
      <c r="F428" s="2">
        <v>0</v>
      </c>
      <c r="G428" s="2">
        <f t="shared" si="30"/>
        <v>9000</v>
      </c>
      <c r="H428" s="2">
        <f>+IFERROR(VLOOKUP(A428,'2122'!$A$12:$C$389,3,),0)</f>
        <v>0</v>
      </c>
      <c r="I428" s="2">
        <v>0</v>
      </c>
      <c r="J428" s="2">
        <f t="shared" si="31"/>
        <v>0</v>
      </c>
      <c r="K428" s="2">
        <v>2000</v>
      </c>
      <c r="M428" s="2">
        <v>2000</v>
      </c>
      <c r="N428" s="2">
        <v>0</v>
      </c>
      <c r="P428" s="2">
        <v>0</v>
      </c>
    </row>
    <row r="429" spans="1:16">
      <c r="A429" s="2" t="s">
        <v>745</v>
      </c>
      <c r="B429" s="9">
        <v>6</v>
      </c>
      <c r="C429" s="2" t="s">
        <v>1074</v>
      </c>
      <c r="D429" s="2" t="s">
        <v>423</v>
      </c>
      <c r="E429" s="2">
        <f>+IFERROR(VLOOKUP(A429,'2122'!$A$12:$C$389,2,),0)</f>
        <v>0</v>
      </c>
      <c r="F429" s="2">
        <v>0</v>
      </c>
      <c r="G429" s="2">
        <f t="shared" si="30"/>
        <v>0</v>
      </c>
      <c r="H429" s="2">
        <f>+IFERROR(VLOOKUP(A429,'2122'!$A$12:$C$389,3,),0)</f>
        <v>0</v>
      </c>
      <c r="I429" s="2">
        <v>0</v>
      </c>
      <c r="J429" s="2">
        <f t="shared" si="31"/>
        <v>0</v>
      </c>
      <c r="K429" s="2">
        <v>0</v>
      </c>
      <c r="M429" s="2">
        <v>0</v>
      </c>
      <c r="N429" s="2">
        <v>0</v>
      </c>
      <c r="P429" s="2">
        <v>0</v>
      </c>
    </row>
    <row r="430" spans="1:16">
      <c r="A430" s="2" t="s">
        <v>746</v>
      </c>
      <c r="B430" s="9">
        <v>10</v>
      </c>
      <c r="C430" s="2" t="s">
        <v>598</v>
      </c>
      <c r="D430" s="2" t="s">
        <v>445</v>
      </c>
      <c r="E430" s="2">
        <f>+IFERROR(VLOOKUP(A430,'2122'!$A$12:$C$389,2,),0)</f>
        <v>0</v>
      </c>
      <c r="F430" s="2">
        <v>0</v>
      </c>
      <c r="G430" s="2">
        <f t="shared" si="30"/>
        <v>0</v>
      </c>
      <c r="H430" s="2">
        <f>+IFERROR(VLOOKUP(A430,'2122'!$A$12:$C$389,3,),0)</f>
        <v>0</v>
      </c>
      <c r="I430" s="2">
        <v>0</v>
      </c>
      <c r="J430" s="2">
        <f t="shared" si="31"/>
        <v>0</v>
      </c>
      <c r="K430" s="2">
        <v>0</v>
      </c>
      <c r="M430" s="2">
        <v>0</v>
      </c>
      <c r="N430" s="2">
        <v>0</v>
      </c>
      <c r="P430" s="2">
        <v>0</v>
      </c>
    </row>
    <row r="431" spans="1:16">
      <c r="A431" s="2" t="s">
        <v>747</v>
      </c>
      <c r="B431" s="9">
        <v>17</v>
      </c>
      <c r="C431" s="2" t="s">
        <v>415</v>
      </c>
      <c r="D431" s="2" t="s">
        <v>416</v>
      </c>
      <c r="E431" s="2">
        <f>+IFERROR(VLOOKUP(A431,'2122'!$A$12:$C$389,2,),0)</f>
        <v>0</v>
      </c>
      <c r="F431" s="2">
        <v>0</v>
      </c>
      <c r="G431" s="2">
        <f t="shared" si="30"/>
        <v>0</v>
      </c>
      <c r="H431" s="2">
        <f>+IFERROR(VLOOKUP(A431,'2122'!$A$12:$C$389,3,),0)</f>
        <v>0</v>
      </c>
      <c r="I431" s="2">
        <v>0</v>
      </c>
      <c r="J431" s="2">
        <f t="shared" si="31"/>
        <v>0</v>
      </c>
      <c r="K431" s="2">
        <v>0</v>
      </c>
      <c r="M431" s="2">
        <v>0</v>
      </c>
      <c r="N431" s="2">
        <v>0</v>
      </c>
      <c r="P431" s="2">
        <v>0</v>
      </c>
    </row>
    <row r="432" spans="1:16">
      <c r="A432" s="2" t="s">
        <v>748</v>
      </c>
      <c r="B432" s="9">
        <v>17</v>
      </c>
      <c r="C432" s="2" t="s">
        <v>415</v>
      </c>
      <c r="D432" s="2" t="s">
        <v>416</v>
      </c>
      <c r="E432" s="2">
        <f>+IFERROR(VLOOKUP(A432,'2122'!$A$12:$C$389,2,),0)</f>
        <v>0</v>
      </c>
      <c r="F432" s="2">
        <v>0</v>
      </c>
      <c r="G432" s="2">
        <f t="shared" si="30"/>
        <v>0</v>
      </c>
      <c r="H432" s="2">
        <f>+IFERROR(VLOOKUP(A432,'2122'!$A$12:$C$389,3,),0)</f>
        <v>0</v>
      </c>
      <c r="I432" s="2">
        <v>0</v>
      </c>
      <c r="J432" s="2">
        <f t="shared" si="31"/>
        <v>0</v>
      </c>
      <c r="K432" s="2">
        <v>0</v>
      </c>
      <c r="M432" s="2">
        <v>0</v>
      </c>
      <c r="N432" s="2">
        <v>0</v>
      </c>
      <c r="P432" s="2">
        <v>0</v>
      </c>
    </row>
    <row r="433" spans="1:16">
      <c r="A433" s="2" t="s">
        <v>208</v>
      </c>
      <c r="B433" s="9">
        <v>17</v>
      </c>
      <c r="C433" s="2" t="s">
        <v>415</v>
      </c>
      <c r="D433" s="2" t="s">
        <v>416</v>
      </c>
      <c r="E433" s="2">
        <f>+IFERROR(VLOOKUP(A433,'2122'!$A$12:$C$389,2,),0)</f>
        <v>0</v>
      </c>
      <c r="F433" s="2">
        <v>0</v>
      </c>
      <c r="G433" s="2">
        <f t="shared" si="30"/>
        <v>0</v>
      </c>
      <c r="H433" s="2">
        <f>+IFERROR(VLOOKUP(A433,'2122'!$A$12:$C$389,3,),0)</f>
        <v>5161</v>
      </c>
      <c r="I433" s="2">
        <v>0</v>
      </c>
      <c r="J433" s="2">
        <f t="shared" si="31"/>
        <v>5161</v>
      </c>
      <c r="K433" s="2">
        <v>0</v>
      </c>
      <c r="M433" s="2">
        <v>0</v>
      </c>
      <c r="N433" s="2">
        <v>20037</v>
      </c>
      <c r="P433" s="2">
        <v>20037</v>
      </c>
    </row>
    <row r="434" spans="1:16">
      <c r="A434" s="2" t="s">
        <v>749</v>
      </c>
      <c r="B434" s="9">
        <v>9</v>
      </c>
      <c r="C434" s="2" t="s">
        <v>602</v>
      </c>
      <c r="D434" s="2" t="s">
        <v>450</v>
      </c>
      <c r="E434" s="2">
        <f>+IFERROR(VLOOKUP(A434,'2122'!$A$12:$C$389,2,),0)</f>
        <v>0</v>
      </c>
      <c r="F434" s="2">
        <v>0</v>
      </c>
      <c r="G434" s="2">
        <f t="shared" si="30"/>
        <v>0</v>
      </c>
      <c r="H434" s="2">
        <f>+IFERROR(VLOOKUP(A434,'2122'!$A$12:$C$389,3,),0)</f>
        <v>0</v>
      </c>
      <c r="I434" s="2">
        <v>0</v>
      </c>
      <c r="J434" s="2">
        <f t="shared" si="31"/>
        <v>0</v>
      </c>
      <c r="K434" s="2">
        <v>0</v>
      </c>
      <c r="M434" s="2">
        <v>0</v>
      </c>
      <c r="N434" s="2">
        <v>0</v>
      </c>
      <c r="P434" s="2">
        <v>0</v>
      </c>
    </row>
    <row r="435" spans="1:16">
      <c r="A435" s="2" t="s">
        <v>750</v>
      </c>
      <c r="B435" s="9">
        <v>17</v>
      </c>
      <c r="C435" s="2" t="s">
        <v>415</v>
      </c>
      <c r="D435" s="2" t="s">
        <v>415</v>
      </c>
      <c r="E435" s="2">
        <f>+IFERROR(VLOOKUP(A435,'2122'!$A$12:$C$389,2,),0)</f>
        <v>0</v>
      </c>
      <c r="F435" s="2">
        <v>0</v>
      </c>
      <c r="G435" s="2">
        <f t="shared" si="30"/>
        <v>0</v>
      </c>
      <c r="H435" s="2">
        <f>+IFERROR(VLOOKUP(A435,'2122'!$A$12:$C$389,3,),0)</f>
        <v>0</v>
      </c>
      <c r="I435" s="2">
        <v>0</v>
      </c>
      <c r="J435" s="2">
        <f t="shared" si="31"/>
        <v>0</v>
      </c>
      <c r="K435" s="2">
        <v>0</v>
      </c>
      <c r="M435" s="2">
        <v>0</v>
      </c>
      <c r="N435" s="2">
        <v>0</v>
      </c>
      <c r="P435" s="2">
        <v>0</v>
      </c>
    </row>
    <row r="436" spans="1:16">
      <c r="A436" s="2" t="s">
        <v>211</v>
      </c>
      <c r="B436" s="9">
        <v>9</v>
      </c>
      <c r="C436" s="2" t="s">
        <v>602</v>
      </c>
      <c r="D436" s="2" t="s">
        <v>450</v>
      </c>
      <c r="E436" s="2">
        <f>+IFERROR(VLOOKUP(A436,'2122'!$A$12:$C$389,2,),0)</f>
        <v>9000</v>
      </c>
      <c r="F436" s="2">
        <v>0</v>
      </c>
      <c r="G436" s="2">
        <f t="shared" si="30"/>
        <v>9000</v>
      </c>
      <c r="H436" s="2">
        <f>+IFERROR(VLOOKUP(A436,'2122'!$A$12:$C$389,3,),0)</f>
        <v>0</v>
      </c>
      <c r="I436" s="2">
        <v>0</v>
      </c>
      <c r="J436" s="2">
        <f t="shared" si="31"/>
        <v>0</v>
      </c>
      <c r="K436" s="2">
        <v>0</v>
      </c>
      <c r="M436" s="2">
        <v>0</v>
      </c>
      <c r="N436" s="2">
        <v>0</v>
      </c>
      <c r="P436" s="2">
        <v>0</v>
      </c>
    </row>
    <row r="437" spans="1:16">
      <c r="A437" s="2" t="s">
        <v>751</v>
      </c>
      <c r="B437" s="9">
        <v>6</v>
      </c>
      <c r="C437" s="2" t="s">
        <v>1074</v>
      </c>
      <c r="D437" s="2" t="s">
        <v>423</v>
      </c>
      <c r="E437" s="2">
        <f>+IFERROR(VLOOKUP(A437,'2122'!$A$12:$C$389,2,),0)</f>
        <v>0</v>
      </c>
      <c r="F437" s="2">
        <v>0</v>
      </c>
      <c r="G437" s="2">
        <f t="shared" si="30"/>
        <v>0</v>
      </c>
      <c r="H437" s="2">
        <f>+IFERROR(VLOOKUP(A437,'2122'!$A$12:$C$389,3,),0)</f>
        <v>0</v>
      </c>
      <c r="I437" s="2">
        <v>0</v>
      </c>
      <c r="J437" s="2">
        <f t="shared" si="31"/>
        <v>0</v>
      </c>
      <c r="K437" s="2">
        <v>0</v>
      </c>
      <c r="M437" s="2">
        <v>0</v>
      </c>
      <c r="N437" s="2">
        <v>0</v>
      </c>
      <c r="P437" s="2">
        <v>0</v>
      </c>
    </row>
    <row r="438" spans="1:16">
      <c r="A438" s="2" t="s">
        <v>752</v>
      </c>
      <c r="B438" s="9">
        <v>17</v>
      </c>
      <c r="C438" s="2" t="s">
        <v>415</v>
      </c>
      <c r="D438" s="2" t="s">
        <v>416</v>
      </c>
      <c r="E438" s="2">
        <f>+IFERROR(VLOOKUP(A438,'2122'!$A$12:$C$389,2,),0)</f>
        <v>0</v>
      </c>
      <c r="F438" s="2">
        <v>0</v>
      </c>
      <c r="G438" s="2">
        <f t="shared" si="30"/>
        <v>0</v>
      </c>
      <c r="H438" s="2">
        <f>+IFERROR(VLOOKUP(A438,'2122'!$A$12:$C$389,3,),0)</f>
        <v>0</v>
      </c>
      <c r="I438" s="2">
        <v>0</v>
      </c>
      <c r="J438" s="2">
        <f t="shared" si="31"/>
        <v>0</v>
      </c>
      <c r="K438" s="2">
        <v>0</v>
      </c>
      <c r="M438" s="2">
        <v>0</v>
      </c>
      <c r="N438" s="2">
        <v>0</v>
      </c>
      <c r="P438" s="2">
        <v>0</v>
      </c>
    </row>
    <row r="439" spans="1:16">
      <c r="A439" s="2" t="s">
        <v>753</v>
      </c>
      <c r="B439" s="9">
        <v>17</v>
      </c>
      <c r="C439" s="2" t="s">
        <v>415</v>
      </c>
      <c r="D439" s="2" t="s">
        <v>416</v>
      </c>
      <c r="E439" s="2">
        <f>+IFERROR(VLOOKUP(A439,'2122'!$A$12:$C$389,2,),0)</f>
        <v>0</v>
      </c>
      <c r="F439" s="2">
        <v>0</v>
      </c>
      <c r="G439" s="2">
        <f t="shared" si="30"/>
        <v>0</v>
      </c>
      <c r="H439" s="2">
        <f>+IFERROR(VLOOKUP(A439,'2122'!$A$12:$C$389,3,),0)</f>
        <v>0</v>
      </c>
      <c r="I439" s="2">
        <v>0</v>
      </c>
      <c r="J439" s="2">
        <f t="shared" si="31"/>
        <v>0</v>
      </c>
      <c r="K439" s="2">
        <v>0</v>
      </c>
      <c r="M439" s="2">
        <v>0</v>
      </c>
      <c r="N439" s="2">
        <v>0</v>
      </c>
      <c r="P439" s="2">
        <v>0</v>
      </c>
    </row>
    <row r="440" spans="1:16">
      <c r="A440" s="2" t="s">
        <v>213</v>
      </c>
      <c r="B440" s="9">
        <v>19</v>
      </c>
      <c r="C440" s="2" t="s">
        <v>482</v>
      </c>
      <c r="D440" s="2" t="s">
        <v>531</v>
      </c>
      <c r="E440" s="2">
        <f>+IFERROR(VLOOKUP(A440,'2122'!$A$12:$C$389,2,),0)</f>
        <v>0</v>
      </c>
      <c r="F440" s="2">
        <v>0</v>
      </c>
      <c r="G440" s="2">
        <f t="shared" si="30"/>
        <v>0</v>
      </c>
      <c r="H440" s="2">
        <f>+IFERROR(VLOOKUP(A440,'2122'!$A$12:$C$389,3,),0)</f>
        <v>0</v>
      </c>
      <c r="I440" s="2">
        <v>0</v>
      </c>
      <c r="J440" s="2">
        <f t="shared" si="31"/>
        <v>0</v>
      </c>
      <c r="K440" s="2">
        <v>0</v>
      </c>
      <c r="M440" s="2">
        <v>0</v>
      </c>
      <c r="N440" s="2">
        <v>0</v>
      </c>
      <c r="P440" s="2">
        <v>0</v>
      </c>
    </row>
    <row r="441" spans="1:16">
      <c r="A441" s="2" t="s">
        <v>754</v>
      </c>
      <c r="B441" s="9">
        <v>27</v>
      </c>
      <c r="C441" s="2" t="s">
        <v>1560</v>
      </c>
      <c r="D441" s="2" t="s">
        <v>279</v>
      </c>
      <c r="E441" s="2">
        <f>+IFERROR(VLOOKUP(A441,'2122'!$A$12:$C$389,2,),0)</f>
        <v>0</v>
      </c>
      <c r="F441" s="2">
        <v>0</v>
      </c>
      <c r="G441" s="2">
        <f t="shared" si="30"/>
        <v>0</v>
      </c>
      <c r="H441" s="2">
        <f>+IFERROR(VLOOKUP(A441,'2122'!$A$12:$C$389,3,),0)</f>
        <v>0</v>
      </c>
      <c r="I441" s="2">
        <v>0</v>
      </c>
      <c r="J441" s="2">
        <f t="shared" si="31"/>
        <v>0</v>
      </c>
      <c r="K441" s="2">
        <v>0</v>
      </c>
      <c r="M441" s="2">
        <v>0</v>
      </c>
      <c r="N441" s="2">
        <v>0</v>
      </c>
      <c r="P441" s="2">
        <v>0</v>
      </c>
    </row>
    <row r="442" spans="1:16">
      <c r="A442" s="2" t="s">
        <v>755</v>
      </c>
      <c r="B442" s="9">
        <v>27</v>
      </c>
      <c r="C442" s="2" t="s">
        <v>1560</v>
      </c>
      <c r="D442" s="2" t="s">
        <v>279</v>
      </c>
      <c r="E442" s="2">
        <f>+IFERROR(VLOOKUP(A442,'2122'!$A$12:$C$389,2,),0)</f>
        <v>0</v>
      </c>
      <c r="F442" s="2">
        <v>0</v>
      </c>
      <c r="G442" s="2">
        <f t="shared" si="30"/>
        <v>0</v>
      </c>
      <c r="H442" s="2">
        <f>+IFERROR(VLOOKUP(A442,'2122'!$A$12:$C$389,3,),0)</f>
        <v>0</v>
      </c>
      <c r="I442" s="2">
        <v>0</v>
      </c>
      <c r="J442" s="2">
        <f t="shared" si="31"/>
        <v>0</v>
      </c>
      <c r="K442" s="2">
        <v>0</v>
      </c>
      <c r="M442" s="2">
        <v>0</v>
      </c>
      <c r="N442" s="2">
        <v>0</v>
      </c>
      <c r="P442" s="2">
        <v>0</v>
      </c>
    </row>
    <row r="443" spans="1:16">
      <c r="A443" s="2" t="s">
        <v>756</v>
      </c>
      <c r="B443" s="9">
        <v>27</v>
      </c>
      <c r="C443" s="2" t="s">
        <v>1560</v>
      </c>
      <c r="D443" s="2" t="s">
        <v>1315</v>
      </c>
      <c r="E443" s="2">
        <f>+IFERROR(VLOOKUP(A443,'2122'!$A$12:$C$389,2,),0)</f>
        <v>136800</v>
      </c>
      <c r="F443" s="2">
        <v>0</v>
      </c>
      <c r="G443" s="2">
        <f t="shared" si="30"/>
        <v>136800</v>
      </c>
      <c r="H443" s="2">
        <f>+IFERROR(VLOOKUP(A443,'2122'!$A$12:$C$389,3,),0)</f>
        <v>0</v>
      </c>
      <c r="I443" s="2">
        <v>0</v>
      </c>
      <c r="J443" s="2">
        <f t="shared" si="31"/>
        <v>0</v>
      </c>
      <c r="K443" s="2">
        <v>104715</v>
      </c>
      <c r="M443" s="2">
        <v>104715</v>
      </c>
      <c r="N443" s="2">
        <v>0</v>
      </c>
      <c r="P443" s="2">
        <v>0</v>
      </c>
    </row>
    <row r="444" spans="1:16">
      <c r="A444" s="2" t="s">
        <v>757</v>
      </c>
      <c r="B444" s="9">
        <v>27</v>
      </c>
      <c r="C444" s="2" t="s">
        <v>1560</v>
      </c>
      <c r="D444" s="2" t="s">
        <v>1315</v>
      </c>
      <c r="E444" s="2">
        <f>+IFERROR(VLOOKUP(A444,'2122'!$A$12:$C$389,2,),0)</f>
        <v>90200</v>
      </c>
      <c r="F444" s="2">
        <v>0</v>
      </c>
      <c r="G444" s="2">
        <f t="shared" si="30"/>
        <v>90200</v>
      </c>
      <c r="H444" s="2">
        <f>+IFERROR(VLOOKUP(A444,'2122'!$A$12:$C$389,3,),0)</f>
        <v>0</v>
      </c>
      <c r="I444" s="2">
        <v>0</v>
      </c>
      <c r="J444" s="2">
        <f t="shared" si="31"/>
        <v>0</v>
      </c>
      <c r="K444" s="2">
        <v>88900</v>
      </c>
      <c r="M444" s="2">
        <v>88900</v>
      </c>
      <c r="N444" s="2">
        <v>0</v>
      </c>
      <c r="P444" s="2">
        <v>0</v>
      </c>
    </row>
    <row r="445" spans="1:16">
      <c r="A445" s="2" t="s">
        <v>758</v>
      </c>
      <c r="B445" s="9">
        <v>17</v>
      </c>
      <c r="C445" s="2" t="s">
        <v>415</v>
      </c>
      <c r="D445" s="2" t="s">
        <v>416</v>
      </c>
      <c r="E445" s="2">
        <f>+IFERROR(VLOOKUP(A445,'2122'!$A$12:$C$389,2,),0)</f>
        <v>0</v>
      </c>
      <c r="F445" s="2">
        <v>0</v>
      </c>
      <c r="G445" s="2">
        <f t="shared" si="30"/>
        <v>0</v>
      </c>
      <c r="H445" s="2">
        <f>+IFERROR(VLOOKUP(A445,'2122'!$A$12:$C$389,3,),0)</f>
        <v>0</v>
      </c>
      <c r="I445" s="2">
        <v>0</v>
      </c>
      <c r="J445" s="2">
        <f t="shared" si="31"/>
        <v>0</v>
      </c>
      <c r="K445" s="2">
        <v>0</v>
      </c>
      <c r="M445" s="2">
        <v>0</v>
      </c>
      <c r="N445" s="2">
        <v>5880</v>
      </c>
      <c r="P445" s="2">
        <v>5880</v>
      </c>
    </row>
    <row r="446" spans="1:16">
      <c r="A446" s="2" t="s">
        <v>217</v>
      </c>
      <c r="B446" s="9">
        <v>2</v>
      </c>
      <c r="C446" s="2" t="s">
        <v>1072</v>
      </c>
      <c r="D446" s="2" t="s">
        <v>522</v>
      </c>
      <c r="E446" s="2">
        <f>+IFERROR(VLOOKUP(A446,'2122'!$A$12:$C$389,2,),0)</f>
        <v>1123742.8799999999</v>
      </c>
      <c r="F446" s="2">
        <v>0</v>
      </c>
      <c r="G446" s="2">
        <f t="shared" si="30"/>
        <v>1123742.8799999999</v>
      </c>
      <c r="H446" s="2">
        <f>+IFERROR(VLOOKUP(A446,'2122'!$A$12:$C$389,3,),0)</f>
        <v>0</v>
      </c>
      <c r="I446" s="2">
        <v>0</v>
      </c>
      <c r="J446" s="2">
        <f t="shared" si="31"/>
        <v>0</v>
      </c>
      <c r="K446" s="2">
        <v>1024059.47</v>
      </c>
      <c r="M446" s="2">
        <v>1024059.47</v>
      </c>
      <c r="N446" s="2">
        <v>0</v>
      </c>
      <c r="P446" s="2">
        <v>0</v>
      </c>
    </row>
    <row r="447" spans="1:16">
      <c r="A447" s="2" t="s">
        <v>759</v>
      </c>
      <c r="B447" s="9">
        <v>27</v>
      </c>
      <c r="C447" s="2" t="s">
        <v>1560</v>
      </c>
      <c r="D447" s="2" t="s">
        <v>1315</v>
      </c>
      <c r="E447" s="2">
        <f>+IFERROR(VLOOKUP(A447,'2122'!$A$12:$C$389,2,),0)</f>
        <v>59557.440000000002</v>
      </c>
      <c r="F447" s="2">
        <v>0</v>
      </c>
      <c r="G447" s="2">
        <f t="shared" si="30"/>
        <v>59557.440000000002</v>
      </c>
      <c r="H447" s="2">
        <f>+IFERROR(VLOOKUP(A447,'2122'!$A$12:$C$389,3,),0)</f>
        <v>0</v>
      </c>
      <c r="I447" s="2">
        <v>0</v>
      </c>
      <c r="J447" s="2">
        <f t="shared" si="31"/>
        <v>0</v>
      </c>
      <c r="K447" s="2">
        <v>59486</v>
      </c>
      <c r="M447" s="2">
        <v>59486</v>
      </c>
      <c r="N447" s="2">
        <v>0</v>
      </c>
      <c r="P447" s="2">
        <v>0</v>
      </c>
    </row>
    <row r="448" spans="1:16">
      <c r="A448" s="2" t="s">
        <v>760</v>
      </c>
      <c r="B448" s="9">
        <v>27</v>
      </c>
      <c r="C448" s="2" t="s">
        <v>1560</v>
      </c>
      <c r="D448" s="2" t="s">
        <v>1565</v>
      </c>
      <c r="E448" s="2">
        <f>+IFERROR(VLOOKUP(A448,'2122'!$A$12:$C$389,2,),0)</f>
        <v>420000</v>
      </c>
      <c r="F448" s="2">
        <v>0</v>
      </c>
      <c r="G448" s="2">
        <f t="shared" si="30"/>
        <v>420000</v>
      </c>
      <c r="H448" s="2">
        <f>+IFERROR(VLOOKUP(A448,'2122'!$A$12:$C$389,3,),0)</f>
        <v>0</v>
      </c>
      <c r="I448" s="2">
        <v>0</v>
      </c>
      <c r="J448" s="2">
        <f t="shared" si="31"/>
        <v>0</v>
      </c>
      <c r="K448" s="2">
        <v>312000</v>
      </c>
      <c r="M448" s="2">
        <v>312000</v>
      </c>
      <c r="N448" s="2">
        <v>0</v>
      </c>
      <c r="P448" s="2">
        <v>0</v>
      </c>
    </row>
    <row r="449" spans="1:16">
      <c r="A449" s="2" t="s">
        <v>761</v>
      </c>
      <c r="B449" s="9">
        <v>27</v>
      </c>
      <c r="C449" s="2" t="s">
        <v>1560</v>
      </c>
      <c r="D449" s="2" t="s">
        <v>1315</v>
      </c>
      <c r="E449" s="2">
        <f>+IFERROR(VLOOKUP(A449,'2122'!$A$12:$C$389,2,),0)</f>
        <v>54503</v>
      </c>
      <c r="F449" s="2">
        <v>0</v>
      </c>
      <c r="G449" s="2">
        <f t="shared" si="30"/>
        <v>54503</v>
      </c>
      <c r="H449" s="2">
        <f>+IFERROR(VLOOKUP(A449,'2122'!$A$12:$C$389,3,),0)</f>
        <v>0</v>
      </c>
      <c r="I449" s="2">
        <v>0</v>
      </c>
      <c r="J449" s="2">
        <f t="shared" si="31"/>
        <v>0</v>
      </c>
      <c r="K449" s="2">
        <v>42660</v>
      </c>
      <c r="M449" s="2">
        <v>42660</v>
      </c>
      <c r="N449" s="2">
        <v>0</v>
      </c>
      <c r="P449" s="2">
        <v>0</v>
      </c>
    </row>
    <row r="450" spans="1:16">
      <c r="A450" s="2" t="s">
        <v>221</v>
      </c>
      <c r="B450" s="9">
        <v>10</v>
      </c>
      <c r="C450" s="2" t="s">
        <v>598</v>
      </c>
      <c r="D450" s="2" t="s">
        <v>445</v>
      </c>
      <c r="E450" s="2">
        <f>+IFERROR(VLOOKUP(A450,'2122'!$A$12:$C$389,2,),0)</f>
        <v>20000</v>
      </c>
      <c r="F450" s="2">
        <v>0</v>
      </c>
      <c r="G450" s="2">
        <f t="shared" si="30"/>
        <v>20000</v>
      </c>
      <c r="H450" s="2">
        <f>+IFERROR(VLOOKUP(A450,'2122'!$A$12:$C$389,3,),0)</f>
        <v>0</v>
      </c>
      <c r="I450" s="2">
        <v>0</v>
      </c>
      <c r="J450" s="2">
        <f t="shared" si="31"/>
        <v>0</v>
      </c>
      <c r="K450" s="2">
        <v>0</v>
      </c>
      <c r="M450" s="2">
        <v>0</v>
      </c>
      <c r="N450" s="2">
        <v>0</v>
      </c>
      <c r="P450" s="2">
        <v>0</v>
      </c>
    </row>
    <row r="451" spans="1:16">
      <c r="A451" s="2" t="s">
        <v>13</v>
      </c>
      <c r="C451" s="2" t="s">
        <v>762</v>
      </c>
      <c r="D451" s="2" t="s">
        <v>762</v>
      </c>
      <c r="E451" s="2">
        <f>+IFERROR(VLOOKUP(A451,'2122'!$A$12:$C$389,2,),0)</f>
        <v>63133700</v>
      </c>
      <c r="F451" s="2">
        <v>0</v>
      </c>
      <c r="G451" s="2">
        <f t="shared" si="30"/>
        <v>63133700</v>
      </c>
      <c r="H451" s="2">
        <f>+IFERROR(VLOOKUP(A451,'2122'!$A$12:$C$389,3,),0)</f>
        <v>0</v>
      </c>
      <c r="I451" s="2">
        <v>0</v>
      </c>
      <c r="J451" s="2">
        <f t="shared" si="31"/>
        <v>0</v>
      </c>
      <c r="K451" s="2">
        <v>67823511</v>
      </c>
      <c r="M451" s="2">
        <v>67823511</v>
      </c>
      <c r="N451" s="2">
        <v>0</v>
      </c>
      <c r="P451" s="2">
        <v>0</v>
      </c>
    </row>
    <row r="452" spans="1:16">
      <c r="A452" s="2" t="s">
        <v>763</v>
      </c>
      <c r="B452" s="9">
        <v>6</v>
      </c>
      <c r="C452" s="2" t="s">
        <v>1074</v>
      </c>
      <c r="D452" s="2" t="s">
        <v>423</v>
      </c>
      <c r="E452" s="2">
        <f>+IFERROR(VLOOKUP(A452,'2122'!$A$12:$C$389,2,),0)</f>
        <v>0</v>
      </c>
      <c r="F452" s="2">
        <v>0</v>
      </c>
      <c r="G452" s="2">
        <f t="shared" si="30"/>
        <v>0</v>
      </c>
      <c r="H452" s="2">
        <f>+IFERROR(VLOOKUP(A452,'2122'!$A$12:$C$389,3,),0)</f>
        <v>0</v>
      </c>
      <c r="I452" s="2">
        <v>0</v>
      </c>
      <c r="J452" s="2">
        <f t="shared" si="31"/>
        <v>0</v>
      </c>
      <c r="K452" s="2">
        <v>2929</v>
      </c>
      <c r="M452" s="2">
        <v>2929</v>
      </c>
      <c r="N452" s="2">
        <v>0</v>
      </c>
      <c r="P452" s="2">
        <v>0</v>
      </c>
    </row>
    <row r="453" spans="1:16">
      <c r="A453" s="2" t="s">
        <v>222</v>
      </c>
      <c r="B453" s="9">
        <v>6</v>
      </c>
      <c r="C453" s="2" t="s">
        <v>1074</v>
      </c>
      <c r="D453" s="2" t="s">
        <v>423</v>
      </c>
      <c r="E453" s="2">
        <f>+IFERROR(VLOOKUP(A453,'2122'!$A$12:$C$389,2,),0)</f>
        <v>359743</v>
      </c>
      <c r="F453" s="2">
        <v>0</v>
      </c>
      <c r="G453" s="2">
        <f t="shared" si="30"/>
        <v>359743</v>
      </c>
      <c r="H453" s="2">
        <f>+IFERROR(VLOOKUP(A453,'2122'!$A$12:$C$389,3,),0)</f>
        <v>0</v>
      </c>
      <c r="I453" s="2">
        <v>0</v>
      </c>
      <c r="J453" s="2">
        <f t="shared" si="31"/>
        <v>0</v>
      </c>
      <c r="K453" s="2">
        <v>189048</v>
      </c>
      <c r="M453" s="2">
        <v>189048</v>
      </c>
      <c r="N453" s="2">
        <v>0</v>
      </c>
      <c r="P453" s="2">
        <v>0</v>
      </c>
    </row>
    <row r="454" spans="1:16">
      <c r="A454" s="2" t="s">
        <v>224</v>
      </c>
      <c r="B454" s="9">
        <v>23</v>
      </c>
      <c r="C454" s="2" t="s">
        <v>573</v>
      </c>
      <c r="D454" s="2" t="s">
        <v>574</v>
      </c>
      <c r="E454" s="2">
        <f>+IFERROR(VLOOKUP(A454,'2122'!$A$12:$C$389,2,),0)</f>
        <v>21740</v>
      </c>
      <c r="F454" s="2">
        <v>0</v>
      </c>
      <c r="G454" s="2">
        <f t="shared" si="30"/>
        <v>21740</v>
      </c>
      <c r="H454" s="2">
        <f>+IFERROR(VLOOKUP(A454,'2122'!$A$12:$C$389,3,),0)</f>
        <v>0</v>
      </c>
      <c r="I454" s="2">
        <v>0</v>
      </c>
      <c r="J454" s="2">
        <f t="shared" si="31"/>
        <v>0</v>
      </c>
      <c r="K454" s="2">
        <v>23600</v>
      </c>
      <c r="M454" s="2">
        <v>23600</v>
      </c>
      <c r="N454" s="2">
        <v>0</v>
      </c>
      <c r="P454" s="2">
        <v>0</v>
      </c>
    </row>
    <row r="455" spans="1:16">
      <c r="A455" s="2" t="s">
        <v>225</v>
      </c>
      <c r="B455" s="9">
        <v>23</v>
      </c>
      <c r="C455" s="2" t="s">
        <v>573</v>
      </c>
      <c r="D455" s="2" t="s">
        <v>574</v>
      </c>
      <c r="E455" s="2">
        <f>+IFERROR(VLOOKUP(A455,'2122'!$A$12:$C$389,2,),0)</f>
        <v>3400</v>
      </c>
      <c r="F455" s="2">
        <v>0</v>
      </c>
      <c r="G455" s="2">
        <f t="shared" si="30"/>
        <v>3400</v>
      </c>
      <c r="H455" s="2">
        <f>+IFERROR(VLOOKUP(A455,'2122'!$A$12:$C$389,3,),0)</f>
        <v>0</v>
      </c>
      <c r="I455" s="2">
        <v>0</v>
      </c>
      <c r="J455" s="2">
        <f t="shared" si="31"/>
        <v>0</v>
      </c>
      <c r="K455" s="2">
        <v>3600</v>
      </c>
      <c r="M455" s="2">
        <v>3600</v>
      </c>
      <c r="N455" s="2">
        <v>0</v>
      </c>
      <c r="P455" s="2">
        <v>0</v>
      </c>
    </row>
    <row r="456" spans="1:16">
      <c r="A456" s="2" t="s">
        <v>226</v>
      </c>
      <c r="B456" s="9">
        <v>27</v>
      </c>
      <c r="C456" s="2" t="s">
        <v>1555</v>
      </c>
      <c r="D456" s="2" t="s">
        <v>1556</v>
      </c>
      <c r="E456" s="2">
        <f>+IFERROR(VLOOKUP(A456,'2122'!$A$12:$C$389,2,),0)</f>
        <v>5609421</v>
      </c>
      <c r="F456" s="2">
        <v>0</v>
      </c>
      <c r="G456" s="2">
        <f t="shared" si="30"/>
        <v>5609421</v>
      </c>
      <c r="H456" s="2">
        <f>+IFERROR(VLOOKUP(A456,'2122'!$A$12:$C$389,3,),0)</f>
        <v>0</v>
      </c>
      <c r="I456" s="2">
        <v>0</v>
      </c>
      <c r="J456" s="2">
        <f t="shared" si="31"/>
        <v>0</v>
      </c>
      <c r="K456" s="2">
        <v>5227186</v>
      </c>
      <c r="M456" s="2">
        <v>5227186</v>
      </c>
      <c r="N456" s="2">
        <v>0</v>
      </c>
      <c r="P456" s="2">
        <v>0</v>
      </c>
    </row>
    <row r="457" spans="1:16">
      <c r="A457" s="2" t="s">
        <v>764</v>
      </c>
      <c r="B457" s="9">
        <v>27</v>
      </c>
      <c r="C457" s="2" t="s">
        <v>1555</v>
      </c>
      <c r="D457" s="2" t="s">
        <v>1557</v>
      </c>
      <c r="E457" s="2">
        <f>+IFERROR(VLOOKUP(A457,'2122'!$A$12:$C$389,2,),0)</f>
        <v>0</v>
      </c>
      <c r="F457" s="2">
        <v>0</v>
      </c>
      <c r="G457" s="2">
        <f t="shared" si="30"/>
        <v>0</v>
      </c>
      <c r="H457" s="2">
        <f>+IFERROR(VLOOKUP(A457,'2122'!$A$12:$C$389,3,),0)</f>
        <v>0</v>
      </c>
      <c r="I457" s="2">
        <v>0</v>
      </c>
      <c r="J457" s="2">
        <f t="shared" si="31"/>
        <v>0</v>
      </c>
      <c r="K457" s="2">
        <v>0</v>
      </c>
      <c r="M457" s="2">
        <v>0</v>
      </c>
      <c r="N457" s="2">
        <v>0</v>
      </c>
      <c r="P457" s="2">
        <v>0</v>
      </c>
    </row>
    <row r="458" spans="1:16">
      <c r="A458" s="2" t="s">
        <v>765</v>
      </c>
      <c r="B458" s="9">
        <v>27</v>
      </c>
      <c r="C458" s="2" t="s">
        <v>1555</v>
      </c>
      <c r="D458" s="2" t="s">
        <v>231</v>
      </c>
      <c r="E458" s="2">
        <f>+IFERROR(VLOOKUP(A458,'2122'!$A$12:$C$389,2,),0)</f>
        <v>0</v>
      </c>
      <c r="F458" s="2">
        <v>0</v>
      </c>
      <c r="G458" s="2">
        <f t="shared" si="30"/>
        <v>0</v>
      </c>
      <c r="H458" s="2">
        <f>+IFERROR(VLOOKUP(A458,'2122'!$A$12:$C$389,3,),0)</f>
        <v>0</v>
      </c>
      <c r="I458" s="2">
        <v>0</v>
      </c>
      <c r="J458" s="2">
        <f t="shared" si="31"/>
        <v>0</v>
      </c>
      <c r="K458" s="2">
        <v>1640</v>
      </c>
      <c r="M458" s="2">
        <v>1640</v>
      </c>
      <c r="N458" s="2">
        <v>0</v>
      </c>
      <c r="P458" s="2">
        <v>0</v>
      </c>
    </row>
    <row r="459" spans="1:16">
      <c r="A459" s="2" t="s">
        <v>227</v>
      </c>
      <c r="B459" s="9">
        <v>27</v>
      </c>
      <c r="C459" s="2" t="s">
        <v>1555</v>
      </c>
      <c r="D459" s="2" t="s">
        <v>231</v>
      </c>
      <c r="E459" s="2">
        <f>+IFERROR(VLOOKUP(A459,'2122'!$A$12:$C$389,2,),0)</f>
        <v>3050</v>
      </c>
      <c r="F459" s="2">
        <v>0</v>
      </c>
      <c r="G459" s="2">
        <f t="shared" si="30"/>
        <v>3050</v>
      </c>
      <c r="H459" s="2">
        <f>+IFERROR(VLOOKUP(A459,'2122'!$A$12:$C$389,3,),0)</f>
        <v>0</v>
      </c>
      <c r="I459" s="2">
        <v>0</v>
      </c>
      <c r="J459" s="2">
        <f t="shared" si="31"/>
        <v>0</v>
      </c>
      <c r="K459" s="2">
        <v>870</v>
      </c>
      <c r="M459" s="2">
        <v>870</v>
      </c>
      <c r="N459" s="2">
        <v>0</v>
      </c>
      <c r="P459" s="2">
        <v>0</v>
      </c>
    </row>
    <row r="460" spans="1:16">
      <c r="A460" s="2" t="s">
        <v>766</v>
      </c>
      <c r="B460" s="9">
        <v>27</v>
      </c>
      <c r="C460" s="2" t="s">
        <v>1560</v>
      </c>
      <c r="D460" s="2" t="s">
        <v>1563</v>
      </c>
      <c r="E460" s="2">
        <f>+IFERROR(VLOOKUP(A460,'2122'!$A$12:$C$389,2,),0)</f>
        <v>0</v>
      </c>
      <c r="F460" s="2">
        <v>0</v>
      </c>
      <c r="G460" s="2">
        <f t="shared" si="30"/>
        <v>0</v>
      </c>
      <c r="H460" s="2">
        <f>+IFERROR(VLOOKUP(A460,'2122'!$A$12:$C$389,3,),0)</f>
        <v>0</v>
      </c>
      <c r="I460" s="2">
        <v>0</v>
      </c>
      <c r="J460" s="2">
        <f t="shared" si="31"/>
        <v>0</v>
      </c>
      <c r="K460" s="2">
        <v>0</v>
      </c>
      <c r="M460" s="2">
        <v>0</v>
      </c>
      <c r="N460" s="2">
        <v>0</v>
      </c>
      <c r="P460" s="2">
        <v>0</v>
      </c>
    </row>
    <row r="461" spans="1:16">
      <c r="A461" s="2" t="s">
        <v>767</v>
      </c>
      <c r="B461" s="9">
        <v>27</v>
      </c>
      <c r="C461" s="2" t="s">
        <v>1560</v>
      </c>
      <c r="D461" s="2" t="s">
        <v>1563</v>
      </c>
      <c r="E461" s="2">
        <f>+IFERROR(VLOOKUP(A461,'2122'!$A$12:$C$389,2,),0)</f>
        <v>0</v>
      </c>
      <c r="F461" s="2">
        <v>0</v>
      </c>
      <c r="G461" s="2">
        <f t="shared" si="30"/>
        <v>0</v>
      </c>
      <c r="H461" s="2">
        <f>+IFERROR(VLOOKUP(A461,'2122'!$A$12:$C$389,3,),0)</f>
        <v>0</v>
      </c>
      <c r="I461" s="2">
        <v>0</v>
      </c>
      <c r="J461" s="2">
        <f t="shared" si="31"/>
        <v>0</v>
      </c>
      <c r="K461" s="2">
        <v>0</v>
      </c>
      <c r="M461" s="2">
        <v>0</v>
      </c>
      <c r="N461" s="2">
        <v>0</v>
      </c>
      <c r="P461" s="2">
        <v>0</v>
      </c>
    </row>
    <row r="462" spans="1:16">
      <c r="A462" s="2" t="s">
        <v>228</v>
      </c>
      <c r="B462" s="9">
        <v>23</v>
      </c>
      <c r="C462" s="2" t="s">
        <v>573</v>
      </c>
      <c r="D462" s="2" t="s">
        <v>574</v>
      </c>
      <c r="E462" s="2">
        <f>+IFERROR(VLOOKUP(A462,'2122'!$A$12:$C$389,2,),0)</f>
        <v>175062.8</v>
      </c>
      <c r="F462" s="2">
        <v>0</v>
      </c>
      <c r="G462" s="2">
        <f t="shared" si="30"/>
        <v>175062.8</v>
      </c>
      <c r="H462" s="2">
        <f>+IFERROR(VLOOKUP(A462,'2122'!$A$12:$C$389,3,),0)</f>
        <v>0</v>
      </c>
      <c r="I462" s="2">
        <v>0</v>
      </c>
      <c r="J462" s="2">
        <f t="shared" si="31"/>
        <v>0</v>
      </c>
      <c r="K462" s="2">
        <v>248948</v>
      </c>
      <c r="M462" s="2">
        <v>248948</v>
      </c>
      <c r="N462" s="2">
        <v>0</v>
      </c>
      <c r="P462" s="2">
        <v>0</v>
      </c>
    </row>
    <row r="463" spans="1:16">
      <c r="A463" s="2" t="s">
        <v>768</v>
      </c>
      <c r="B463" s="9">
        <v>27</v>
      </c>
      <c r="C463" s="2" t="s">
        <v>1560</v>
      </c>
      <c r="D463" s="2" t="s">
        <v>1312</v>
      </c>
      <c r="E463" s="2">
        <f>+IFERROR(VLOOKUP(A463,'2122'!$A$12:$C$389,2,),0)</f>
        <v>0</v>
      </c>
      <c r="F463" s="2">
        <v>0</v>
      </c>
      <c r="G463" s="2">
        <f t="shared" ref="G463:G528" si="32">+E463+F463</f>
        <v>0</v>
      </c>
      <c r="H463" s="2">
        <f>+IFERROR(VLOOKUP(A463,'2122'!$A$12:$C$389,3,),0)</f>
        <v>0</v>
      </c>
      <c r="I463" s="2">
        <v>0</v>
      </c>
      <c r="J463" s="2">
        <f t="shared" ref="J463:J528" si="33">+H463+I463</f>
        <v>0</v>
      </c>
      <c r="K463" s="2">
        <v>0</v>
      </c>
      <c r="M463" s="2">
        <v>0</v>
      </c>
      <c r="N463" s="2">
        <v>0</v>
      </c>
      <c r="P463" s="2">
        <v>0</v>
      </c>
    </row>
    <row r="464" spans="1:16">
      <c r="A464" s="2" t="s">
        <v>769</v>
      </c>
      <c r="B464" s="9">
        <v>27</v>
      </c>
      <c r="C464" s="2" t="s">
        <v>1560</v>
      </c>
      <c r="D464" s="2" t="s">
        <v>1561</v>
      </c>
      <c r="E464" s="2">
        <f>+IFERROR(VLOOKUP(A464,'2122'!$A$12:$C$389,2,),0)</f>
        <v>0</v>
      </c>
      <c r="F464" s="2">
        <v>0</v>
      </c>
      <c r="G464" s="2">
        <f t="shared" si="32"/>
        <v>0</v>
      </c>
      <c r="H464" s="2">
        <f>+IFERROR(VLOOKUP(A464,'2122'!$A$12:$C$389,3,),0)</f>
        <v>0</v>
      </c>
      <c r="I464" s="2">
        <v>0</v>
      </c>
      <c r="J464" s="2">
        <f t="shared" si="33"/>
        <v>0</v>
      </c>
      <c r="K464" s="2">
        <v>0</v>
      </c>
      <c r="M464" s="2">
        <v>0</v>
      </c>
      <c r="N464" s="2">
        <v>0</v>
      </c>
      <c r="P464" s="2">
        <v>0</v>
      </c>
    </row>
    <row r="465" spans="1:16">
      <c r="A465" s="2" t="s">
        <v>770</v>
      </c>
      <c r="B465" s="9">
        <v>27</v>
      </c>
      <c r="C465" s="2" t="s">
        <v>1560</v>
      </c>
      <c r="D465" s="2" t="s">
        <v>1561</v>
      </c>
      <c r="E465" s="2">
        <f>+IFERROR(VLOOKUP(A465,'2122'!$A$12:$C$389,2,),0)</f>
        <v>0</v>
      </c>
      <c r="F465" s="2">
        <v>0</v>
      </c>
      <c r="G465" s="2">
        <f t="shared" si="32"/>
        <v>0</v>
      </c>
      <c r="H465" s="2">
        <f>+IFERROR(VLOOKUP(A465,'2122'!$A$12:$C$389,3,),0)</f>
        <v>0</v>
      </c>
      <c r="I465" s="2">
        <v>0</v>
      </c>
      <c r="J465" s="2">
        <f t="shared" si="33"/>
        <v>0</v>
      </c>
      <c r="K465" s="2">
        <v>0</v>
      </c>
      <c r="M465" s="2">
        <v>0</v>
      </c>
      <c r="N465" s="2">
        <v>0</v>
      </c>
      <c r="P465" s="2">
        <v>0</v>
      </c>
    </row>
    <row r="466" spans="1:16">
      <c r="A466" s="2" t="s">
        <v>230</v>
      </c>
      <c r="B466" s="9">
        <v>21</v>
      </c>
      <c r="C466" s="2" t="s">
        <v>621</v>
      </c>
      <c r="D466" s="2" t="s">
        <v>622</v>
      </c>
      <c r="E466" s="2">
        <f>+IFERROR(VLOOKUP(A466,'2122'!$A$12:$C$389,2,),0)</f>
        <v>0</v>
      </c>
      <c r="F466" s="2">
        <v>0</v>
      </c>
      <c r="G466" s="2">
        <f t="shared" si="32"/>
        <v>0</v>
      </c>
      <c r="H466" s="2">
        <f>+IFERROR(VLOOKUP(A466,'2122'!$A$12:$C$389,3,),0)</f>
        <v>393392</v>
      </c>
      <c r="I466" s="2">
        <v>0</v>
      </c>
      <c r="J466" s="2">
        <f t="shared" si="33"/>
        <v>393392</v>
      </c>
      <c r="K466" s="2">
        <v>0</v>
      </c>
      <c r="M466" s="2">
        <v>0</v>
      </c>
      <c r="N466" s="2">
        <v>438710</v>
      </c>
      <c r="P466" s="2">
        <v>438710</v>
      </c>
    </row>
    <row r="467" spans="1:16">
      <c r="A467" s="2" t="s">
        <v>231</v>
      </c>
      <c r="B467" s="9">
        <v>27</v>
      </c>
      <c r="C467" s="2" t="s">
        <v>1555</v>
      </c>
      <c r="D467" s="2" t="s">
        <v>231</v>
      </c>
      <c r="E467" s="2">
        <f>+IFERROR(VLOOKUP(A467,'2122'!$A$12:$C$389,2,),0)</f>
        <v>9088041.2200000007</v>
      </c>
      <c r="F467" s="2">
        <v>0</v>
      </c>
      <c r="G467" s="2">
        <f t="shared" si="32"/>
        <v>9088041.2200000007</v>
      </c>
      <c r="H467" s="2">
        <f>+IFERROR(VLOOKUP(A467,'2122'!$A$12:$C$389,3,),0)</f>
        <v>0</v>
      </c>
      <c r="I467" s="2">
        <v>0</v>
      </c>
      <c r="J467" s="2">
        <f t="shared" si="33"/>
        <v>0</v>
      </c>
      <c r="K467" s="2">
        <v>6671147.8200000003</v>
      </c>
      <c r="M467" s="2">
        <v>6671147.8200000003</v>
      </c>
      <c r="N467" s="2">
        <v>0</v>
      </c>
      <c r="P467" s="2">
        <v>0</v>
      </c>
    </row>
    <row r="468" spans="1:16">
      <c r="A468" s="2" t="s">
        <v>771</v>
      </c>
      <c r="B468" s="9">
        <v>6</v>
      </c>
      <c r="C468" s="2" t="s">
        <v>1074</v>
      </c>
      <c r="D468" s="2" t="s">
        <v>423</v>
      </c>
      <c r="E468" s="2">
        <f>+IFERROR(VLOOKUP(A468,'2122'!$A$12:$C$389,2,),0)</f>
        <v>0</v>
      </c>
      <c r="F468" s="2">
        <v>0</v>
      </c>
      <c r="G468" s="2">
        <f t="shared" si="32"/>
        <v>0</v>
      </c>
      <c r="H468" s="2">
        <f>+IFERROR(VLOOKUP(A468,'2122'!$A$12:$C$389,3,),0)</f>
        <v>733</v>
      </c>
      <c r="I468" s="2">
        <v>0</v>
      </c>
      <c r="J468" s="2">
        <f t="shared" si="33"/>
        <v>733</v>
      </c>
      <c r="K468" s="2">
        <v>0</v>
      </c>
      <c r="M468" s="2">
        <v>0</v>
      </c>
      <c r="N468" s="2">
        <v>0</v>
      </c>
      <c r="P468" s="2">
        <v>0</v>
      </c>
    </row>
    <row r="469" spans="1:16">
      <c r="A469" s="2" t="s">
        <v>772</v>
      </c>
      <c r="B469" s="9">
        <v>17</v>
      </c>
      <c r="C469" s="2" t="s">
        <v>415</v>
      </c>
      <c r="D469" s="2" t="s">
        <v>415</v>
      </c>
      <c r="E469" s="2">
        <f>+IFERROR(VLOOKUP(A469,'2122'!$A$12:$C$389,2,),0)</f>
        <v>0</v>
      </c>
      <c r="F469" s="2">
        <v>0</v>
      </c>
      <c r="G469" s="2">
        <f t="shared" si="32"/>
        <v>0</v>
      </c>
      <c r="H469" s="2">
        <f>+IFERROR(VLOOKUP(A469,'2122'!$A$12:$C$389,3,),0)</f>
        <v>0</v>
      </c>
      <c r="I469" s="2">
        <v>0</v>
      </c>
      <c r="J469" s="2">
        <f t="shared" si="33"/>
        <v>0</v>
      </c>
      <c r="K469" s="2">
        <v>0</v>
      </c>
      <c r="M469" s="2">
        <v>0</v>
      </c>
      <c r="N469" s="2">
        <v>700</v>
      </c>
      <c r="P469" s="2">
        <v>700</v>
      </c>
    </row>
    <row r="470" spans="1:16">
      <c r="A470" s="2" t="s">
        <v>233</v>
      </c>
      <c r="B470" s="9">
        <v>17</v>
      </c>
      <c r="C470" s="2" t="s">
        <v>415</v>
      </c>
      <c r="D470" s="2" t="s">
        <v>416</v>
      </c>
      <c r="E470" s="2">
        <f>+IFERROR(VLOOKUP(A470,'2122'!$A$12:$C$389,2,),0)</f>
        <v>0</v>
      </c>
      <c r="F470" s="2">
        <v>0</v>
      </c>
      <c r="G470" s="2">
        <f t="shared" si="32"/>
        <v>0</v>
      </c>
      <c r="H470" s="2">
        <f>+IFERROR(VLOOKUP(A470,'2122'!$A$12:$C$389,3,),0)</f>
        <v>329959</v>
      </c>
      <c r="I470" s="2">
        <v>0</v>
      </c>
      <c r="J470" s="2">
        <f t="shared" si="33"/>
        <v>329959</v>
      </c>
      <c r="K470" s="2">
        <v>0</v>
      </c>
      <c r="M470" s="2">
        <v>0</v>
      </c>
      <c r="N470" s="2">
        <v>269890</v>
      </c>
      <c r="P470" s="2">
        <v>269890</v>
      </c>
    </row>
    <row r="471" spans="1:16">
      <c r="A471" s="2" t="s">
        <v>773</v>
      </c>
      <c r="B471" s="9">
        <v>17</v>
      </c>
      <c r="C471" s="2" t="s">
        <v>415</v>
      </c>
      <c r="D471" s="2" t="s">
        <v>416</v>
      </c>
      <c r="E471" s="2">
        <f>+IFERROR(VLOOKUP(A471,'2122'!$A$12:$C$389,2,),0)</f>
        <v>0</v>
      </c>
      <c r="F471" s="2">
        <v>0</v>
      </c>
      <c r="G471" s="2">
        <f t="shared" si="32"/>
        <v>0</v>
      </c>
      <c r="H471" s="2">
        <f>+IFERROR(VLOOKUP(A471,'2122'!$A$12:$C$389,3,),0)</f>
        <v>472451</v>
      </c>
      <c r="I471" s="2">
        <v>0</v>
      </c>
      <c r="J471" s="2">
        <f t="shared" si="33"/>
        <v>472451</v>
      </c>
      <c r="K471" s="2">
        <v>0</v>
      </c>
      <c r="M471" s="2">
        <v>0</v>
      </c>
      <c r="N471" s="2">
        <v>386769</v>
      </c>
      <c r="P471" s="2">
        <v>386769</v>
      </c>
    </row>
    <row r="472" spans="1:16">
      <c r="A472" s="2" t="s">
        <v>235</v>
      </c>
      <c r="B472" s="9">
        <v>17</v>
      </c>
      <c r="C472" s="2" t="s">
        <v>415</v>
      </c>
      <c r="D472" s="2" t="s">
        <v>416</v>
      </c>
      <c r="E472" s="2">
        <f>+IFERROR(VLOOKUP(A472,'2122'!$A$12:$C$389,2,),0)</f>
        <v>0</v>
      </c>
      <c r="F472" s="2">
        <v>0</v>
      </c>
      <c r="G472" s="2">
        <f t="shared" si="32"/>
        <v>0</v>
      </c>
      <c r="H472" s="2">
        <f>+IFERROR(VLOOKUP(A472,'2122'!$A$12:$C$389,3,),0)</f>
        <v>535544</v>
      </c>
      <c r="I472" s="2">
        <v>0</v>
      </c>
      <c r="J472" s="2">
        <f t="shared" si="33"/>
        <v>535544</v>
      </c>
      <c r="K472" s="2">
        <v>0</v>
      </c>
      <c r="M472" s="2">
        <v>0</v>
      </c>
      <c r="N472" s="2">
        <v>538166</v>
      </c>
      <c r="P472" s="2">
        <v>538166</v>
      </c>
    </row>
    <row r="473" spans="1:16">
      <c r="A473" s="2" t="s">
        <v>236</v>
      </c>
      <c r="B473" s="9">
        <v>27</v>
      </c>
      <c r="C473" s="2" t="s">
        <v>1560</v>
      </c>
      <c r="D473" s="2" t="s">
        <v>279</v>
      </c>
      <c r="E473" s="2">
        <f>+IFERROR(VLOOKUP(A473,'2122'!$A$12:$C$389,2,),0)</f>
        <v>50</v>
      </c>
      <c r="F473" s="2">
        <v>0</v>
      </c>
      <c r="G473" s="2">
        <f t="shared" si="32"/>
        <v>50</v>
      </c>
      <c r="H473" s="2">
        <f>+IFERROR(VLOOKUP(A473,'2122'!$A$12:$C$389,3,),0)</f>
        <v>0</v>
      </c>
      <c r="I473" s="2">
        <v>0</v>
      </c>
      <c r="J473" s="2">
        <f t="shared" si="33"/>
        <v>0</v>
      </c>
      <c r="K473" s="2">
        <v>75</v>
      </c>
      <c r="M473" s="2">
        <v>75</v>
      </c>
      <c r="N473" s="2">
        <v>0</v>
      </c>
      <c r="P473" s="2">
        <v>0</v>
      </c>
    </row>
    <row r="474" spans="1:16">
      <c r="A474" s="2" t="s">
        <v>237</v>
      </c>
      <c r="B474" s="9">
        <v>27</v>
      </c>
      <c r="C474" s="2" t="s">
        <v>1560</v>
      </c>
      <c r="D474" s="2" t="s">
        <v>279</v>
      </c>
      <c r="E474" s="2">
        <f>+IFERROR(VLOOKUP(A474,'2122'!$A$12:$C$389,2,),0)</f>
        <v>46000</v>
      </c>
      <c r="F474" s="2">
        <v>0</v>
      </c>
      <c r="G474" s="2">
        <f t="shared" si="32"/>
        <v>46000</v>
      </c>
      <c r="H474" s="2">
        <f>+IFERROR(VLOOKUP(A474,'2122'!$A$12:$C$389,3,),0)</f>
        <v>0</v>
      </c>
      <c r="I474" s="2">
        <v>0</v>
      </c>
      <c r="J474" s="2">
        <f t="shared" si="33"/>
        <v>0</v>
      </c>
      <c r="K474" s="2">
        <v>15855</v>
      </c>
      <c r="M474" s="2">
        <v>15855</v>
      </c>
      <c r="N474" s="2">
        <v>0</v>
      </c>
      <c r="P474" s="2">
        <v>0</v>
      </c>
    </row>
    <row r="475" spans="1:16">
      <c r="A475" s="2" t="s">
        <v>774</v>
      </c>
      <c r="B475" s="9">
        <v>27</v>
      </c>
      <c r="C475" s="2" t="s">
        <v>1560</v>
      </c>
      <c r="D475" s="2" t="s">
        <v>279</v>
      </c>
      <c r="E475" s="2">
        <f>+IFERROR(VLOOKUP(A475,'2122'!$A$12:$C$389,2,),0)</f>
        <v>0</v>
      </c>
      <c r="F475" s="2">
        <v>0</v>
      </c>
      <c r="G475" s="2">
        <f t="shared" si="32"/>
        <v>0</v>
      </c>
      <c r="H475" s="2">
        <f>+IFERROR(VLOOKUP(A475,'2122'!$A$12:$C$389,3,),0)</f>
        <v>0</v>
      </c>
      <c r="I475" s="2">
        <v>0</v>
      </c>
      <c r="J475" s="2">
        <f t="shared" si="33"/>
        <v>0</v>
      </c>
      <c r="K475" s="2">
        <v>0</v>
      </c>
      <c r="M475" s="2">
        <v>0</v>
      </c>
      <c r="N475" s="2">
        <v>0</v>
      </c>
      <c r="P475" s="2">
        <v>0</v>
      </c>
    </row>
    <row r="476" spans="1:16">
      <c r="A476" s="2" t="s">
        <v>238</v>
      </c>
      <c r="B476" s="9">
        <v>27</v>
      </c>
      <c r="C476" s="2" t="s">
        <v>1560</v>
      </c>
      <c r="D476" s="2" t="s">
        <v>279</v>
      </c>
      <c r="E476" s="2">
        <f>+IFERROR(VLOOKUP(A476,'2122'!$A$12:$C$389,2,),0)</f>
        <v>50</v>
      </c>
      <c r="F476" s="2">
        <v>0</v>
      </c>
      <c r="G476" s="2">
        <f t="shared" si="32"/>
        <v>50</v>
      </c>
      <c r="H476" s="2">
        <f>+IFERROR(VLOOKUP(A476,'2122'!$A$12:$C$389,3,),0)</f>
        <v>0</v>
      </c>
      <c r="I476" s="2">
        <v>0</v>
      </c>
      <c r="J476" s="2">
        <f t="shared" si="33"/>
        <v>0</v>
      </c>
      <c r="K476" s="2">
        <v>75</v>
      </c>
      <c r="M476" s="2">
        <v>75</v>
      </c>
      <c r="N476" s="2">
        <v>0</v>
      </c>
      <c r="P476" s="2">
        <v>0</v>
      </c>
    </row>
    <row r="477" spans="1:16">
      <c r="A477" s="2" t="s">
        <v>239</v>
      </c>
      <c r="B477" s="9">
        <v>27</v>
      </c>
      <c r="C477" s="2" t="s">
        <v>1560</v>
      </c>
      <c r="D477" s="2" t="s">
        <v>279</v>
      </c>
      <c r="E477" s="2">
        <f>+IFERROR(VLOOKUP(A477,'2122'!$A$12:$C$389,2,),0)</f>
        <v>2360</v>
      </c>
      <c r="F477" s="2">
        <v>0</v>
      </c>
      <c r="G477" s="2">
        <f t="shared" si="32"/>
        <v>2360</v>
      </c>
      <c r="H477" s="2">
        <f>+IFERROR(VLOOKUP(A477,'2122'!$A$12:$C$389,3,),0)</f>
        <v>0</v>
      </c>
      <c r="I477" s="2">
        <v>0</v>
      </c>
      <c r="J477" s="2">
        <f t="shared" si="33"/>
        <v>0</v>
      </c>
      <c r="K477" s="2">
        <v>0</v>
      </c>
      <c r="M477" s="2">
        <v>0</v>
      </c>
      <c r="N477" s="2">
        <v>0</v>
      </c>
      <c r="P477" s="2">
        <v>0</v>
      </c>
    </row>
    <row r="478" spans="1:16">
      <c r="A478" s="2" t="s">
        <v>240</v>
      </c>
      <c r="B478" s="9">
        <v>2</v>
      </c>
      <c r="C478" s="2" t="s">
        <v>1072</v>
      </c>
      <c r="D478" s="2" t="s">
        <v>522</v>
      </c>
      <c r="E478" s="2">
        <f>+IFERROR(VLOOKUP(A478,'2122'!$A$12:$C$389,2,),0)</f>
        <v>222104414.13999999</v>
      </c>
      <c r="F478" s="2">
        <v>0</v>
      </c>
      <c r="G478" s="2">
        <f t="shared" si="32"/>
        <v>222104414.13999999</v>
      </c>
      <c r="H478" s="2">
        <f>+IFERROR(VLOOKUP(A478,'2122'!$A$12:$C$389,3,),0)</f>
        <v>0</v>
      </c>
      <c r="I478" s="2">
        <v>0</v>
      </c>
      <c r="J478" s="2">
        <f t="shared" si="33"/>
        <v>0</v>
      </c>
      <c r="K478" s="2">
        <v>215300342.28</v>
      </c>
      <c r="M478" s="2">
        <v>215300342.28</v>
      </c>
      <c r="N478" s="2">
        <v>0</v>
      </c>
      <c r="P478" s="2">
        <v>0</v>
      </c>
    </row>
    <row r="479" spans="1:16">
      <c r="A479" s="2" t="s">
        <v>775</v>
      </c>
      <c r="B479" s="9">
        <v>17</v>
      </c>
      <c r="C479" s="2" t="s">
        <v>415</v>
      </c>
      <c r="D479" s="2" t="s">
        <v>416</v>
      </c>
      <c r="E479" s="2">
        <f>+IFERROR(VLOOKUP(A479,'2122'!$A$12:$C$389,2,),0)</f>
        <v>0</v>
      </c>
      <c r="F479" s="2">
        <v>0</v>
      </c>
      <c r="G479" s="2">
        <f t="shared" si="32"/>
        <v>0</v>
      </c>
      <c r="H479" s="2">
        <f>+IFERROR(VLOOKUP(A479,'2122'!$A$12:$C$389,3,),0)</f>
        <v>0</v>
      </c>
      <c r="I479" s="2">
        <v>0</v>
      </c>
      <c r="J479" s="2">
        <f t="shared" si="33"/>
        <v>0</v>
      </c>
      <c r="K479" s="2">
        <v>0</v>
      </c>
      <c r="M479" s="2">
        <v>0</v>
      </c>
      <c r="N479" s="2">
        <v>0</v>
      </c>
      <c r="P479" s="2">
        <v>0</v>
      </c>
    </row>
    <row r="480" spans="1:16">
      <c r="A480" s="2" t="s">
        <v>776</v>
      </c>
      <c r="B480" s="9">
        <v>27</v>
      </c>
      <c r="C480" s="2" t="s">
        <v>1560</v>
      </c>
      <c r="D480" s="2" t="s">
        <v>1312</v>
      </c>
      <c r="E480" s="2">
        <f>+IFERROR(VLOOKUP(A480,'2122'!$A$12:$C$389,2,),0)</f>
        <v>111499</v>
      </c>
      <c r="F480" s="2">
        <v>0</v>
      </c>
      <c r="G480" s="2">
        <f t="shared" si="32"/>
        <v>111499</v>
      </c>
      <c r="H480" s="2">
        <f>+IFERROR(VLOOKUP(A480,'2122'!$A$12:$C$389,3,),0)</f>
        <v>0</v>
      </c>
      <c r="I480" s="2">
        <v>0</v>
      </c>
      <c r="J480" s="2">
        <f t="shared" si="33"/>
        <v>0</v>
      </c>
      <c r="K480" s="2">
        <v>98736</v>
      </c>
      <c r="M480" s="2">
        <v>98736</v>
      </c>
      <c r="N480" s="2">
        <v>0</v>
      </c>
      <c r="P480" s="2">
        <v>0</v>
      </c>
    </row>
    <row r="481" spans="1:16">
      <c r="A481" s="2" t="s">
        <v>243</v>
      </c>
      <c r="B481" s="9">
        <v>17</v>
      </c>
      <c r="C481" s="2" t="s">
        <v>415</v>
      </c>
      <c r="D481" s="2" t="s">
        <v>416</v>
      </c>
      <c r="E481" s="2">
        <f>+IFERROR(VLOOKUP(A481,'2122'!$A$12:$C$389,2,),0)</f>
        <v>0</v>
      </c>
      <c r="F481" s="2">
        <v>0</v>
      </c>
      <c r="G481" s="2">
        <f t="shared" si="32"/>
        <v>0</v>
      </c>
      <c r="H481" s="2">
        <f>+IFERROR(VLOOKUP(A481,'2122'!$A$12:$C$389,3,),0)</f>
        <v>6195758</v>
      </c>
      <c r="I481" s="2">
        <v>0</v>
      </c>
      <c r="J481" s="2">
        <f t="shared" si="33"/>
        <v>6195758</v>
      </c>
      <c r="K481" s="2">
        <v>0</v>
      </c>
      <c r="M481" s="2">
        <v>0</v>
      </c>
      <c r="N481" s="2">
        <v>6994370</v>
      </c>
      <c r="P481" s="2">
        <v>6994370</v>
      </c>
    </row>
    <row r="482" spans="1:16">
      <c r="A482" s="2" t="s">
        <v>777</v>
      </c>
      <c r="B482" s="9">
        <v>27</v>
      </c>
      <c r="C482" s="2" t="s">
        <v>1555</v>
      </c>
      <c r="D482" s="2" t="s">
        <v>1556</v>
      </c>
      <c r="E482" s="2">
        <f>+IFERROR(VLOOKUP(A482,'2122'!$A$12:$C$389,2,),0)</f>
        <v>0</v>
      </c>
      <c r="F482" s="2">
        <v>0</v>
      </c>
      <c r="G482" s="2">
        <f t="shared" si="32"/>
        <v>0</v>
      </c>
      <c r="H482" s="2">
        <f>+IFERROR(VLOOKUP(A482,'2122'!$A$12:$C$389,3,),0)</f>
        <v>0</v>
      </c>
      <c r="I482" s="2">
        <v>0</v>
      </c>
      <c r="J482" s="2">
        <f t="shared" si="33"/>
        <v>0</v>
      </c>
      <c r="K482" s="2">
        <v>0</v>
      </c>
      <c r="M482" s="2">
        <v>0</v>
      </c>
      <c r="N482" s="2">
        <v>0</v>
      </c>
      <c r="P482" s="2">
        <v>0</v>
      </c>
    </row>
    <row r="483" spans="1:16">
      <c r="A483" s="2" t="s">
        <v>778</v>
      </c>
      <c r="B483" s="9">
        <v>6</v>
      </c>
      <c r="C483" s="2" t="s">
        <v>1074</v>
      </c>
      <c r="D483" s="2" t="s">
        <v>423</v>
      </c>
      <c r="E483" s="2">
        <f>+IFERROR(VLOOKUP(A483,'2122'!$A$12:$C$389,2,),0)</f>
        <v>0</v>
      </c>
      <c r="F483" s="2">
        <v>0</v>
      </c>
      <c r="G483" s="2">
        <f t="shared" si="32"/>
        <v>0</v>
      </c>
      <c r="H483" s="2">
        <f>+IFERROR(VLOOKUP(A483,'2122'!$A$12:$C$389,3,),0)</f>
        <v>0</v>
      </c>
      <c r="I483" s="2">
        <v>0</v>
      </c>
      <c r="J483" s="2">
        <f t="shared" si="33"/>
        <v>0</v>
      </c>
      <c r="K483" s="2">
        <v>0</v>
      </c>
      <c r="M483" s="2">
        <v>0</v>
      </c>
      <c r="N483" s="2">
        <v>0</v>
      </c>
      <c r="P483" s="2">
        <v>0</v>
      </c>
    </row>
    <row r="484" spans="1:16">
      <c r="A484" s="2" t="s">
        <v>779</v>
      </c>
      <c r="B484" s="9">
        <v>17</v>
      </c>
      <c r="C484" s="2" t="s">
        <v>415</v>
      </c>
      <c r="D484" s="2" t="s">
        <v>415</v>
      </c>
      <c r="E484" s="2">
        <f>+IFERROR(VLOOKUP(A484,'2122'!$A$12:$C$389,2,),0)</f>
        <v>0</v>
      </c>
      <c r="F484" s="2">
        <v>0</v>
      </c>
      <c r="G484" s="2">
        <f t="shared" si="32"/>
        <v>0</v>
      </c>
      <c r="H484" s="2">
        <f>+IFERROR(VLOOKUP(A484,'2122'!$A$12:$C$389,3,),0)</f>
        <v>0</v>
      </c>
      <c r="I484" s="2">
        <v>0</v>
      </c>
      <c r="J484" s="2">
        <f t="shared" si="33"/>
        <v>0</v>
      </c>
      <c r="K484" s="2">
        <v>0</v>
      </c>
      <c r="M484" s="2">
        <v>0</v>
      </c>
      <c r="N484" s="2">
        <v>0</v>
      </c>
      <c r="P484" s="2">
        <v>0</v>
      </c>
    </row>
    <row r="485" spans="1:16">
      <c r="A485" s="2" t="s">
        <v>780</v>
      </c>
      <c r="B485" s="9">
        <v>9</v>
      </c>
      <c r="C485" s="2" t="s">
        <v>602</v>
      </c>
      <c r="D485" s="2" t="s">
        <v>450</v>
      </c>
      <c r="E485" s="2">
        <f>+IFERROR(VLOOKUP(A485,'2122'!$A$12:$C$389,2,),0)</f>
        <v>0</v>
      </c>
      <c r="F485" s="2">
        <v>0</v>
      </c>
      <c r="G485" s="2">
        <f t="shared" si="32"/>
        <v>0</v>
      </c>
      <c r="H485" s="2">
        <f>+IFERROR(VLOOKUP(A485,'2122'!$A$12:$C$389,3,),0)</f>
        <v>0</v>
      </c>
      <c r="I485" s="2">
        <v>0</v>
      </c>
      <c r="J485" s="2">
        <f t="shared" si="33"/>
        <v>0</v>
      </c>
      <c r="K485" s="2">
        <v>0</v>
      </c>
      <c r="M485" s="2">
        <v>0</v>
      </c>
      <c r="N485" s="2">
        <v>0</v>
      </c>
      <c r="P485" s="2">
        <v>0</v>
      </c>
    </row>
    <row r="486" spans="1:16">
      <c r="A486" s="2" t="s">
        <v>245</v>
      </c>
      <c r="B486" s="9">
        <v>6</v>
      </c>
      <c r="C486" s="2" t="s">
        <v>1074</v>
      </c>
      <c r="D486" s="2" t="s">
        <v>423</v>
      </c>
      <c r="E486" s="2">
        <f>+IFERROR(VLOOKUP(A486,'2122'!$A$12:$C$389,2,),0)</f>
        <v>12971715</v>
      </c>
      <c r="F486" s="2">
        <v>0</v>
      </c>
      <c r="G486" s="2">
        <f t="shared" si="32"/>
        <v>12971715</v>
      </c>
      <c r="H486" s="2">
        <f>+IFERROR(VLOOKUP(A486,'2122'!$A$12:$C$389,3,),0)</f>
        <v>0</v>
      </c>
      <c r="I486" s="2">
        <v>0</v>
      </c>
      <c r="J486" s="2">
        <f t="shared" si="33"/>
        <v>0</v>
      </c>
      <c r="K486" s="2">
        <v>3897944</v>
      </c>
      <c r="M486" s="2">
        <v>3897944</v>
      </c>
      <c r="N486" s="2">
        <v>0</v>
      </c>
      <c r="P486" s="2">
        <v>0</v>
      </c>
    </row>
    <row r="487" spans="1:16">
      <c r="A487" s="2" t="s">
        <v>781</v>
      </c>
      <c r="C487" s="2" t="s">
        <v>482</v>
      </c>
      <c r="D487" s="2" t="s">
        <v>483</v>
      </c>
      <c r="E487" s="2">
        <f>+IFERROR(VLOOKUP(A487,'2122'!$A$12:$C$389,2,),0)</f>
        <v>0</v>
      </c>
      <c r="F487" s="2">
        <v>0</v>
      </c>
      <c r="G487" s="2">
        <f t="shared" si="32"/>
        <v>0</v>
      </c>
      <c r="H487" s="2">
        <f>+IFERROR(VLOOKUP(A487,'2122'!$A$12:$C$389,3,),0)</f>
        <v>0</v>
      </c>
      <c r="I487" s="2">
        <v>0</v>
      </c>
      <c r="J487" s="2">
        <f t="shared" si="33"/>
        <v>0</v>
      </c>
      <c r="K487" s="2">
        <v>0</v>
      </c>
      <c r="M487" s="2">
        <v>0</v>
      </c>
      <c r="N487" s="2">
        <v>0</v>
      </c>
      <c r="P487" s="2">
        <v>0</v>
      </c>
    </row>
    <row r="488" spans="1:16">
      <c r="A488" s="2" t="s">
        <v>782</v>
      </c>
      <c r="B488" s="9">
        <v>17</v>
      </c>
      <c r="C488" s="2" t="s">
        <v>415</v>
      </c>
      <c r="D488" s="2" t="s">
        <v>415</v>
      </c>
      <c r="E488" s="2">
        <f>+IFERROR(VLOOKUP(A488,'2122'!$A$12:$C$389,2,),0)</f>
        <v>0</v>
      </c>
      <c r="F488" s="2">
        <v>0</v>
      </c>
      <c r="G488" s="2">
        <f t="shared" si="32"/>
        <v>0</v>
      </c>
      <c r="H488" s="2">
        <f>+IFERROR(VLOOKUP(A488,'2122'!$A$12:$C$389,3,),0)</f>
        <v>0</v>
      </c>
      <c r="I488" s="2">
        <v>0</v>
      </c>
      <c r="J488" s="2">
        <f t="shared" si="33"/>
        <v>0</v>
      </c>
      <c r="K488" s="2">
        <v>0</v>
      </c>
      <c r="M488" s="2">
        <v>0</v>
      </c>
      <c r="N488" s="2">
        <v>0</v>
      </c>
      <c r="P488" s="2">
        <v>0</v>
      </c>
    </row>
    <row r="489" spans="1:16">
      <c r="A489" s="2" t="s">
        <v>251</v>
      </c>
      <c r="B489" s="9">
        <v>10</v>
      </c>
      <c r="C489" s="2" t="s">
        <v>598</v>
      </c>
      <c r="D489" s="2" t="s">
        <v>686</v>
      </c>
      <c r="E489" s="2">
        <f>+IFERROR(VLOOKUP(A489,'2122'!$A$12:$C$389,2,),0)</f>
        <v>519498</v>
      </c>
      <c r="F489" s="2">
        <v>0</v>
      </c>
      <c r="G489" s="2">
        <f t="shared" si="32"/>
        <v>519498</v>
      </c>
      <c r="H489" s="2">
        <f>+IFERROR(VLOOKUP(A489,'2122'!$A$12:$C$389,3,),0)</f>
        <v>0</v>
      </c>
      <c r="I489" s="2">
        <v>0</v>
      </c>
      <c r="J489" s="2">
        <f t="shared" si="33"/>
        <v>0</v>
      </c>
      <c r="K489" s="2">
        <v>167481</v>
      </c>
      <c r="M489" s="2">
        <v>167481</v>
      </c>
      <c r="N489" s="2">
        <v>0</v>
      </c>
      <c r="P489" s="2">
        <v>0</v>
      </c>
    </row>
    <row r="490" spans="1:16">
      <c r="A490" s="2" t="s">
        <v>783</v>
      </c>
      <c r="B490" s="9">
        <v>3</v>
      </c>
      <c r="C490" s="2" t="s">
        <v>1549</v>
      </c>
      <c r="D490" s="2" t="s">
        <v>603</v>
      </c>
      <c r="E490" s="2">
        <f>+IFERROR(VLOOKUP(A490,'2122'!$A$12:$C$389,2,),0)</f>
        <v>0</v>
      </c>
      <c r="F490" s="2">
        <v>0</v>
      </c>
      <c r="G490" s="2">
        <f t="shared" si="32"/>
        <v>0</v>
      </c>
      <c r="H490" s="2">
        <f>+IFERROR(VLOOKUP(A490,'2122'!$A$12:$C$389,3,),0)</f>
        <v>0</v>
      </c>
      <c r="I490" s="2">
        <v>0</v>
      </c>
      <c r="J490" s="2">
        <f t="shared" si="33"/>
        <v>0</v>
      </c>
      <c r="K490" s="2">
        <v>0</v>
      </c>
      <c r="M490" s="2">
        <v>0</v>
      </c>
      <c r="N490" s="2">
        <v>0</v>
      </c>
      <c r="P490" s="2">
        <v>0</v>
      </c>
    </row>
    <row r="491" spans="1:16">
      <c r="A491" s="2" t="s">
        <v>784</v>
      </c>
      <c r="B491" s="9">
        <v>6</v>
      </c>
      <c r="C491" s="2" t="s">
        <v>1074</v>
      </c>
      <c r="D491" s="2" t="s">
        <v>423</v>
      </c>
      <c r="E491" s="2">
        <f>+IFERROR(VLOOKUP(A491,'2122'!$A$12:$C$389,2,),0)</f>
        <v>0</v>
      </c>
      <c r="F491" s="2">
        <v>0</v>
      </c>
      <c r="G491" s="2">
        <f t="shared" si="32"/>
        <v>0</v>
      </c>
      <c r="H491" s="2">
        <f>+IFERROR(VLOOKUP(A491,'2122'!$A$12:$C$389,3,),0)</f>
        <v>0</v>
      </c>
      <c r="I491" s="2">
        <v>0</v>
      </c>
      <c r="J491" s="2">
        <f t="shared" si="33"/>
        <v>0</v>
      </c>
      <c r="K491" s="2">
        <v>0</v>
      </c>
      <c r="M491" s="2">
        <v>0</v>
      </c>
      <c r="N491" s="2">
        <v>0</v>
      </c>
      <c r="P491" s="2">
        <v>0</v>
      </c>
    </row>
    <row r="492" spans="1:16">
      <c r="A492" s="2" t="s">
        <v>253</v>
      </c>
      <c r="B492" s="9">
        <v>27</v>
      </c>
      <c r="C492" s="2" t="s">
        <v>1560</v>
      </c>
      <c r="D492" s="2" t="s">
        <v>1561</v>
      </c>
      <c r="E492" s="2">
        <f>+IFERROR(VLOOKUP(A492,'2122'!$A$12:$C$389,2,),0)</f>
        <v>1238830</v>
      </c>
      <c r="F492" s="2">
        <v>0</v>
      </c>
      <c r="G492" s="2">
        <f t="shared" si="32"/>
        <v>1238830</v>
      </c>
      <c r="H492" s="2">
        <f>+IFERROR(VLOOKUP(A492,'2122'!$A$12:$C$389,3,),0)</f>
        <v>0</v>
      </c>
      <c r="I492" s="2">
        <v>0</v>
      </c>
      <c r="J492" s="2">
        <f t="shared" si="33"/>
        <v>0</v>
      </c>
      <c r="K492" s="2">
        <v>974500</v>
      </c>
      <c r="M492" s="2">
        <v>974500</v>
      </c>
      <c r="N492" s="2">
        <v>0</v>
      </c>
      <c r="P492" s="2">
        <v>0</v>
      </c>
    </row>
    <row r="493" spans="1:16">
      <c r="A493" s="2" t="s">
        <v>785</v>
      </c>
      <c r="B493" s="9">
        <v>27</v>
      </c>
      <c r="C493" s="2" t="s">
        <v>1560</v>
      </c>
      <c r="D493" s="2" t="s">
        <v>279</v>
      </c>
      <c r="E493" s="2">
        <f>+IFERROR(VLOOKUP(A493,'2122'!$A$12:$C$389,2,),0)</f>
        <v>0</v>
      </c>
      <c r="F493" s="2">
        <v>0</v>
      </c>
      <c r="G493" s="2">
        <f t="shared" si="32"/>
        <v>0</v>
      </c>
      <c r="H493" s="2">
        <f>+IFERROR(VLOOKUP(A493,'2122'!$A$12:$C$389,3,),0)</f>
        <v>0</v>
      </c>
      <c r="I493" s="2">
        <v>0</v>
      </c>
      <c r="J493" s="2">
        <f t="shared" si="33"/>
        <v>0</v>
      </c>
      <c r="K493" s="2">
        <v>0</v>
      </c>
      <c r="M493" s="2">
        <v>0</v>
      </c>
      <c r="N493" s="2">
        <v>0</v>
      </c>
      <c r="P493" s="2">
        <v>0</v>
      </c>
    </row>
    <row r="494" spans="1:16">
      <c r="A494" s="2" t="s">
        <v>786</v>
      </c>
      <c r="C494" s="2" t="s">
        <v>524</v>
      </c>
      <c r="D494" s="2" t="s">
        <v>787</v>
      </c>
      <c r="E494" s="2">
        <f>+IFERROR(VLOOKUP(A494,'2122'!$A$12:$C$389,2,),0)</f>
        <v>0</v>
      </c>
      <c r="F494" s="2">
        <v>0</v>
      </c>
      <c r="G494" s="2">
        <f t="shared" si="32"/>
        <v>0</v>
      </c>
      <c r="H494" s="2">
        <f>+IFERROR(VLOOKUP(A494,'2122'!$A$12:$C$389,3,),0)</f>
        <v>159588193.24000001</v>
      </c>
      <c r="I494" s="2">
        <v>0</v>
      </c>
      <c r="J494" s="2">
        <f t="shared" si="33"/>
        <v>159588193.24000001</v>
      </c>
      <c r="K494" s="2">
        <v>0</v>
      </c>
      <c r="M494" s="2">
        <v>0</v>
      </c>
      <c r="N494" s="2">
        <v>124185196.38</v>
      </c>
      <c r="P494" s="2">
        <v>124185196.38</v>
      </c>
    </row>
    <row r="495" spans="1:16">
      <c r="A495" s="2" t="s">
        <v>1148</v>
      </c>
      <c r="C495" s="2" t="s">
        <v>524</v>
      </c>
      <c r="D495" s="2" t="s">
        <v>787</v>
      </c>
      <c r="E495" s="2">
        <f>+IFERROR(VLOOKUP(A495,'2122'!$A$12:$C$389,2,),0)</f>
        <v>0</v>
      </c>
      <c r="F495" s="2">
        <v>0</v>
      </c>
      <c r="G495" s="2">
        <f t="shared" ref="G495" si="34">+E495+F495</f>
        <v>0</v>
      </c>
      <c r="H495" s="2">
        <f>+IFERROR(VLOOKUP(A495,'2122'!$A$12:$C$389,3,),0)</f>
        <v>1104075</v>
      </c>
      <c r="I495" s="2">
        <v>0</v>
      </c>
      <c r="J495" s="2">
        <f t="shared" ref="J495" si="35">+H495+I495</f>
        <v>1104075</v>
      </c>
      <c r="K495" s="2">
        <v>0</v>
      </c>
    </row>
    <row r="496" spans="1:16">
      <c r="A496" s="2" t="s">
        <v>788</v>
      </c>
      <c r="B496" s="9">
        <v>22</v>
      </c>
      <c r="C496" s="2" t="s">
        <v>491</v>
      </c>
      <c r="D496" s="2" t="s">
        <v>788</v>
      </c>
      <c r="E496" s="2">
        <f>+IFERROR(VLOOKUP(A496,'2122'!$A$12:$C$389,2,),0)</f>
        <v>0</v>
      </c>
      <c r="F496" s="2">
        <v>0</v>
      </c>
      <c r="G496" s="2">
        <f t="shared" si="32"/>
        <v>0</v>
      </c>
      <c r="H496" s="2">
        <f>+IFERROR(VLOOKUP(A496,'2122'!$A$12:$C$389,3,),0)</f>
        <v>0</v>
      </c>
      <c r="I496" s="2">
        <v>0</v>
      </c>
      <c r="J496" s="2">
        <f t="shared" si="33"/>
        <v>0</v>
      </c>
      <c r="K496" s="2">
        <v>0</v>
      </c>
      <c r="M496" s="2">
        <v>0</v>
      </c>
      <c r="N496" s="2">
        <v>0</v>
      </c>
      <c r="P496" s="2">
        <v>0</v>
      </c>
    </row>
    <row r="497" spans="1:16">
      <c r="A497" s="2" t="s">
        <v>255</v>
      </c>
      <c r="B497" s="9">
        <v>21</v>
      </c>
      <c r="C497" s="2" t="s">
        <v>621</v>
      </c>
      <c r="D497" s="2" t="s">
        <v>1554</v>
      </c>
      <c r="E497" s="2">
        <f>+IFERROR(VLOOKUP(A497,'2122'!$A$12:$C$389,2,),0)</f>
        <v>0</v>
      </c>
      <c r="F497" s="2">
        <v>0</v>
      </c>
      <c r="G497" s="2">
        <f t="shared" si="32"/>
        <v>0</v>
      </c>
      <c r="H497" s="2">
        <f>+IFERROR(VLOOKUP(A497,'2122'!$A$12:$C$389,3,),0)</f>
        <v>9433000</v>
      </c>
      <c r="I497" s="2">
        <v>0</v>
      </c>
      <c r="J497" s="2">
        <f t="shared" si="33"/>
        <v>9433000</v>
      </c>
      <c r="K497" s="2">
        <v>0</v>
      </c>
      <c r="M497" s="2">
        <v>0</v>
      </c>
      <c r="N497" s="2">
        <v>18856500</v>
      </c>
      <c r="P497" s="2">
        <v>18856500</v>
      </c>
    </row>
    <row r="498" spans="1:16">
      <c r="A498" s="2" t="s">
        <v>789</v>
      </c>
      <c r="B498" s="9">
        <v>25</v>
      </c>
      <c r="C498" s="2" t="s">
        <v>619</v>
      </c>
      <c r="D498" s="2" t="s">
        <v>632</v>
      </c>
      <c r="E498" s="2">
        <f>+IFERROR(VLOOKUP(A498,'2122'!$A$12:$C$389,2,),0)</f>
        <v>1283384</v>
      </c>
      <c r="F498" s="2">
        <v>0</v>
      </c>
      <c r="G498" s="2">
        <f t="shared" si="32"/>
        <v>1283384</v>
      </c>
      <c r="H498" s="2">
        <f>+IFERROR(VLOOKUP(A498,'2122'!$A$12:$C$389,3,),0)</f>
        <v>0</v>
      </c>
      <c r="I498" s="2">
        <v>0</v>
      </c>
      <c r="J498" s="2">
        <f t="shared" si="33"/>
        <v>0</v>
      </c>
      <c r="K498" s="2">
        <v>1147078</v>
      </c>
      <c r="M498" s="2">
        <v>1147078</v>
      </c>
      <c r="N498" s="2">
        <v>0</v>
      </c>
      <c r="P498" s="2">
        <v>0</v>
      </c>
    </row>
    <row r="499" spans="1:16">
      <c r="A499" s="2" t="s">
        <v>257</v>
      </c>
      <c r="B499" s="9">
        <v>14</v>
      </c>
      <c r="C499" s="2" t="s">
        <v>1552</v>
      </c>
      <c r="D499" s="2" t="s">
        <v>607</v>
      </c>
      <c r="E499" s="2">
        <f>+IFERROR(VLOOKUP(A499,'2122'!$A$12:$C$389,2,),0)</f>
        <v>0</v>
      </c>
      <c r="F499" s="2">
        <v>0</v>
      </c>
      <c r="G499" s="2">
        <f t="shared" si="32"/>
        <v>0</v>
      </c>
      <c r="H499" s="2">
        <f>+IFERROR(VLOOKUP(A499,'2122'!$A$12:$C$389,3,),0)</f>
        <v>4610451</v>
      </c>
      <c r="I499" s="2">
        <f>+-(H499-4610451)</f>
        <v>0</v>
      </c>
      <c r="J499" s="2">
        <f t="shared" si="33"/>
        <v>4610451</v>
      </c>
      <c r="K499" s="2">
        <v>0</v>
      </c>
      <c r="M499" s="2">
        <v>0</v>
      </c>
      <c r="N499" s="2">
        <v>6057874</v>
      </c>
      <c r="O499" s="2">
        <v>-1255580</v>
      </c>
      <c r="P499" s="2">
        <v>4802294</v>
      </c>
    </row>
    <row r="500" spans="1:16">
      <c r="A500" s="2" t="s">
        <v>258</v>
      </c>
      <c r="B500" s="9">
        <v>2</v>
      </c>
      <c r="C500" s="2" t="s">
        <v>1072</v>
      </c>
      <c r="D500" s="2" t="s">
        <v>790</v>
      </c>
      <c r="E500" s="2">
        <f>+IFERROR(VLOOKUP(A500,'2122'!$A$12:$C$389,2,),0)</f>
        <v>0</v>
      </c>
      <c r="F500" s="2">
        <v>0</v>
      </c>
      <c r="G500" s="2">
        <f t="shared" si="32"/>
        <v>0</v>
      </c>
      <c r="H500" s="2">
        <f>+IFERROR(VLOOKUP(A500,'2122'!$A$12:$C$389,3,),0)</f>
        <v>7064285</v>
      </c>
      <c r="I500" s="2">
        <v>0</v>
      </c>
      <c r="J500" s="2">
        <f t="shared" si="33"/>
        <v>7064285</v>
      </c>
      <c r="K500" s="2">
        <v>0</v>
      </c>
      <c r="M500" s="2">
        <v>0</v>
      </c>
      <c r="N500" s="2">
        <v>5155701</v>
      </c>
      <c r="P500" s="2">
        <v>5155701</v>
      </c>
    </row>
    <row r="501" spans="1:16" ht="15.75" thickBot="1">
      <c r="A501" s="2" t="s">
        <v>791</v>
      </c>
      <c r="B501" s="9">
        <v>2</v>
      </c>
      <c r="C501" s="2" t="s">
        <v>1072</v>
      </c>
      <c r="D501" s="2" t="s">
        <v>790</v>
      </c>
      <c r="E501" s="2">
        <f>+IFERROR(VLOOKUP(A501,'2122'!$A$12:$C$389,2,),0)</f>
        <v>0</v>
      </c>
      <c r="F501" s="2">
        <v>0</v>
      </c>
      <c r="G501" s="2">
        <f t="shared" si="32"/>
        <v>0</v>
      </c>
      <c r="H501" s="2">
        <f>+IFERROR(VLOOKUP(A501,'2122'!$A$12:$C$389,3,),0)</f>
        <v>730456</v>
      </c>
      <c r="I501" s="2">
        <v>0</v>
      </c>
      <c r="J501" s="2">
        <f t="shared" si="33"/>
        <v>730456</v>
      </c>
      <c r="K501" s="2">
        <v>0</v>
      </c>
      <c r="M501" s="2">
        <v>0</v>
      </c>
      <c r="N501" s="2">
        <v>688913</v>
      </c>
      <c r="P501" s="2">
        <v>688913</v>
      </c>
    </row>
    <row r="502" spans="1:16" ht="15.75" thickBot="1">
      <c r="A502" s="2" t="s">
        <v>792</v>
      </c>
      <c r="B502" s="9">
        <v>2</v>
      </c>
      <c r="C502" s="2" t="s">
        <v>1072</v>
      </c>
      <c r="D502" s="2" t="s">
        <v>790</v>
      </c>
      <c r="E502" s="2">
        <f>+IFERROR(VLOOKUP(A502,'2122'!$A$12:$C$389,2,),0)</f>
        <v>0</v>
      </c>
      <c r="F502" s="2">
        <v>0</v>
      </c>
      <c r="G502" s="2">
        <f t="shared" si="32"/>
        <v>0</v>
      </c>
      <c r="H502" s="2">
        <f>+IFERROR(VLOOKUP(A502,'2122'!$A$12:$C$389,3,),0)</f>
        <v>18195794</v>
      </c>
      <c r="I502" s="2">
        <v>0</v>
      </c>
      <c r="J502" s="2">
        <f t="shared" si="33"/>
        <v>18195794</v>
      </c>
      <c r="K502" s="2">
        <v>0</v>
      </c>
      <c r="M502" s="2">
        <v>0</v>
      </c>
      <c r="N502" s="2">
        <v>16345551</v>
      </c>
      <c r="P502" s="2">
        <v>16345551</v>
      </c>
    </row>
    <row r="503" spans="1:16" ht="15.75" thickBot="1">
      <c r="A503" s="2" t="s">
        <v>261</v>
      </c>
      <c r="B503" s="9">
        <v>2</v>
      </c>
      <c r="C503" s="2" t="s">
        <v>1072</v>
      </c>
      <c r="D503" s="2" t="s">
        <v>790</v>
      </c>
      <c r="E503" s="2">
        <f>+IFERROR(VLOOKUP(A503,'2122'!$A$12:$C$389,2,),0)</f>
        <v>0</v>
      </c>
      <c r="F503" s="2">
        <v>0</v>
      </c>
      <c r="G503" s="2">
        <f t="shared" si="32"/>
        <v>0</v>
      </c>
      <c r="H503" s="2">
        <f>+IFERROR(VLOOKUP(A503,'2122'!$A$12:$C$389,3,),0)</f>
        <v>379192</v>
      </c>
      <c r="I503" s="2">
        <v>0</v>
      </c>
      <c r="J503" s="2">
        <f t="shared" si="33"/>
        <v>379192</v>
      </c>
      <c r="K503" s="2">
        <v>0</v>
      </c>
      <c r="M503" s="2">
        <v>0</v>
      </c>
      <c r="N503" s="2">
        <v>379192</v>
      </c>
      <c r="P503" s="2">
        <v>379192</v>
      </c>
    </row>
    <row r="504" spans="1:16" ht="15.75" thickBot="1">
      <c r="A504" s="2" t="s">
        <v>793</v>
      </c>
      <c r="B504" s="9">
        <v>2</v>
      </c>
      <c r="C504" s="2" t="s">
        <v>1072</v>
      </c>
      <c r="D504" s="2" t="s">
        <v>790</v>
      </c>
      <c r="E504" s="2">
        <f>+IFERROR(VLOOKUP(A504,'2122'!$A$12:$C$389,2,),0)</f>
        <v>0</v>
      </c>
      <c r="F504" s="2">
        <v>0</v>
      </c>
      <c r="G504" s="2">
        <f t="shared" si="32"/>
        <v>0</v>
      </c>
      <c r="H504" s="2">
        <f>+IFERROR(VLOOKUP(A504,'2122'!$A$12:$C$389,3,),0)</f>
        <v>1062735</v>
      </c>
      <c r="I504" s="2">
        <v>0</v>
      </c>
      <c r="J504" s="2">
        <f t="shared" si="33"/>
        <v>1062735</v>
      </c>
      <c r="K504" s="2">
        <v>0</v>
      </c>
      <c r="M504" s="2">
        <v>0</v>
      </c>
      <c r="N504" s="2">
        <v>1014019</v>
      </c>
      <c r="P504" s="2">
        <v>1014019</v>
      </c>
    </row>
    <row r="505" spans="1:16" ht="15.75" thickBot="1">
      <c r="A505" s="2" t="s">
        <v>794</v>
      </c>
      <c r="B505" s="9">
        <v>2</v>
      </c>
      <c r="C505" s="2" t="s">
        <v>1072</v>
      </c>
      <c r="D505" s="2" t="s">
        <v>790</v>
      </c>
      <c r="E505" s="2">
        <f>+IFERROR(VLOOKUP(A505,'2122'!$A$12:$C$389,2,),0)</f>
        <v>0</v>
      </c>
      <c r="F505" s="2">
        <v>0</v>
      </c>
      <c r="G505" s="2">
        <f t="shared" si="32"/>
        <v>0</v>
      </c>
      <c r="H505" s="2">
        <f>+IFERROR(VLOOKUP(A505,'2122'!$A$12:$C$389,3,),0)</f>
        <v>712545</v>
      </c>
      <c r="I505" s="2">
        <v>0</v>
      </c>
      <c r="J505" s="2">
        <f t="shared" si="33"/>
        <v>712545</v>
      </c>
      <c r="K505" s="2">
        <v>0</v>
      </c>
      <c r="M505" s="2">
        <v>0</v>
      </c>
      <c r="N505" s="2">
        <v>598548</v>
      </c>
      <c r="P505" s="2">
        <v>598548</v>
      </c>
    </row>
    <row r="506" spans="1:16" ht="15.75" thickBot="1">
      <c r="A506" s="2" t="s">
        <v>795</v>
      </c>
      <c r="B506" s="9">
        <v>2</v>
      </c>
      <c r="C506" s="2" t="s">
        <v>1072</v>
      </c>
      <c r="D506" s="2" t="s">
        <v>790</v>
      </c>
      <c r="E506" s="2">
        <f>+IFERROR(VLOOKUP(A506,'2122'!$A$12:$C$389,2,),0)</f>
        <v>0</v>
      </c>
      <c r="F506" s="2">
        <v>0</v>
      </c>
      <c r="G506" s="2">
        <f t="shared" si="32"/>
        <v>0</v>
      </c>
      <c r="H506" s="2">
        <f>+IFERROR(VLOOKUP(A506,'2122'!$A$12:$C$389,3,),0)</f>
        <v>113124922</v>
      </c>
      <c r="I506" s="2">
        <v>0</v>
      </c>
      <c r="J506" s="2">
        <f t="shared" si="33"/>
        <v>113124922</v>
      </c>
      <c r="K506" s="2">
        <v>0</v>
      </c>
      <c r="M506" s="2">
        <v>0</v>
      </c>
      <c r="N506" s="2">
        <v>99496148</v>
      </c>
      <c r="P506" s="2">
        <v>99496148</v>
      </c>
    </row>
    <row r="507" spans="1:16" ht="15.75" thickBot="1">
      <c r="A507" s="2" t="s">
        <v>796</v>
      </c>
      <c r="B507" s="9">
        <v>2</v>
      </c>
      <c r="C507" s="2" t="s">
        <v>1072</v>
      </c>
      <c r="D507" s="2" t="s">
        <v>790</v>
      </c>
      <c r="E507" s="2">
        <f>+IFERROR(VLOOKUP(A507,'2122'!$A$12:$C$389,2,),0)</f>
        <v>0</v>
      </c>
      <c r="F507" s="2">
        <v>0</v>
      </c>
      <c r="G507" s="2">
        <f t="shared" si="32"/>
        <v>0</v>
      </c>
      <c r="H507" s="2">
        <f>+IFERROR(VLOOKUP(A507,'2122'!$A$12:$C$389,3,),0)</f>
        <v>927869</v>
      </c>
      <c r="I507" s="2">
        <v>0</v>
      </c>
      <c r="J507" s="2">
        <f t="shared" si="33"/>
        <v>927869</v>
      </c>
      <c r="K507" s="2">
        <v>0</v>
      </c>
      <c r="M507" s="2">
        <v>0</v>
      </c>
      <c r="N507" s="2">
        <v>558720</v>
      </c>
      <c r="P507" s="2">
        <v>558720</v>
      </c>
    </row>
    <row r="508" spans="1:16" ht="15.75" thickBot="1">
      <c r="A508" s="2" t="s">
        <v>270</v>
      </c>
      <c r="B508" s="9">
        <v>11</v>
      </c>
      <c r="C508" s="2" t="s">
        <v>1550</v>
      </c>
      <c r="D508" s="2" t="s">
        <v>440</v>
      </c>
      <c r="E508" s="2">
        <f>+IFERROR(VLOOKUP(A508,'2122'!$A$12:$C$389,2,),0)</f>
        <v>34285</v>
      </c>
      <c r="F508" s="2">
        <v>0</v>
      </c>
      <c r="G508" s="2">
        <f t="shared" si="32"/>
        <v>34285</v>
      </c>
      <c r="H508" s="2">
        <f>+IFERROR(VLOOKUP(A508,'2122'!$A$12:$C$389,3,),0)</f>
        <v>0</v>
      </c>
      <c r="I508" s="2">
        <v>0</v>
      </c>
      <c r="J508" s="2">
        <f t="shared" si="33"/>
        <v>0</v>
      </c>
      <c r="K508" s="2">
        <v>34285</v>
      </c>
      <c r="M508" s="2">
        <v>34285</v>
      </c>
      <c r="N508" s="2">
        <v>0</v>
      </c>
      <c r="P508" s="2">
        <v>0</v>
      </c>
    </row>
    <row r="509" spans="1:16" ht="15.75" thickBot="1">
      <c r="A509" s="2" t="s">
        <v>17</v>
      </c>
      <c r="B509" s="9">
        <v>11</v>
      </c>
      <c r="C509" s="2" t="s">
        <v>1550</v>
      </c>
      <c r="D509" s="2" t="s">
        <v>440</v>
      </c>
      <c r="E509" s="2">
        <f>+IFERROR(VLOOKUP(A509,'2122'!$A$12:$C$389,2,),0)</f>
        <v>3500000</v>
      </c>
      <c r="F509" s="2">
        <v>0</v>
      </c>
      <c r="G509" s="2">
        <f t="shared" ref="G509" si="36">+E509+F509</f>
        <v>3500000</v>
      </c>
      <c r="H509" s="2">
        <f>+IFERROR(VLOOKUP(A509,'2122'!$A$12:$C$389,3,),0)</f>
        <v>0</v>
      </c>
      <c r="I509" s="2">
        <v>0</v>
      </c>
      <c r="J509" s="2">
        <f t="shared" ref="J509" si="37">+H509+I509</f>
        <v>0</v>
      </c>
    </row>
    <row r="510" spans="1:16" ht="15.75" thickBot="1">
      <c r="A510" s="2" t="s">
        <v>148</v>
      </c>
      <c r="B510" s="9">
        <v>11</v>
      </c>
      <c r="C510" s="2" t="s">
        <v>1550</v>
      </c>
      <c r="D510" s="2" t="s">
        <v>440</v>
      </c>
      <c r="E510" s="2">
        <f>+IFERROR(VLOOKUP(A510,'2122'!$A$12:$C$389,2,),0)</f>
        <v>17190</v>
      </c>
      <c r="F510" s="2">
        <v>0</v>
      </c>
      <c r="G510" s="2">
        <f t="shared" si="32"/>
        <v>17190</v>
      </c>
      <c r="H510" s="2">
        <f>+IFERROR(VLOOKUP(A510,'2122'!$A$12:$C$389,3,),0)</f>
        <v>0</v>
      </c>
      <c r="I510" s="2">
        <v>0</v>
      </c>
      <c r="J510" s="2">
        <f t="shared" si="33"/>
        <v>0</v>
      </c>
      <c r="K510" s="2">
        <v>17190</v>
      </c>
      <c r="M510" s="2">
        <v>17190</v>
      </c>
      <c r="N510" s="2">
        <v>0</v>
      </c>
      <c r="P510" s="2">
        <v>0</v>
      </c>
    </row>
    <row r="511" spans="1:16" ht="15.75" thickBot="1">
      <c r="A511" s="2" t="s">
        <v>797</v>
      </c>
      <c r="B511" s="9">
        <v>11</v>
      </c>
      <c r="C511" s="2" t="s">
        <v>1550</v>
      </c>
      <c r="D511" s="2" t="s">
        <v>440</v>
      </c>
      <c r="E511" s="2">
        <f>+IFERROR(VLOOKUP(A511,'2122'!$A$12:$C$389,2,),0)</f>
        <v>0</v>
      </c>
      <c r="F511" s="2">
        <v>0</v>
      </c>
      <c r="G511" s="2">
        <f t="shared" si="32"/>
        <v>0</v>
      </c>
      <c r="H511" s="2">
        <f>+IFERROR(VLOOKUP(A511,'2122'!$A$12:$C$389,3,),0)</f>
        <v>0</v>
      </c>
      <c r="I511" s="2">
        <v>0</v>
      </c>
      <c r="J511" s="2">
        <f t="shared" si="33"/>
        <v>0</v>
      </c>
      <c r="K511" s="2">
        <v>0</v>
      </c>
      <c r="M511" s="2">
        <v>0</v>
      </c>
      <c r="N511" s="2">
        <v>0</v>
      </c>
      <c r="P511" s="2">
        <v>0</v>
      </c>
    </row>
    <row r="512" spans="1:16" ht="15.75" thickBot="1">
      <c r="A512" s="2" t="s">
        <v>267</v>
      </c>
      <c r="B512" s="9">
        <v>11</v>
      </c>
      <c r="C512" s="2" t="s">
        <v>1550</v>
      </c>
      <c r="D512" s="2" t="s">
        <v>440</v>
      </c>
      <c r="E512" s="2">
        <f>+IFERROR(VLOOKUP(A512,'2122'!$A$12:$C$389,2,),0)</f>
        <v>122153</v>
      </c>
      <c r="F512" s="2">
        <v>0</v>
      </c>
      <c r="G512" s="2">
        <f t="shared" si="32"/>
        <v>122153</v>
      </c>
      <c r="H512" s="2">
        <f>+IFERROR(VLOOKUP(A512,'2122'!$A$12:$C$389,3,),0)</f>
        <v>0</v>
      </c>
      <c r="I512" s="2">
        <v>0</v>
      </c>
      <c r="J512" s="2">
        <f t="shared" si="33"/>
        <v>0</v>
      </c>
      <c r="K512" s="2">
        <v>122153</v>
      </c>
      <c r="M512" s="2">
        <v>122153</v>
      </c>
      <c r="N512" s="2">
        <v>0</v>
      </c>
      <c r="P512" s="2">
        <v>0</v>
      </c>
    </row>
    <row r="513" spans="1:16" ht="15.75" thickBot="1">
      <c r="A513" s="2" t="s">
        <v>149</v>
      </c>
      <c r="B513" s="9">
        <v>11</v>
      </c>
      <c r="C513" s="2" t="s">
        <v>1550</v>
      </c>
      <c r="D513" s="2" t="s">
        <v>440</v>
      </c>
      <c r="E513" s="2">
        <f>+IFERROR(VLOOKUP(A513,'2122'!$A$12:$C$389,2,),0)</f>
        <v>88213</v>
      </c>
      <c r="F513" s="2">
        <v>0</v>
      </c>
      <c r="G513" s="2">
        <f t="shared" si="32"/>
        <v>88213</v>
      </c>
      <c r="H513" s="2">
        <f>+IFERROR(VLOOKUP(A513,'2122'!$A$12:$C$389,3,),0)</f>
        <v>0</v>
      </c>
      <c r="I513" s="2">
        <v>0</v>
      </c>
      <c r="J513" s="2">
        <f t="shared" si="33"/>
        <v>0</v>
      </c>
      <c r="K513" s="2">
        <v>88213</v>
      </c>
      <c r="M513" s="2">
        <v>88213</v>
      </c>
      <c r="N513" s="2">
        <v>0</v>
      </c>
      <c r="P513" s="2">
        <v>0</v>
      </c>
    </row>
    <row r="514" spans="1:16" ht="15.75" thickBot="1">
      <c r="A514" s="2" t="s">
        <v>269</v>
      </c>
      <c r="B514" s="9">
        <v>11</v>
      </c>
      <c r="C514" s="2" t="s">
        <v>1550</v>
      </c>
      <c r="D514" s="2" t="s">
        <v>440</v>
      </c>
      <c r="E514" s="2">
        <f>+IFERROR(VLOOKUP(A514,'2122'!$A$12:$C$389,2,),0)</f>
        <v>139678</v>
      </c>
      <c r="F514" s="2">
        <v>0</v>
      </c>
      <c r="G514" s="2">
        <f t="shared" si="32"/>
        <v>139678</v>
      </c>
      <c r="H514" s="2">
        <f>+IFERROR(VLOOKUP(A514,'2122'!$A$12:$C$389,3,),0)</f>
        <v>0</v>
      </c>
      <c r="I514" s="2">
        <v>0</v>
      </c>
      <c r="J514" s="2">
        <f t="shared" si="33"/>
        <v>0</v>
      </c>
      <c r="K514" s="2">
        <v>139678</v>
      </c>
      <c r="M514" s="2">
        <v>139678</v>
      </c>
      <c r="N514" s="2">
        <v>0</v>
      </c>
      <c r="P514" s="2">
        <v>0</v>
      </c>
    </row>
    <row r="515" spans="1:16" ht="15.75" thickBot="1">
      <c r="A515" s="2" t="s">
        <v>268</v>
      </c>
      <c r="B515" s="9">
        <v>11</v>
      </c>
      <c r="C515" s="2" t="s">
        <v>1550</v>
      </c>
      <c r="D515" s="2" t="s">
        <v>440</v>
      </c>
      <c r="E515" s="2">
        <f>+IFERROR(VLOOKUP(A515,'2122'!$A$12:$C$389,2,),0)</f>
        <v>271788</v>
      </c>
      <c r="F515" s="2">
        <v>0</v>
      </c>
      <c r="G515" s="2">
        <f t="shared" si="32"/>
        <v>271788</v>
      </c>
      <c r="H515" s="2">
        <f>+IFERROR(VLOOKUP(A515,'2122'!$A$12:$C$389,3,),0)</f>
        <v>0</v>
      </c>
      <c r="I515" s="2">
        <v>0</v>
      </c>
      <c r="J515" s="2">
        <f t="shared" si="33"/>
        <v>0</v>
      </c>
      <c r="K515" s="2">
        <v>271788</v>
      </c>
      <c r="M515" s="2">
        <v>271788</v>
      </c>
      <c r="N515" s="2">
        <v>0</v>
      </c>
      <c r="P515" s="2">
        <v>0</v>
      </c>
    </row>
    <row r="516" spans="1:16" ht="15.75" thickBot="1">
      <c r="A516" s="2" t="s">
        <v>798</v>
      </c>
      <c r="B516" s="9">
        <v>11</v>
      </c>
      <c r="C516" s="2" t="s">
        <v>1550</v>
      </c>
      <c r="D516" s="2" t="s">
        <v>440</v>
      </c>
      <c r="E516" s="2">
        <f>+IFERROR(VLOOKUP(A516,'2122'!$A$12:$C$389,2,),0)</f>
        <v>0</v>
      </c>
      <c r="F516" s="2">
        <v>0</v>
      </c>
      <c r="G516" s="2">
        <f t="shared" si="32"/>
        <v>0</v>
      </c>
      <c r="H516" s="2">
        <f>+IFERROR(VLOOKUP(A516,'2122'!$A$12:$C$389,3,),0)</f>
        <v>0</v>
      </c>
      <c r="I516" s="2">
        <v>0</v>
      </c>
      <c r="J516" s="2">
        <f t="shared" si="33"/>
        <v>0</v>
      </c>
      <c r="K516" s="2">
        <v>0</v>
      </c>
      <c r="M516" s="2">
        <v>0</v>
      </c>
      <c r="N516" s="2">
        <v>0</v>
      </c>
      <c r="P516" s="2">
        <v>0</v>
      </c>
    </row>
    <row r="517" spans="1:16" ht="15.75" thickBot="1">
      <c r="A517" s="2" t="s">
        <v>799</v>
      </c>
      <c r="B517" s="9">
        <v>11</v>
      </c>
      <c r="C517" s="2" t="s">
        <v>1550</v>
      </c>
      <c r="D517" s="2" t="s">
        <v>440</v>
      </c>
      <c r="E517" s="2">
        <f>+IFERROR(VLOOKUP(A517,'2122'!$A$12:$C$389,2,),0)</f>
        <v>0</v>
      </c>
      <c r="F517" s="2">
        <v>0</v>
      </c>
      <c r="G517" s="2">
        <f t="shared" si="32"/>
        <v>0</v>
      </c>
      <c r="H517" s="2">
        <f>+IFERROR(VLOOKUP(A517,'2122'!$A$12:$C$389,3,),0)</f>
        <v>0</v>
      </c>
      <c r="I517" s="2">
        <v>0</v>
      </c>
      <c r="J517" s="2">
        <f t="shared" si="33"/>
        <v>0</v>
      </c>
      <c r="K517" s="2">
        <v>0</v>
      </c>
      <c r="M517" s="2">
        <v>0</v>
      </c>
      <c r="N517" s="2">
        <v>0</v>
      </c>
      <c r="P517" s="2">
        <v>0</v>
      </c>
    </row>
    <row r="518" spans="1:16" ht="15.75" thickBot="1">
      <c r="A518" s="2" t="s">
        <v>800</v>
      </c>
      <c r="B518" s="9">
        <v>14</v>
      </c>
      <c r="C518" s="2" t="s">
        <v>1552</v>
      </c>
      <c r="D518" s="2" t="s">
        <v>607</v>
      </c>
      <c r="E518" s="2">
        <f>+IFERROR(VLOOKUP(A518,'2122'!$A$12:$C$389,2,),0)</f>
        <v>0</v>
      </c>
      <c r="F518" s="2">
        <v>0</v>
      </c>
      <c r="G518" s="2">
        <f t="shared" si="32"/>
        <v>0</v>
      </c>
      <c r="H518" s="2">
        <f>+IFERROR(VLOOKUP(A518,'2122'!$A$12:$C$389,3,),0)</f>
        <v>0</v>
      </c>
      <c r="I518" s="2">
        <v>0</v>
      </c>
      <c r="J518" s="2">
        <f t="shared" si="33"/>
        <v>0</v>
      </c>
      <c r="K518" s="2">
        <v>0</v>
      </c>
      <c r="M518" s="2">
        <v>0</v>
      </c>
      <c r="N518" s="2">
        <v>216400</v>
      </c>
      <c r="P518" s="2">
        <v>216400</v>
      </c>
    </row>
    <row r="519" spans="1:16" ht="15.75" thickBot="1">
      <c r="A519" s="2" t="s">
        <v>801</v>
      </c>
      <c r="B519" s="9">
        <v>14</v>
      </c>
      <c r="C519" s="2" t="s">
        <v>1552</v>
      </c>
      <c r="D519" s="2" t="s">
        <v>607</v>
      </c>
      <c r="E519" s="2">
        <f>+IFERROR(VLOOKUP(A519,'2122'!$A$12:$C$389,2,),0)</f>
        <v>0</v>
      </c>
      <c r="F519" s="2">
        <v>0</v>
      </c>
      <c r="G519" s="2">
        <f t="shared" si="32"/>
        <v>0</v>
      </c>
      <c r="H519" s="2">
        <f>+IFERROR(VLOOKUP(A519,'2122'!$A$12:$C$389,3,),0)</f>
        <v>3329437.7</v>
      </c>
      <c r="I519" s="2">
        <v>0</v>
      </c>
      <c r="J519" s="2">
        <f t="shared" si="33"/>
        <v>3329437.7</v>
      </c>
      <c r="K519" s="2">
        <v>0</v>
      </c>
      <c r="M519" s="2">
        <v>0</v>
      </c>
      <c r="N519" s="2">
        <v>3296204.7</v>
      </c>
      <c r="P519" s="2">
        <v>3296204.7</v>
      </c>
    </row>
    <row r="520" spans="1:16" ht="15.75" thickBot="1">
      <c r="A520" s="2" t="s">
        <v>802</v>
      </c>
      <c r="B520" s="9">
        <v>20</v>
      </c>
      <c r="C520" s="2" t="s">
        <v>1553</v>
      </c>
      <c r="D520" s="2" t="s">
        <v>803</v>
      </c>
      <c r="E520" s="2">
        <f>+IFERROR(VLOOKUP(A520,'2122'!$A$12:$C$389,2,),0)</f>
        <v>0</v>
      </c>
      <c r="F520" s="2">
        <v>0</v>
      </c>
      <c r="G520" s="2">
        <f t="shared" si="32"/>
        <v>0</v>
      </c>
      <c r="H520" s="2">
        <f>+IFERROR(VLOOKUP(A520,'2122'!$A$12:$C$389,3,),0)</f>
        <v>0</v>
      </c>
      <c r="I520" s="2">
        <v>0</v>
      </c>
      <c r="J520" s="2">
        <f t="shared" si="33"/>
        <v>0</v>
      </c>
      <c r="K520" s="2">
        <v>0</v>
      </c>
      <c r="M520" s="2">
        <v>0</v>
      </c>
      <c r="N520" s="2">
        <v>0</v>
      </c>
      <c r="O520" s="2">
        <v>280877</v>
      </c>
      <c r="P520" s="2">
        <v>280877</v>
      </c>
    </row>
    <row r="521" spans="1:16" ht="15.75" thickBot="1">
      <c r="A521" s="2" t="s">
        <v>272</v>
      </c>
      <c r="B521" s="9">
        <v>4</v>
      </c>
      <c r="C521" s="2" t="s">
        <v>1547</v>
      </c>
      <c r="D521" s="2" t="s">
        <v>590</v>
      </c>
      <c r="E521" s="2">
        <f>+IFERROR(VLOOKUP(A521,'2122'!$A$12:$C$389,2,),0)</f>
        <v>16866441</v>
      </c>
      <c r="F521" s="2">
        <v>0</v>
      </c>
      <c r="G521" s="2">
        <f t="shared" si="32"/>
        <v>16866441</v>
      </c>
      <c r="H521" s="2">
        <f>+IFERROR(VLOOKUP(A521,'2122'!$A$12:$C$389,3,),0)</f>
        <v>0</v>
      </c>
      <c r="I521" s="2">
        <v>0</v>
      </c>
      <c r="J521" s="2">
        <f t="shared" si="33"/>
        <v>0</v>
      </c>
      <c r="K521" s="2">
        <v>15450441</v>
      </c>
      <c r="M521" s="2">
        <v>15450441</v>
      </c>
      <c r="N521" s="2">
        <v>0</v>
      </c>
      <c r="P521" s="2">
        <v>0</v>
      </c>
    </row>
    <row r="522" spans="1:16" ht="15.75" thickBot="1">
      <c r="A522" s="2" t="s">
        <v>804</v>
      </c>
      <c r="B522" s="9">
        <v>17</v>
      </c>
      <c r="C522" s="2" t="s">
        <v>415</v>
      </c>
      <c r="D522" s="2" t="s">
        <v>415</v>
      </c>
      <c r="E522" s="2">
        <f>+IFERROR(VLOOKUP(A522,'2122'!$A$12:$C$389,2,),0)</f>
        <v>0</v>
      </c>
      <c r="F522" s="2">
        <v>0</v>
      </c>
      <c r="G522" s="2">
        <f t="shared" si="32"/>
        <v>0</v>
      </c>
      <c r="H522" s="2">
        <f>+IFERROR(VLOOKUP(A522,'2122'!$A$12:$C$389,3,),0)</f>
        <v>0</v>
      </c>
      <c r="I522" s="2">
        <v>0</v>
      </c>
      <c r="J522" s="2">
        <f t="shared" si="33"/>
        <v>0</v>
      </c>
      <c r="K522" s="2">
        <v>0</v>
      </c>
      <c r="M522" s="2">
        <v>0</v>
      </c>
      <c r="N522" s="2">
        <v>12385</v>
      </c>
      <c r="P522" s="2">
        <v>12385</v>
      </c>
    </row>
    <row r="523" spans="1:16" ht="15.75" thickBot="1">
      <c r="A523" s="2" t="s">
        <v>805</v>
      </c>
      <c r="B523" s="9">
        <v>17</v>
      </c>
      <c r="C523" s="2" t="s">
        <v>415</v>
      </c>
      <c r="D523" s="2" t="s">
        <v>415</v>
      </c>
      <c r="E523" s="2">
        <f>+IFERROR(VLOOKUP(A523,'2122'!$A$12:$C$389,2,),0)</f>
        <v>0</v>
      </c>
      <c r="F523" s="2">
        <v>0</v>
      </c>
      <c r="G523" s="2">
        <f t="shared" si="32"/>
        <v>0</v>
      </c>
      <c r="H523" s="2">
        <f>+IFERROR(VLOOKUP(A523,'2122'!$A$12:$C$389,3,),0)</f>
        <v>1743178</v>
      </c>
      <c r="I523" s="2">
        <v>0</v>
      </c>
      <c r="J523" s="2">
        <f t="shared" si="33"/>
        <v>1743178</v>
      </c>
      <c r="K523" s="2">
        <v>0</v>
      </c>
      <c r="M523" s="2">
        <v>0</v>
      </c>
      <c r="N523" s="2">
        <v>9346</v>
      </c>
      <c r="P523" s="2">
        <v>9346</v>
      </c>
    </row>
    <row r="524" spans="1:16" ht="15.75" thickBot="1">
      <c r="A524" s="2" t="s">
        <v>274</v>
      </c>
      <c r="B524" s="9">
        <v>23</v>
      </c>
      <c r="C524" s="2" t="s">
        <v>573</v>
      </c>
      <c r="D524" s="2" t="s">
        <v>574</v>
      </c>
      <c r="E524" s="2">
        <f>+IFERROR(VLOOKUP(A524,'2122'!$A$12:$C$389,2,),0)</f>
        <v>340090</v>
      </c>
      <c r="F524" s="2">
        <v>0</v>
      </c>
      <c r="G524" s="2">
        <f t="shared" si="32"/>
        <v>340090</v>
      </c>
      <c r="H524" s="2">
        <f>+IFERROR(VLOOKUP(A524,'2122'!$A$12:$C$389,3,),0)</f>
        <v>0</v>
      </c>
      <c r="I524" s="2">
        <v>0</v>
      </c>
      <c r="J524" s="2">
        <f t="shared" si="33"/>
        <v>0</v>
      </c>
      <c r="K524" s="2">
        <v>245315</v>
      </c>
      <c r="M524" s="2">
        <v>245315</v>
      </c>
      <c r="N524" s="2">
        <v>0</v>
      </c>
      <c r="P524" s="2">
        <v>0</v>
      </c>
    </row>
    <row r="525" spans="1:16" ht="15.75" thickBot="1">
      <c r="A525" s="2" t="s">
        <v>275</v>
      </c>
      <c r="B525" s="9">
        <v>27</v>
      </c>
      <c r="C525" s="2" t="s">
        <v>1555</v>
      </c>
      <c r="D525" s="2" t="s">
        <v>1556</v>
      </c>
      <c r="E525" s="2">
        <f>+IFERROR(VLOOKUP(A525,'2122'!$A$12:$C$389,2,),0)</f>
        <v>5418764</v>
      </c>
      <c r="F525" s="2">
        <v>0</v>
      </c>
      <c r="G525" s="2">
        <f t="shared" si="32"/>
        <v>5418764</v>
      </c>
      <c r="H525" s="2">
        <f>+IFERROR(VLOOKUP(A525,'2122'!$A$12:$C$389,3,),0)</f>
        <v>0</v>
      </c>
      <c r="I525" s="2">
        <v>0</v>
      </c>
      <c r="J525" s="2">
        <f t="shared" si="33"/>
        <v>0</v>
      </c>
      <c r="K525" s="2">
        <v>6876013</v>
      </c>
      <c r="M525" s="2">
        <v>6876013</v>
      </c>
      <c r="N525" s="2">
        <v>0</v>
      </c>
      <c r="P525" s="2">
        <v>0</v>
      </c>
    </row>
    <row r="526" spans="1:16" ht="15.75" thickBot="1">
      <c r="A526" s="2" t="s">
        <v>806</v>
      </c>
      <c r="B526" s="9">
        <v>23</v>
      </c>
      <c r="C526" s="2" t="s">
        <v>573</v>
      </c>
      <c r="D526" s="2" t="s">
        <v>574</v>
      </c>
      <c r="E526" s="2">
        <f>+IFERROR(VLOOKUP(A526,'2122'!$A$12:$C$389,2,),0)</f>
        <v>0</v>
      </c>
      <c r="F526" s="2">
        <v>0</v>
      </c>
      <c r="G526" s="2">
        <f t="shared" si="32"/>
        <v>0</v>
      </c>
      <c r="H526" s="2">
        <f>+IFERROR(VLOOKUP(A526,'2122'!$A$12:$C$389,3,),0)</f>
        <v>0</v>
      </c>
      <c r="I526" s="2">
        <v>0</v>
      </c>
      <c r="J526" s="2">
        <f t="shared" si="33"/>
        <v>0</v>
      </c>
      <c r="K526" s="2">
        <v>0</v>
      </c>
      <c r="M526" s="2">
        <v>0</v>
      </c>
      <c r="N526" s="2">
        <v>0</v>
      </c>
      <c r="P526" s="2">
        <v>0</v>
      </c>
    </row>
    <row r="527" spans="1:16" ht="15.75" thickBot="1">
      <c r="A527" s="2" t="s">
        <v>807</v>
      </c>
      <c r="B527" s="9">
        <v>27</v>
      </c>
      <c r="C527" s="2" t="s">
        <v>1555</v>
      </c>
      <c r="D527" s="2" t="s">
        <v>231</v>
      </c>
      <c r="E527" s="2">
        <f>+IFERROR(VLOOKUP(A527,'2122'!$A$12:$C$389,2,),0)</f>
        <v>0</v>
      </c>
      <c r="F527" s="2">
        <v>0</v>
      </c>
      <c r="G527" s="2">
        <f t="shared" si="32"/>
        <v>0</v>
      </c>
      <c r="H527" s="2">
        <f>+IFERROR(VLOOKUP(A527,'2122'!$A$12:$C$389,3,),0)</f>
        <v>0</v>
      </c>
      <c r="I527" s="2">
        <v>0</v>
      </c>
      <c r="J527" s="2">
        <f t="shared" si="33"/>
        <v>0</v>
      </c>
      <c r="K527" s="2">
        <v>0</v>
      </c>
      <c r="M527" s="2">
        <v>0</v>
      </c>
      <c r="N527" s="2">
        <v>0</v>
      </c>
      <c r="P527" s="2">
        <v>0</v>
      </c>
    </row>
    <row r="528" spans="1:16" ht="15.75" thickBot="1">
      <c r="A528" s="2" t="s">
        <v>808</v>
      </c>
      <c r="B528" s="9">
        <v>23</v>
      </c>
      <c r="C528" s="2" t="s">
        <v>573</v>
      </c>
      <c r="D528" s="2" t="s">
        <v>574</v>
      </c>
      <c r="E528" s="2">
        <f>+IFERROR(VLOOKUP(A528,'2122'!$A$12:$C$389,2,),0)</f>
        <v>0</v>
      </c>
      <c r="F528" s="2">
        <v>0</v>
      </c>
      <c r="G528" s="2">
        <f t="shared" si="32"/>
        <v>0</v>
      </c>
      <c r="H528" s="2">
        <f>+IFERROR(VLOOKUP(A528,'2122'!$A$12:$C$389,3,),0)</f>
        <v>0</v>
      </c>
      <c r="I528" s="2">
        <v>0</v>
      </c>
      <c r="J528" s="2">
        <f t="shared" si="33"/>
        <v>0</v>
      </c>
      <c r="K528" s="2">
        <v>0</v>
      </c>
      <c r="M528" s="2">
        <v>0</v>
      </c>
      <c r="N528" s="2">
        <v>0</v>
      </c>
      <c r="P528" s="2">
        <v>0</v>
      </c>
    </row>
    <row r="529" spans="1:16" ht="15.75" thickBot="1">
      <c r="A529" s="2" t="s">
        <v>809</v>
      </c>
      <c r="B529" s="9">
        <v>23</v>
      </c>
      <c r="C529" s="2" t="s">
        <v>573</v>
      </c>
      <c r="D529" s="2" t="s">
        <v>574</v>
      </c>
      <c r="E529" s="2">
        <f>+IFERROR(VLOOKUP(A529,'2122'!$A$12:$C$389,2,),0)</f>
        <v>0</v>
      </c>
      <c r="F529" s="2">
        <v>0</v>
      </c>
      <c r="G529" s="2">
        <f t="shared" ref="G529:G593" si="38">+E529+F529</f>
        <v>0</v>
      </c>
      <c r="H529" s="2">
        <f>+IFERROR(VLOOKUP(A529,'2122'!$A$12:$C$389,3,),0)</f>
        <v>0</v>
      </c>
      <c r="I529" s="2">
        <v>0</v>
      </c>
      <c r="J529" s="2">
        <f t="shared" ref="J529:J593" si="39">+H529+I529</f>
        <v>0</v>
      </c>
      <c r="K529" s="2">
        <v>4380095</v>
      </c>
      <c r="M529" s="2">
        <v>4380095</v>
      </c>
      <c r="N529" s="2">
        <v>0</v>
      </c>
      <c r="P529" s="2">
        <v>0</v>
      </c>
    </row>
    <row r="530" spans="1:16" ht="15.75" thickBot="1">
      <c r="A530" s="2" t="s">
        <v>810</v>
      </c>
      <c r="B530" s="9">
        <v>27</v>
      </c>
      <c r="C530" s="2" t="s">
        <v>1555</v>
      </c>
      <c r="D530" s="2" t="s">
        <v>1301</v>
      </c>
      <c r="E530" s="2">
        <f>+IFERROR(VLOOKUP(A530,'2122'!$A$12:$C$389,2,),0)</f>
        <v>17306494.390000001</v>
      </c>
      <c r="F530" s="2">
        <v>0</v>
      </c>
      <c r="G530" s="2">
        <f t="shared" si="38"/>
        <v>17306494.390000001</v>
      </c>
      <c r="H530" s="2">
        <f>+IFERROR(VLOOKUP(A530,'2122'!$A$12:$C$389,3,),0)</f>
        <v>0</v>
      </c>
      <c r="I530" s="2">
        <v>0</v>
      </c>
      <c r="J530" s="2">
        <f t="shared" si="39"/>
        <v>0</v>
      </c>
      <c r="K530" s="2">
        <v>5885577.8399999999</v>
      </c>
      <c r="M530" s="2">
        <v>5885577.8399999999</v>
      </c>
      <c r="N530" s="2">
        <v>0</v>
      </c>
      <c r="P530" s="2">
        <v>0</v>
      </c>
    </row>
    <row r="531" spans="1:16" ht="15.75" thickBot="1">
      <c r="A531" s="2" t="s">
        <v>811</v>
      </c>
      <c r="B531" s="9">
        <v>17</v>
      </c>
      <c r="C531" s="2" t="s">
        <v>415</v>
      </c>
      <c r="D531" s="2" t="s">
        <v>416</v>
      </c>
      <c r="E531" s="2">
        <f>+IFERROR(VLOOKUP(A531,'2122'!$A$12:$C$389,2,),0)</f>
        <v>0</v>
      </c>
      <c r="F531" s="2">
        <v>0</v>
      </c>
      <c r="G531" s="2">
        <f t="shared" si="38"/>
        <v>0</v>
      </c>
      <c r="H531" s="2">
        <f>+IFERROR(VLOOKUP(A531,'2122'!$A$12:$C$389,3,),0)</f>
        <v>0</v>
      </c>
      <c r="I531" s="2">
        <v>0</v>
      </c>
      <c r="J531" s="2">
        <f t="shared" si="39"/>
        <v>0</v>
      </c>
      <c r="K531" s="2">
        <v>0</v>
      </c>
      <c r="M531" s="2">
        <v>0</v>
      </c>
      <c r="N531" s="2">
        <v>0</v>
      </c>
      <c r="P531" s="2">
        <v>0</v>
      </c>
    </row>
    <row r="532" spans="1:16" ht="15.75" thickBot="1">
      <c r="A532" s="2" t="s">
        <v>19</v>
      </c>
      <c r="B532" s="9">
        <v>17</v>
      </c>
      <c r="C532" s="2" t="s">
        <v>415</v>
      </c>
      <c r="D532" s="2" t="s">
        <v>416</v>
      </c>
      <c r="E532" s="2">
        <f>+IFERROR(VLOOKUP(A532,'2122'!$A$12:$C$389,2,),0)</f>
        <v>0</v>
      </c>
      <c r="F532" s="2">
        <v>0</v>
      </c>
      <c r="G532" s="2">
        <f t="shared" ref="G532" si="40">+E532+F532</f>
        <v>0</v>
      </c>
      <c r="H532" s="2">
        <f>+IFERROR(VLOOKUP(A532,'2122'!$A$12:$C$389,3,),0)</f>
        <v>68453</v>
      </c>
      <c r="I532" s="2">
        <v>0</v>
      </c>
      <c r="J532" s="2">
        <f t="shared" ref="J532" si="41">+H532+I532</f>
        <v>68453</v>
      </c>
    </row>
    <row r="533" spans="1:16" ht="15.75" thickBot="1">
      <c r="A533" s="2" t="s">
        <v>812</v>
      </c>
      <c r="C533" s="2" t="s">
        <v>482</v>
      </c>
      <c r="D533" s="2" t="s">
        <v>483</v>
      </c>
      <c r="E533" s="2">
        <f>+IFERROR(VLOOKUP(A533,'2122'!$A$12:$C$389,2,),0)</f>
        <v>0</v>
      </c>
      <c r="F533" s="2">
        <v>0</v>
      </c>
      <c r="G533" s="2">
        <f t="shared" si="38"/>
        <v>0</v>
      </c>
      <c r="H533" s="2">
        <f>+IFERROR(VLOOKUP(A533,'2122'!$A$12:$C$389,3,),0)</f>
        <v>0</v>
      </c>
      <c r="I533" s="2">
        <v>0</v>
      </c>
      <c r="J533" s="2">
        <f t="shared" si="39"/>
        <v>0</v>
      </c>
      <c r="K533" s="2">
        <v>0</v>
      </c>
      <c r="M533" s="2">
        <v>0</v>
      </c>
      <c r="N533" s="2">
        <v>0</v>
      </c>
      <c r="P533" s="2">
        <v>0</v>
      </c>
    </row>
    <row r="534" spans="1:16" ht="15.75" thickBot="1">
      <c r="A534" s="2" t="s">
        <v>813</v>
      </c>
      <c r="B534" s="9">
        <v>6</v>
      </c>
      <c r="C534" s="2" t="s">
        <v>1074</v>
      </c>
      <c r="D534" s="2" t="s">
        <v>423</v>
      </c>
      <c r="E534" s="2">
        <f>+IFERROR(VLOOKUP(A534,'2122'!$A$12:$C$389,2,),0)</f>
        <v>0</v>
      </c>
      <c r="F534" s="2">
        <v>0</v>
      </c>
      <c r="G534" s="2">
        <f t="shared" si="38"/>
        <v>0</v>
      </c>
      <c r="H534" s="2">
        <f>+IFERROR(VLOOKUP(A534,'2122'!$A$12:$C$389,3,),0)</f>
        <v>0</v>
      </c>
      <c r="I534" s="2">
        <v>0</v>
      </c>
      <c r="J534" s="2">
        <f t="shared" si="39"/>
        <v>0</v>
      </c>
      <c r="K534" s="2">
        <v>0</v>
      </c>
      <c r="M534" s="2">
        <v>0</v>
      </c>
      <c r="N534" s="2">
        <v>0</v>
      </c>
      <c r="P534" s="2">
        <v>0</v>
      </c>
    </row>
    <row r="535" spans="1:16" ht="15.75" thickBot="1">
      <c r="A535" s="2" t="s">
        <v>281</v>
      </c>
      <c r="B535" s="9">
        <v>6</v>
      </c>
      <c r="C535" s="2" t="s">
        <v>1074</v>
      </c>
      <c r="D535" s="2" t="s">
        <v>423</v>
      </c>
      <c r="E535" s="2">
        <f>+IFERROR(VLOOKUP(A535,'2122'!$A$12:$C$389,2,),0)</f>
        <v>1197020</v>
      </c>
      <c r="F535" s="2">
        <v>0</v>
      </c>
      <c r="G535" s="2">
        <f t="shared" si="38"/>
        <v>1197020</v>
      </c>
      <c r="H535" s="2">
        <f>+IFERROR(VLOOKUP(A535,'2122'!$A$12:$C$389,3,),0)</f>
        <v>0</v>
      </c>
      <c r="I535" s="2">
        <v>0</v>
      </c>
      <c r="J535" s="2">
        <f t="shared" si="39"/>
        <v>0</v>
      </c>
      <c r="K535" s="2">
        <v>3359955</v>
      </c>
      <c r="M535" s="2">
        <v>3359955</v>
      </c>
      <c r="N535" s="2">
        <v>0</v>
      </c>
      <c r="P535" s="2">
        <v>0</v>
      </c>
    </row>
    <row r="536" spans="1:16" ht="15.75" thickBot="1">
      <c r="A536" s="2" t="s">
        <v>814</v>
      </c>
      <c r="B536" s="9">
        <v>6</v>
      </c>
      <c r="C536" s="2" t="s">
        <v>1074</v>
      </c>
      <c r="D536" s="2" t="s">
        <v>423</v>
      </c>
      <c r="E536" s="2">
        <f>+IFERROR(VLOOKUP(A536,'2122'!$A$12:$C$389,2,),0)</f>
        <v>14451586</v>
      </c>
      <c r="F536" s="2">
        <v>0</v>
      </c>
      <c r="G536" s="2">
        <f t="shared" si="38"/>
        <v>14451586</v>
      </c>
      <c r="H536" s="2">
        <f>+IFERROR(VLOOKUP(A536,'2122'!$A$12:$C$389,3,),0)</f>
        <v>0</v>
      </c>
      <c r="I536" s="2">
        <v>0</v>
      </c>
      <c r="J536" s="2">
        <f t="shared" si="39"/>
        <v>0</v>
      </c>
      <c r="K536" s="2">
        <v>25272743</v>
      </c>
      <c r="M536" s="2">
        <v>25272743</v>
      </c>
      <c r="N536" s="2">
        <v>0</v>
      </c>
      <c r="P536" s="2">
        <v>0</v>
      </c>
    </row>
    <row r="537" spans="1:16" ht="15.75" thickBot="1">
      <c r="A537" s="2" t="s">
        <v>278</v>
      </c>
      <c r="B537" s="9">
        <v>17</v>
      </c>
      <c r="C537" s="2" t="s">
        <v>415</v>
      </c>
      <c r="D537" s="2" t="s">
        <v>415</v>
      </c>
      <c r="E537" s="2">
        <f>+IFERROR(VLOOKUP(A537,'2122'!$A$12:$C$389,2,),0)</f>
        <v>0</v>
      </c>
      <c r="F537" s="2">
        <v>0</v>
      </c>
      <c r="G537" s="2">
        <f t="shared" si="38"/>
        <v>0</v>
      </c>
      <c r="H537" s="2">
        <f>+IFERROR(VLOOKUP(A537,'2122'!$A$12:$C$389,3,),0)</f>
        <v>1439364</v>
      </c>
      <c r="I537" s="2">
        <v>0</v>
      </c>
      <c r="J537" s="2">
        <f t="shared" si="39"/>
        <v>1439364</v>
      </c>
      <c r="K537" s="2">
        <v>0</v>
      </c>
      <c r="M537" s="2">
        <v>0</v>
      </c>
      <c r="N537" s="2">
        <v>13051000</v>
      </c>
      <c r="P537" s="2">
        <v>13051000</v>
      </c>
    </row>
    <row r="538" spans="1:16" ht="15.75" thickBot="1">
      <c r="A538" s="2" t="s">
        <v>815</v>
      </c>
      <c r="B538" s="9">
        <v>9</v>
      </c>
      <c r="C538" s="2" t="s">
        <v>602</v>
      </c>
      <c r="D538" s="2" t="s">
        <v>450</v>
      </c>
      <c r="E538" s="2">
        <f>+IFERROR(VLOOKUP(A538,'2122'!$A$12:$C$389,2,),0)</f>
        <v>0</v>
      </c>
      <c r="F538" s="2">
        <v>0</v>
      </c>
      <c r="G538" s="2">
        <f t="shared" si="38"/>
        <v>0</v>
      </c>
      <c r="H538" s="2">
        <f>+IFERROR(VLOOKUP(A538,'2122'!$A$12:$C$389,3,),0)</f>
        <v>0</v>
      </c>
      <c r="I538" s="2">
        <v>0</v>
      </c>
      <c r="J538" s="2">
        <f t="shared" si="39"/>
        <v>0</v>
      </c>
      <c r="K538" s="2">
        <v>0</v>
      </c>
      <c r="M538" s="2">
        <v>0</v>
      </c>
      <c r="N538" s="2">
        <v>0</v>
      </c>
      <c r="P538" s="2">
        <v>0</v>
      </c>
    </row>
    <row r="539" spans="1:16" ht="15.75" thickBot="1">
      <c r="A539" s="2" t="s">
        <v>816</v>
      </c>
      <c r="B539" s="9">
        <v>17</v>
      </c>
      <c r="C539" s="2" t="s">
        <v>415</v>
      </c>
      <c r="D539" s="2" t="s">
        <v>415</v>
      </c>
      <c r="E539" s="2">
        <f>+IFERROR(VLOOKUP(A539,'2122'!$A$12:$C$389,2,),0)</f>
        <v>0</v>
      </c>
      <c r="F539" s="2">
        <v>0</v>
      </c>
      <c r="G539" s="2">
        <f t="shared" si="38"/>
        <v>0</v>
      </c>
      <c r="H539" s="2">
        <f>+IFERROR(VLOOKUP(A539,'2122'!$A$12:$C$389,3,),0)</f>
        <v>0</v>
      </c>
      <c r="I539" s="2">
        <v>0</v>
      </c>
      <c r="J539" s="2">
        <f t="shared" si="39"/>
        <v>0</v>
      </c>
      <c r="K539" s="2">
        <v>0</v>
      </c>
      <c r="M539" s="2">
        <v>0</v>
      </c>
      <c r="N539" s="2">
        <v>2563</v>
      </c>
      <c r="P539" s="2">
        <v>2563</v>
      </c>
    </row>
    <row r="540" spans="1:16" ht="15.75" thickBot="1">
      <c r="A540" s="2" t="s">
        <v>817</v>
      </c>
      <c r="B540" s="9">
        <v>17</v>
      </c>
      <c r="C540" s="2" t="s">
        <v>415</v>
      </c>
      <c r="D540" s="2" t="s">
        <v>415</v>
      </c>
      <c r="E540" s="2">
        <f>+IFERROR(VLOOKUP(A540,'2122'!$A$12:$C$389,2,),0)</f>
        <v>0</v>
      </c>
      <c r="F540" s="2">
        <v>0</v>
      </c>
      <c r="G540" s="2">
        <f t="shared" si="38"/>
        <v>0</v>
      </c>
      <c r="H540" s="2">
        <f>+IFERROR(VLOOKUP(A540,'2122'!$A$12:$C$389,3,),0)</f>
        <v>0</v>
      </c>
      <c r="I540" s="2">
        <v>0</v>
      </c>
      <c r="J540" s="2">
        <f t="shared" si="39"/>
        <v>0</v>
      </c>
      <c r="K540" s="2">
        <v>0</v>
      </c>
      <c r="M540" s="2">
        <v>0</v>
      </c>
      <c r="N540" s="2">
        <v>0</v>
      </c>
      <c r="P540" s="2">
        <v>0</v>
      </c>
    </row>
    <row r="541" spans="1:16" ht="15.75" thickBot="1">
      <c r="A541" s="2" t="s">
        <v>818</v>
      </c>
      <c r="B541" s="9">
        <v>27</v>
      </c>
      <c r="C541" s="2" t="s">
        <v>1555</v>
      </c>
      <c r="D541" s="2" t="s">
        <v>1556</v>
      </c>
      <c r="E541" s="2">
        <f>+IFERROR(VLOOKUP(A541,'2122'!$A$12:$C$389,2,),0)</f>
        <v>0</v>
      </c>
      <c r="F541" s="2">
        <v>0</v>
      </c>
      <c r="G541" s="2">
        <f t="shared" si="38"/>
        <v>0</v>
      </c>
      <c r="H541" s="2">
        <f>+IFERROR(VLOOKUP(A541,'2122'!$A$12:$C$389,3,),0)</f>
        <v>0</v>
      </c>
      <c r="I541" s="2">
        <v>0</v>
      </c>
      <c r="J541" s="2">
        <f t="shared" si="39"/>
        <v>0</v>
      </c>
      <c r="K541" s="2">
        <v>0</v>
      </c>
      <c r="M541" s="2">
        <v>0</v>
      </c>
      <c r="N541" s="2">
        <v>0</v>
      </c>
      <c r="P541" s="2">
        <v>0</v>
      </c>
    </row>
    <row r="542" spans="1:16" ht="15.75" thickBot="1">
      <c r="A542" s="2" t="s">
        <v>279</v>
      </c>
      <c r="B542" s="9">
        <v>27</v>
      </c>
      <c r="C542" s="2" t="s">
        <v>1560</v>
      </c>
      <c r="D542" s="2" t="s">
        <v>279</v>
      </c>
      <c r="E542" s="2">
        <f>+IFERROR(VLOOKUP(A542,'2122'!$A$12:$C$389,2,),0)</f>
        <v>241323</v>
      </c>
      <c r="F542" s="2">
        <v>0</v>
      </c>
      <c r="G542" s="2">
        <f t="shared" si="38"/>
        <v>241323</v>
      </c>
      <c r="H542" s="2">
        <f>+IFERROR(VLOOKUP(A542,'2122'!$A$12:$C$389,3,),0)</f>
        <v>0</v>
      </c>
      <c r="I542" s="2">
        <v>0</v>
      </c>
      <c r="J542" s="2">
        <f t="shared" si="39"/>
        <v>0</v>
      </c>
      <c r="K542" s="2">
        <v>208079</v>
      </c>
      <c r="M542" s="2">
        <v>208079</v>
      </c>
      <c r="N542" s="2">
        <v>0</v>
      </c>
      <c r="P542" s="2">
        <v>0</v>
      </c>
    </row>
    <row r="543" spans="1:16" ht="15.75" thickBot="1">
      <c r="A543" s="2" t="s">
        <v>819</v>
      </c>
      <c r="B543" s="9">
        <v>17</v>
      </c>
      <c r="C543" s="2" t="s">
        <v>415</v>
      </c>
      <c r="D543" s="2" t="s">
        <v>415</v>
      </c>
      <c r="E543" s="2">
        <f>+IFERROR(VLOOKUP(A543,'2122'!$A$12:$C$389,2,),0)</f>
        <v>0</v>
      </c>
      <c r="F543" s="2">
        <v>0</v>
      </c>
      <c r="G543" s="2">
        <f t="shared" si="38"/>
        <v>0</v>
      </c>
      <c r="H543" s="2">
        <f>+IFERROR(VLOOKUP(A543,'2122'!$A$12:$C$389,3,),0)</f>
        <v>0</v>
      </c>
      <c r="I543" s="2">
        <v>0</v>
      </c>
      <c r="J543" s="2">
        <f t="shared" si="39"/>
        <v>0</v>
      </c>
      <c r="K543" s="2">
        <v>0</v>
      </c>
      <c r="M543" s="2">
        <v>0</v>
      </c>
      <c r="N543" s="2">
        <v>0</v>
      </c>
      <c r="P543" s="2">
        <v>0</v>
      </c>
    </row>
    <row r="544" spans="1:16" ht="15.75" thickBot="1">
      <c r="A544" s="2" t="s">
        <v>820</v>
      </c>
      <c r="B544" s="9">
        <v>9</v>
      </c>
      <c r="C544" s="2" t="s">
        <v>602</v>
      </c>
      <c r="D544" s="2" t="s">
        <v>450</v>
      </c>
      <c r="E544" s="2">
        <f>+IFERROR(VLOOKUP(A544,'2122'!$A$12:$C$389,2,),0)</f>
        <v>0</v>
      </c>
      <c r="F544" s="2">
        <v>0</v>
      </c>
      <c r="G544" s="2">
        <f t="shared" si="38"/>
        <v>0</v>
      </c>
      <c r="H544" s="2">
        <f>+IFERROR(VLOOKUP(A544,'2122'!$A$12:$C$389,3,),0)</f>
        <v>0</v>
      </c>
      <c r="I544" s="2">
        <v>0</v>
      </c>
      <c r="J544" s="2">
        <f t="shared" si="39"/>
        <v>0</v>
      </c>
      <c r="K544" s="2">
        <v>0</v>
      </c>
      <c r="M544" s="2">
        <v>0</v>
      </c>
      <c r="N544" s="2">
        <v>0</v>
      </c>
      <c r="P544" s="2">
        <v>0</v>
      </c>
    </row>
    <row r="545" spans="1:16" ht="15.75" thickBot="1">
      <c r="A545" s="2" t="s">
        <v>280</v>
      </c>
      <c r="B545" s="9">
        <v>27</v>
      </c>
      <c r="C545" s="2" t="s">
        <v>1555</v>
      </c>
      <c r="D545" s="2" t="s">
        <v>280</v>
      </c>
      <c r="E545" s="2">
        <f>+IFERROR(VLOOKUP(A545,'2122'!$A$12:$C$389,2,),0)</f>
        <v>4044390</v>
      </c>
      <c r="F545" s="2">
        <v>0</v>
      </c>
      <c r="G545" s="2">
        <f t="shared" si="38"/>
        <v>4044390</v>
      </c>
      <c r="H545" s="2">
        <f>+IFERROR(VLOOKUP(A545,'2122'!$A$12:$C$389,3,),0)</f>
        <v>0</v>
      </c>
      <c r="I545" s="2">
        <v>0</v>
      </c>
      <c r="J545" s="2">
        <f t="shared" si="39"/>
        <v>0</v>
      </c>
      <c r="K545" s="2">
        <v>3861148</v>
      </c>
      <c r="M545" s="2">
        <v>3861148</v>
      </c>
      <c r="N545" s="2">
        <v>0</v>
      </c>
      <c r="P545" s="2">
        <v>0</v>
      </c>
    </row>
    <row r="546" spans="1:16" ht="15.75" thickBot="1">
      <c r="A546" s="2" t="s">
        <v>282</v>
      </c>
      <c r="B546" s="9">
        <v>19</v>
      </c>
      <c r="C546" s="2" t="s">
        <v>482</v>
      </c>
      <c r="D546" s="2" t="s">
        <v>531</v>
      </c>
      <c r="E546" s="2">
        <f>+IFERROR(VLOOKUP(A546,'2122'!$A$12:$C$389,2,),0)</f>
        <v>0</v>
      </c>
      <c r="F546" s="2">
        <v>0</v>
      </c>
      <c r="G546" s="2">
        <f t="shared" si="38"/>
        <v>0</v>
      </c>
      <c r="H546" s="2">
        <f>+IFERROR(VLOOKUP(A546,'2122'!$A$12:$C$389,3,),0)</f>
        <v>21303</v>
      </c>
      <c r="I546" s="2">
        <v>0</v>
      </c>
      <c r="J546" s="2">
        <f t="shared" si="39"/>
        <v>21303</v>
      </c>
      <c r="K546" s="2">
        <v>0</v>
      </c>
      <c r="M546" s="2">
        <v>0</v>
      </c>
      <c r="N546" s="2">
        <v>20899</v>
      </c>
      <c r="P546" s="2">
        <v>20899</v>
      </c>
    </row>
    <row r="547" spans="1:16" ht="15.75" thickBot="1">
      <c r="A547" s="2" t="s">
        <v>283</v>
      </c>
      <c r="B547" s="9">
        <v>19</v>
      </c>
      <c r="C547" s="2" t="s">
        <v>482</v>
      </c>
      <c r="D547" s="2" t="s">
        <v>531</v>
      </c>
      <c r="E547" s="2">
        <f>+IFERROR(VLOOKUP(A547,'2122'!$A$12:$C$389,2,),0)</f>
        <v>0</v>
      </c>
      <c r="F547" s="2">
        <v>0</v>
      </c>
      <c r="G547" s="2">
        <f t="shared" si="38"/>
        <v>0</v>
      </c>
      <c r="H547" s="2">
        <f>+IFERROR(VLOOKUP(A547,'2122'!$A$12:$C$389,3,),0)</f>
        <v>124753</v>
      </c>
      <c r="I547" s="2">
        <v>0</v>
      </c>
      <c r="J547" s="2">
        <f t="shared" si="39"/>
        <v>124753</v>
      </c>
      <c r="K547" s="2">
        <v>0</v>
      </c>
      <c r="M547" s="2">
        <v>0</v>
      </c>
      <c r="N547" s="2">
        <v>75747</v>
      </c>
      <c r="P547" s="2">
        <v>75747</v>
      </c>
    </row>
    <row r="548" spans="1:16" ht="15.75" thickBot="1">
      <c r="A548" s="2" t="s">
        <v>821</v>
      </c>
      <c r="B548" s="9">
        <v>19</v>
      </c>
      <c r="C548" s="2" t="s">
        <v>482</v>
      </c>
      <c r="D548" s="2" t="s">
        <v>531</v>
      </c>
      <c r="E548" s="2">
        <f>+IFERROR(VLOOKUP(A548,'2122'!$A$12:$C$389,2,),0)</f>
        <v>0</v>
      </c>
      <c r="F548" s="2">
        <v>0</v>
      </c>
      <c r="G548" s="2">
        <f t="shared" si="38"/>
        <v>0</v>
      </c>
      <c r="H548" s="2">
        <f>+IFERROR(VLOOKUP(A548,'2122'!$A$12:$C$389,3,),0)</f>
        <v>0</v>
      </c>
      <c r="I548" s="2">
        <v>0</v>
      </c>
      <c r="J548" s="2">
        <f t="shared" si="39"/>
        <v>0</v>
      </c>
      <c r="K548" s="2">
        <v>0</v>
      </c>
      <c r="M548" s="2">
        <v>0</v>
      </c>
      <c r="N548" s="2">
        <v>0</v>
      </c>
      <c r="P548" s="2">
        <v>0</v>
      </c>
    </row>
    <row r="549" spans="1:16" ht="15.75" thickBot="1">
      <c r="A549" s="2" t="s">
        <v>822</v>
      </c>
      <c r="B549" s="9">
        <v>19</v>
      </c>
      <c r="C549" s="2" t="s">
        <v>482</v>
      </c>
      <c r="D549" s="2" t="s">
        <v>531</v>
      </c>
      <c r="E549" s="2">
        <f>+IFERROR(VLOOKUP(A549,'2122'!$A$12:$C$389,2,),0)</f>
        <v>0</v>
      </c>
      <c r="F549" s="2">
        <v>0</v>
      </c>
      <c r="G549" s="2">
        <f t="shared" si="38"/>
        <v>0</v>
      </c>
      <c r="H549" s="2">
        <f>+IFERROR(VLOOKUP(A549,'2122'!$A$12:$C$389,3,),0)</f>
        <v>0</v>
      </c>
      <c r="I549" s="2">
        <v>0</v>
      </c>
      <c r="J549" s="2">
        <f t="shared" si="39"/>
        <v>0</v>
      </c>
      <c r="K549" s="2">
        <v>0</v>
      </c>
      <c r="M549" s="2">
        <v>0</v>
      </c>
      <c r="N549" s="2">
        <v>0</v>
      </c>
      <c r="P549" s="2">
        <v>0</v>
      </c>
    </row>
    <row r="550" spans="1:16" ht="15.75" thickBot="1">
      <c r="A550" s="2" t="s">
        <v>823</v>
      </c>
      <c r="B550" s="9">
        <v>19</v>
      </c>
      <c r="C550" s="2" t="s">
        <v>482</v>
      </c>
      <c r="D550" s="2" t="s">
        <v>531</v>
      </c>
      <c r="E550" s="2">
        <f>+IFERROR(VLOOKUP(A550,'2122'!$A$12:$C$389,2,),0)</f>
        <v>0</v>
      </c>
      <c r="F550" s="2">
        <v>0</v>
      </c>
      <c r="G550" s="2">
        <f t="shared" si="38"/>
        <v>0</v>
      </c>
      <c r="H550" s="2">
        <f>+IFERROR(VLOOKUP(A550,'2122'!$A$12:$C$389,3,),0)</f>
        <v>0</v>
      </c>
      <c r="I550" s="2">
        <v>0</v>
      </c>
      <c r="J550" s="2">
        <f t="shared" si="39"/>
        <v>0</v>
      </c>
      <c r="K550" s="2">
        <v>0</v>
      </c>
      <c r="M550" s="2">
        <v>0</v>
      </c>
      <c r="N550" s="2">
        <v>0</v>
      </c>
      <c r="P550" s="2">
        <v>0</v>
      </c>
    </row>
    <row r="551" spans="1:16" ht="15.75" thickBot="1">
      <c r="A551" s="2" t="s">
        <v>284</v>
      </c>
      <c r="B551" s="9">
        <v>19</v>
      </c>
      <c r="C551" s="2" t="s">
        <v>482</v>
      </c>
      <c r="D551" s="2" t="s">
        <v>531</v>
      </c>
      <c r="E551" s="2">
        <f>+IFERROR(VLOOKUP(A551,'2122'!$A$12:$C$389,2,),0)</f>
        <v>0</v>
      </c>
      <c r="F551" s="2">
        <v>0</v>
      </c>
      <c r="G551" s="2">
        <f t="shared" si="38"/>
        <v>0</v>
      </c>
      <c r="H551" s="2">
        <f>+IFERROR(VLOOKUP(A551,'2122'!$A$12:$C$389,3,),0)</f>
        <v>21303</v>
      </c>
      <c r="I551" s="2">
        <v>0</v>
      </c>
      <c r="J551" s="2">
        <f t="shared" si="39"/>
        <v>21303</v>
      </c>
      <c r="K551" s="2">
        <v>0</v>
      </c>
      <c r="M551" s="2">
        <v>0</v>
      </c>
      <c r="N551" s="2">
        <v>20899</v>
      </c>
      <c r="P551" s="2">
        <v>20899</v>
      </c>
    </row>
    <row r="552" spans="1:16" ht="15.75" thickBot="1">
      <c r="A552" s="2" t="s">
        <v>824</v>
      </c>
      <c r="B552" s="9">
        <v>19</v>
      </c>
      <c r="C552" s="2" t="s">
        <v>482</v>
      </c>
      <c r="D552" s="2" t="s">
        <v>531</v>
      </c>
      <c r="E552" s="2">
        <f>+IFERROR(VLOOKUP(A552,'2122'!$A$12:$C$389,2,),0)</f>
        <v>0</v>
      </c>
      <c r="F552" s="2">
        <v>0</v>
      </c>
      <c r="G552" s="2">
        <f t="shared" si="38"/>
        <v>0</v>
      </c>
      <c r="H552" s="2">
        <f>+IFERROR(VLOOKUP(A552,'2122'!$A$12:$C$389,3,),0)</f>
        <v>0</v>
      </c>
      <c r="I552" s="2">
        <v>0</v>
      </c>
      <c r="J552" s="2">
        <f t="shared" si="39"/>
        <v>0</v>
      </c>
      <c r="K552" s="2">
        <v>0</v>
      </c>
      <c r="M552" s="2">
        <v>0</v>
      </c>
      <c r="N552" s="2">
        <v>0</v>
      </c>
      <c r="P552" s="2">
        <v>0</v>
      </c>
    </row>
    <row r="553" spans="1:16" ht="15.75" thickBot="1">
      <c r="A553" s="2" t="s">
        <v>825</v>
      </c>
      <c r="B553" s="9">
        <v>19</v>
      </c>
      <c r="C553" s="2" t="s">
        <v>482</v>
      </c>
      <c r="D553" s="2" t="s">
        <v>531</v>
      </c>
      <c r="E553" s="2">
        <f>+IFERROR(VLOOKUP(A553,'2122'!$A$12:$C$389,2,),0)</f>
        <v>0</v>
      </c>
      <c r="F553" s="2">
        <v>0</v>
      </c>
      <c r="G553" s="2">
        <f t="shared" si="38"/>
        <v>0</v>
      </c>
      <c r="H553" s="2">
        <f>+IFERROR(VLOOKUP(A553,'2122'!$A$12:$C$389,3,),0)</f>
        <v>0</v>
      </c>
      <c r="I553" s="2">
        <v>0</v>
      </c>
      <c r="J553" s="2">
        <f t="shared" si="39"/>
        <v>0</v>
      </c>
      <c r="K553" s="2">
        <v>0</v>
      </c>
      <c r="M553" s="2">
        <v>0</v>
      </c>
      <c r="N553" s="2">
        <v>0</v>
      </c>
      <c r="P553" s="2">
        <v>0</v>
      </c>
    </row>
    <row r="554" spans="1:16" ht="15.75" thickBot="1">
      <c r="A554" s="2" t="s">
        <v>826</v>
      </c>
      <c r="B554" s="9">
        <v>19</v>
      </c>
      <c r="C554" s="2" t="s">
        <v>482</v>
      </c>
      <c r="D554" s="2" t="s">
        <v>531</v>
      </c>
      <c r="E554" s="2">
        <f>+IFERROR(VLOOKUP(A554,'2122'!$A$12:$C$389,2,),0)</f>
        <v>0</v>
      </c>
      <c r="F554" s="2">
        <v>0</v>
      </c>
      <c r="G554" s="2">
        <f t="shared" si="38"/>
        <v>0</v>
      </c>
      <c r="H554" s="2">
        <f>+IFERROR(VLOOKUP(A554,'2122'!$A$12:$C$389,3,),0)</f>
        <v>0</v>
      </c>
      <c r="I554" s="2">
        <v>0</v>
      </c>
      <c r="J554" s="2">
        <f t="shared" si="39"/>
        <v>0</v>
      </c>
      <c r="K554" s="2">
        <v>0</v>
      </c>
      <c r="M554" s="2">
        <v>0</v>
      </c>
      <c r="N554" s="2">
        <v>0</v>
      </c>
      <c r="P554" s="2">
        <v>0</v>
      </c>
    </row>
    <row r="555" spans="1:16" ht="15.75" thickBot="1">
      <c r="A555" s="2" t="s">
        <v>827</v>
      </c>
      <c r="B555" s="9">
        <v>17</v>
      </c>
      <c r="C555" s="2" t="s">
        <v>415</v>
      </c>
      <c r="D555" s="2" t="s">
        <v>416</v>
      </c>
      <c r="E555" s="2">
        <f>+IFERROR(VLOOKUP(A555,'2122'!$A$12:$C$389,2,),0)</f>
        <v>0</v>
      </c>
      <c r="F555" s="2">
        <v>0</v>
      </c>
      <c r="G555" s="2">
        <f t="shared" si="38"/>
        <v>0</v>
      </c>
      <c r="H555" s="2">
        <f>+IFERROR(VLOOKUP(A555,'2122'!$A$12:$C$389,3,),0)</f>
        <v>0</v>
      </c>
      <c r="I555" s="2">
        <v>0</v>
      </c>
      <c r="J555" s="2">
        <f t="shared" si="39"/>
        <v>0</v>
      </c>
      <c r="K555" s="2">
        <v>0</v>
      </c>
      <c r="M555" s="2">
        <v>0</v>
      </c>
      <c r="N555" s="2">
        <v>0</v>
      </c>
      <c r="P555" s="2">
        <v>0</v>
      </c>
    </row>
    <row r="556" spans="1:16" ht="15.75" thickBot="1">
      <c r="A556" s="2" t="s">
        <v>828</v>
      </c>
      <c r="C556" s="2" t="s">
        <v>606</v>
      </c>
      <c r="D556" s="2" t="s">
        <v>607</v>
      </c>
      <c r="E556" s="2">
        <f>+IFERROR(VLOOKUP(A556,'2122'!$A$12:$C$389,2,),0)</f>
        <v>0</v>
      </c>
      <c r="F556" s="2">
        <v>0</v>
      </c>
      <c r="G556" s="2">
        <f t="shared" si="38"/>
        <v>0</v>
      </c>
      <c r="H556" s="2">
        <f>+IFERROR(VLOOKUP(A556,'2122'!$A$12:$C$389,3,),0)</f>
        <v>0</v>
      </c>
      <c r="I556" s="2">
        <v>0</v>
      </c>
      <c r="J556" s="2">
        <f t="shared" si="39"/>
        <v>0</v>
      </c>
      <c r="K556" s="2">
        <v>0</v>
      </c>
      <c r="M556" s="2">
        <v>0</v>
      </c>
      <c r="N556" s="2">
        <v>0</v>
      </c>
      <c r="P556" s="2">
        <v>0</v>
      </c>
    </row>
    <row r="557" spans="1:16" ht="15.75" thickBot="1">
      <c r="A557" s="2" t="s">
        <v>829</v>
      </c>
      <c r="B557" s="9">
        <v>25</v>
      </c>
      <c r="C557" s="2" t="s">
        <v>619</v>
      </c>
      <c r="D557" s="2" t="s">
        <v>620</v>
      </c>
      <c r="E557" s="2">
        <f>+IFERROR(VLOOKUP(A557,'2122'!$A$12:$C$389,2,),0)</f>
        <v>4723871</v>
      </c>
      <c r="F557" s="2">
        <v>0</v>
      </c>
      <c r="G557" s="2">
        <f t="shared" si="38"/>
        <v>4723871</v>
      </c>
      <c r="H557" s="2">
        <f>+IFERROR(VLOOKUP(A557,'2122'!$A$12:$C$389,3,),0)</f>
        <v>0</v>
      </c>
      <c r="I557" s="2">
        <v>0</v>
      </c>
      <c r="J557" s="2">
        <f t="shared" si="39"/>
        <v>0</v>
      </c>
      <c r="K557" s="2">
        <v>4800000</v>
      </c>
      <c r="M557" s="2">
        <v>4800000</v>
      </c>
      <c r="N557" s="2">
        <v>0</v>
      </c>
      <c r="P557" s="2">
        <v>0</v>
      </c>
    </row>
    <row r="558" spans="1:16" ht="15.75" thickBot="1">
      <c r="A558" s="2" t="s">
        <v>286</v>
      </c>
      <c r="B558" s="9">
        <v>27</v>
      </c>
      <c r="C558" s="2" t="s">
        <v>1560</v>
      </c>
      <c r="D558" s="2" t="s">
        <v>1312</v>
      </c>
      <c r="E558" s="2">
        <f>+IFERROR(VLOOKUP(A558,'2122'!$A$12:$C$389,2,),0)</f>
        <v>230514</v>
      </c>
      <c r="F558" s="2">
        <v>0</v>
      </c>
      <c r="G558" s="2">
        <f t="shared" si="38"/>
        <v>230514</v>
      </c>
      <c r="H558" s="2">
        <f>+IFERROR(VLOOKUP(A558,'2122'!$A$12:$C$389,3,),0)</f>
        <v>0</v>
      </c>
      <c r="I558" s="2">
        <v>0</v>
      </c>
      <c r="J558" s="2">
        <f t="shared" si="39"/>
        <v>0</v>
      </c>
      <c r="K558" s="2">
        <v>281990</v>
      </c>
      <c r="M558" s="2">
        <v>281990</v>
      </c>
      <c r="N558" s="2">
        <v>0</v>
      </c>
      <c r="P558" s="2">
        <v>0</v>
      </c>
    </row>
    <row r="559" spans="1:16" ht="15.75" thickBot="1">
      <c r="A559" s="2" t="s">
        <v>830</v>
      </c>
      <c r="B559" s="9">
        <v>27</v>
      </c>
      <c r="C559" s="2" t="s">
        <v>1555</v>
      </c>
      <c r="D559" s="2" t="s">
        <v>1558</v>
      </c>
      <c r="E559" s="2">
        <f>+IFERROR(VLOOKUP(A559,'2122'!$A$12:$C$389,2,),0)</f>
        <v>49000</v>
      </c>
      <c r="F559" s="2">
        <v>0</v>
      </c>
      <c r="G559" s="2">
        <f t="shared" si="38"/>
        <v>49000</v>
      </c>
      <c r="H559" s="2">
        <f>+IFERROR(VLOOKUP(A559,'2122'!$A$12:$C$389,3,),0)</f>
        <v>0</v>
      </c>
      <c r="I559" s="2">
        <v>0</v>
      </c>
      <c r="J559" s="2">
        <f t="shared" si="39"/>
        <v>0</v>
      </c>
      <c r="K559" s="2">
        <v>688233.98</v>
      </c>
      <c r="M559" s="2">
        <v>688233.98</v>
      </c>
      <c r="N559" s="2">
        <v>0</v>
      </c>
      <c r="P559" s="2">
        <v>0</v>
      </c>
    </row>
    <row r="560" spans="1:16" ht="15.75" thickBot="1">
      <c r="A560" s="2" t="s">
        <v>287</v>
      </c>
      <c r="B560" s="9">
        <v>27</v>
      </c>
      <c r="C560" s="2" t="s">
        <v>1560</v>
      </c>
      <c r="D560" s="2" t="s">
        <v>1563</v>
      </c>
      <c r="E560" s="2">
        <f>+IFERROR(VLOOKUP(A560,'2122'!$A$12:$C$389,2,),0)</f>
        <v>501594.49</v>
      </c>
      <c r="F560" s="2">
        <v>0</v>
      </c>
      <c r="G560" s="2">
        <f t="shared" si="38"/>
        <v>501594.49</v>
      </c>
      <c r="H560" s="2">
        <f>+IFERROR(VLOOKUP(A560,'2122'!$A$12:$C$389,3,),0)</f>
        <v>0</v>
      </c>
      <c r="I560" s="2">
        <v>0</v>
      </c>
      <c r="J560" s="2">
        <f t="shared" si="39"/>
        <v>0</v>
      </c>
      <c r="K560" s="2">
        <v>806397.4</v>
      </c>
      <c r="M560" s="2">
        <v>806397.4</v>
      </c>
      <c r="N560" s="2">
        <v>0</v>
      </c>
      <c r="P560" s="2">
        <v>0</v>
      </c>
    </row>
    <row r="561" spans="1:16" ht="15.75" thickBot="1">
      <c r="A561" s="2" t="s">
        <v>289</v>
      </c>
      <c r="B561" s="9">
        <v>12</v>
      </c>
      <c r="C561" s="2" t="s">
        <v>524</v>
      </c>
      <c r="D561" s="2" t="s">
        <v>525</v>
      </c>
      <c r="E561" s="2">
        <f>+IFERROR(VLOOKUP(A561,'2122'!$A$12:$C$389,2,),0)</f>
        <v>0</v>
      </c>
      <c r="F561" s="2">
        <v>0</v>
      </c>
      <c r="G561" s="2">
        <f t="shared" si="38"/>
        <v>0</v>
      </c>
      <c r="H561" s="2">
        <f>+IFERROR(VLOOKUP(A561,'2122'!$A$12:$C$389,3,),0)</f>
        <v>50905004</v>
      </c>
      <c r="I561" s="2">
        <v>0</v>
      </c>
      <c r="J561" s="2">
        <f t="shared" si="39"/>
        <v>50905004</v>
      </c>
      <c r="K561" s="2">
        <v>0</v>
      </c>
      <c r="M561" s="2">
        <v>0</v>
      </c>
      <c r="N561" s="2">
        <v>50905004</v>
      </c>
      <c r="P561" s="2">
        <v>50905004</v>
      </c>
    </row>
    <row r="562" spans="1:16" ht="15.75" thickBot="1">
      <c r="A562" s="2" t="s">
        <v>291</v>
      </c>
      <c r="B562" s="9">
        <v>27</v>
      </c>
      <c r="C562" s="2" t="s">
        <v>1560</v>
      </c>
      <c r="D562" s="2" t="s">
        <v>279</v>
      </c>
      <c r="E562" s="2">
        <f>+IFERROR(VLOOKUP(A562,'2122'!$A$12:$C$389,2,),0)</f>
        <v>10950</v>
      </c>
      <c r="F562" s="2">
        <v>0</v>
      </c>
      <c r="G562" s="2">
        <f t="shared" si="38"/>
        <v>10950</v>
      </c>
      <c r="H562" s="2">
        <f>+IFERROR(VLOOKUP(A562,'2122'!$A$12:$C$389,3,),0)</f>
        <v>0</v>
      </c>
      <c r="I562" s="2">
        <v>0</v>
      </c>
      <c r="J562" s="2">
        <f t="shared" si="39"/>
        <v>0</v>
      </c>
      <c r="K562" s="2">
        <v>11900</v>
      </c>
      <c r="M562" s="2">
        <v>11900</v>
      </c>
      <c r="N562" s="2">
        <v>0</v>
      </c>
      <c r="P562" s="2">
        <v>0</v>
      </c>
    </row>
    <row r="563" spans="1:16" ht="15.75" thickBot="1">
      <c r="A563" s="2" t="s">
        <v>293</v>
      </c>
      <c r="B563" s="9">
        <v>17</v>
      </c>
      <c r="C563" s="2" t="s">
        <v>415</v>
      </c>
      <c r="D563" s="2" t="s">
        <v>415</v>
      </c>
      <c r="E563" s="2">
        <f>+IFERROR(VLOOKUP(A563,'2122'!$A$12:$C$389,2,),0)</f>
        <v>0</v>
      </c>
      <c r="F563" s="2">
        <v>0</v>
      </c>
      <c r="G563" s="2">
        <f t="shared" si="38"/>
        <v>0</v>
      </c>
      <c r="H563" s="2">
        <f>+IFERROR(VLOOKUP(A563,'2122'!$A$12:$C$389,3,),0)</f>
        <v>2717096</v>
      </c>
      <c r="I563" s="2">
        <v>0</v>
      </c>
      <c r="J563" s="2">
        <f t="shared" si="39"/>
        <v>2717096</v>
      </c>
      <c r="K563" s="2">
        <v>0</v>
      </c>
      <c r="M563" s="2">
        <v>0</v>
      </c>
      <c r="N563" s="2">
        <v>1692622</v>
      </c>
      <c r="P563" s="2">
        <v>1692622</v>
      </c>
    </row>
    <row r="564" spans="1:16" ht="15.75" thickBot="1">
      <c r="A564" s="2" t="s">
        <v>294</v>
      </c>
      <c r="B564" s="9">
        <v>27</v>
      </c>
      <c r="C564" s="2" t="s">
        <v>1560</v>
      </c>
      <c r="D564" s="2" t="s">
        <v>1312</v>
      </c>
      <c r="E564" s="2">
        <f>+IFERROR(VLOOKUP(A564,'2122'!$A$12:$C$389,2,),0)</f>
        <v>0</v>
      </c>
      <c r="F564" s="2">
        <v>0</v>
      </c>
      <c r="G564" s="2">
        <f t="shared" si="38"/>
        <v>0</v>
      </c>
      <c r="H564" s="2">
        <f>+IFERROR(VLOOKUP(A564,'2122'!$A$12:$C$389,3,),0)</f>
        <v>902.81</v>
      </c>
      <c r="I564" s="2">
        <v>0</v>
      </c>
      <c r="J564" s="2">
        <f t="shared" si="39"/>
        <v>902.81</v>
      </c>
      <c r="K564" s="2">
        <v>0</v>
      </c>
      <c r="M564" s="2">
        <v>0</v>
      </c>
      <c r="N564" s="2">
        <v>353.12</v>
      </c>
      <c r="P564" s="2">
        <v>353.12</v>
      </c>
    </row>
    <row r="565" spans="1:16" ht="15.75" thickBot="1">
      <c r="A565" s="2" t="s">
        <v>831</v>
      </c>
      <c r="B565" s="9">
        <v>8</v>
      </c>
      <c r="C565" s="2" t="s">
        <v>1548</v>
      </c>
      <c r="D565" s="2" t="s">
        <v>832</v>
      </c>
      <c r="E565" s="2">
        <f>+IFERROR(VLOOKUP(A565,'2122'!$A$12:$C$389,2,),0)</f>
        <v>0</v>
      </c>
      <c r="F565" s="2">
        <v>0</v>
      </c>
      <c r="G565" s="2">
        <f t="shared" si="38"/>
        <v>0</v>
      </c>
      <c r="H565" s="2">
        <f>+IFERROR(VLOOKUP(A565,'2122'!$A$12:$C$389,3,),0)</f>
        <v>0</v>
      </c>
      <c r="I565" s="2">
        <v>0</v>
      </c>
      <c r="J565" s="2">
        <f t="shared" si="39"/>
        <v>0</v>
      </c>
      <c r="K565" s="2">
        <v>0</v>
      </c>
      <c r="M565" s="2">
        <v>0</v>
      </c>
      <c r="N565" s="2">
        <v>0</v>
      </c>
      <c r="P565" s="2">
        <v>0</v>
      </c>
    </row>
    <row r="566" spans="1:16" ht="15.75" thickBot="1">
      <c r="A566" s="2" t="s">
        <v>315</v>
      </c>
      <c r="B566" s="9">
        <v>7</v>
      </c>
      <c r="C566" s="2" t="s">
        <v>1548</v>
      </c>
      <c r="D566" s="2" t="s">
        <v>833</v>
      </c>
      <c r="E566" s="2">
        <f>+IFERROR(VLOOKUP(A566,'2122'!$A$12:$C$389,2,),0)</f>
        <v>10757.64</v>
      </c>
      <c r="F566" s="2">
        <v>0</v>
      </c>
      <c r="G566" s="2">
        <f t="shared" si="38"/>
        <v>10757.64</v>
      </c>
      <c r="H566" s="2">
        <f>+IFERROR(VLOOKUP(A566,'2122'!$A$12:$C$389,3,),0)</f>
        <v>0</v>
      </c>
      <c r="I566" s="2">
        <v>0</v>
      </c>
      <c r="J566" s="2">
        <f t="shared" si="39"/>
        <v>0</v>
      </c>
      <c r="K566" s="2">
        <v>78364.399999999994</v>
      </c>
      <c r="M566" s="2">
        <v>78364.399999999994</v>
      </c>
      <c r="N566" s="2">
        <v>0</v>
      </c>
      <c r="P566" s="2">
        <v>0</v>
      </c>
    </row>
    <row r="567" spans="1:16" ht="15.75" thickBot="1">
      <c r="A567" s="2" t="s">
        <v>834</v>
      </c>
      <c r="B567" s="9">
        <v>13</v>
      </c>
      <c r="C567" s="2" t="s">
        <v>474</v>
      </c>
      <c r="D567" s="2" t="s">
        <v>835</v>
      </c>
      <c r="E567" s="2">
        <f>+IFERROR(VLOOKUP(A567,'2122'!$A$12:$C$389,2,),0)</f>
        <v>0</v>
      </c>
      <c r="F567" s="2">
        <v>0</v>
      </c>
      <c r="G567" s="2">
        <f t="shared" si="38"/>
        <v>0</v>
      </c>
      <c r="H567" s="2">
        <f>+IFERROR(VLOOKUP(A567,'2122'!$A$12:$C$389,3,),0)</f>
        <v>0</v>
      </c>
      <c r="I567" s="2">
        <v>0</v>
      </c>
      <c r="J567" s="2">
        <f t="shared" si="39"/>
        <v>0</v>
      </c>
      <c r="K567" s="2">
        <v>0</v>
      </c>
      <c r="M567" s="2">
        <v>0</v>
      </c>
      <c r="N567" s="2">
        <v>3874175</v>
      </c>
      <c r="P567" s="2">
        <v>3874175</v>
      </c>
    </row>
    <row r="568" spans="1:16" ht="15.75" thickBot="1">
      <c r="A568" s="2" t="s">
        <v>836</v>
      </c>
      <c r="B568" s="9">
        <v>13</v>
      </c>
      <c r="C568" s="2" t="s">
        <v>474</v>
      </c>
      <c r="D568" s="2" t="s">
        <v>835</v>
      </c>
      <c r="E568" s="2">
        <f>+IFERROR(VLOOKUP(A568,'2122'!$A$12:$C$389,2,),0)</f>
        <v>0</v>
      </c>
      <c r="F568" s="2">
        <v>0</v>
      </c>
      <c r="G568" s="2">
        <f t="shared" si="38"/>
        <v>0</v>
      </c>
      <c r="H568" s="2">
        <f>+IFERROR(VLOOKUP(A568,'2122'!$A$12:$C$389,3,),0)</f>
        <v>0</v>
      </c>
      <c r="I568" s="2">
        <v>0</v>
      </c>
      <c r="J568" s="2">
        <f t="shared" si="39"/>
        <v>0</v>
      </c>
      <c r="K568" s="2">
        <v>0</v>
      </c>
      <c r="M568" s="2">
        <v>0</v>
      </c>
      <c r="N568" s="2">
        <v>0</v>
      </c>
      <c r="P568" s="2">
        <v>0</v>
      </c>
    </row>
    <row r="569" spans="1:16" ht="15.75" thickBot="1">
      <c r="A569" s="2" t="s">
        <v>837</v>
      </c>
      <c r="B569" s="9">
        <v>13</v>
      </c>
      <c r="C569" s="2" t="s">
        <v>474</v>
      </c>
      <c r="D569" s="2" t="s">
        <v>835</v>
      </c>
      <c r="E569" s="2">
        <f>+IFERROR(VLOOKUP(A569,'2122'!$A$12:$C$389,2,),0)</f>
        <v>0</v>
      </c>
      <c r="F569" s="2">
        <v>0</v>
      </c>
      <c r="G569" s="2">
        <f t="shared" si="38"/>
        <v>0</v>
      </c>
      <c r="H569" s="2">
        <f>+IFERROR(VLOOKUP(A569,'2122'!$A$12:$C$389,3,),0)</f>
        <v>0</v>
      </c>
      <c r="I569" s="2">
        <v>0</v>
      </c>
      <c r="J569" s="2">
        <f t="shared" si="39"/>
        <v>0</v>
      </c>
      <c r="K569" s="2">
        <v>0</v>
      </c>
      <c r="M569" s="2">
        <v>0</v>
      </c>
      <c r="N569" s="2">
        <v>3118016</v>
      </c>
      <c r="P569" s="2">
        <v>3118016</v>
      </c>
    </row>
    <row r="570" spans="1:16" ht="15.75" thickBot="1">
      <c r="A570" s="2" t="s">
        <v>838</v>
      </c>
      <c r="B570" s="9">
        <v>13</v>
      </c>
      <c r="C570" s="2" t="s">
        <v>474</v>
      </c>
      <c r="D570" s="2" t="s">
        <v>835</v>
      </c>
      <c r="E570" s="2">
        <f>+IFERROR(VLOOKUP(A570,'2122'!$A$12:$C$389,2,),0)</f>
        <v>0</v>
      </c>
      <c r="F570" s="2">
        <v>0</v>
      </c>
      <c r="G570" s="2">
        <f t="shared" si="38"/>
        <v>0</v>
      </c>
      <c r="H570" s="2">
        <f>+IFERROR(VLOOKUP(A570,'2122'!$A$12:$C$389,3,),0)</f>
        <v>0</v>
      </c>
      <c r="I570" s="2">
        <v>0</v>
      </c>
      <c r="J570" s="2">
        <f t="shared" si="39"/>
        <v>0</v>
      </c>
      <c r="K570" s="2">
        <v>0</v>
      </c>
      <c r="M570" s="2">
        <v>0</v>
      </c>
      <c r="N570" s="2">
        <v>0</v>
      </c>
      <c r="P570" s="2">
        <v>0</v>
      </c>
    </row>
    <row r="571" spans="1:16" ht="15.75" thickBot="1">
      <c r="A571" s="2" t="s">
        <v>839</v>
      </c>
      <c r="B571" s="9">
        <v>17</v>
      </c>
      <c r="C571" s="2" t="s">
        <v>415</v>
      </c>
      <c r="D571" s="2" t="s">
        <v>415</v>
      </c>
      <c r="E571" s="2">
        <f>+IFERROR(VLOOKUP(A571,'2122'!$A$12:$C$389,2,),0)</f>
        <v>0</v>
      </c>
      <c r="F571" s="2">
        <v>0</v>
      </c>
      <c r="G571" s="2">
        <f t="shared" si="38"/>
        <v>0</v>
      </c>
      <c r="H571" s="2">
        <f>+IFERROR(VLOOKUP(A571,'2122'!$A$12:$C$389,3,),0)</f>
        <v>0</v>
      </c>
      <c r="I571" s="2">
        <v>0</v>
      </c>
      <c r="J571" s="2">
        <f t="shared" si="39"/>
        <v>0</v>
      </c>
      <c r="K571" s="2">
        <v>0</v>
      </c>
      <c r="M571" s="2">
        <v>0</v>
      </c>
      <c r="N571" s="2">
        <v>0</v>
      </c>
      <c r="P571" s="2">
        <v>0</v>
      </c>
    </row>
    <row r="572" spans="1:16" ht="15.75" thickBot="1">
      <c r="A572" s="2" t="s">
        <v>297</v>
      </c>
      <c r="B572" s="9">
        <v>9</v>
      </c>
      <c r="C572" s="2" t="s">
        <v>602</v>
      </c>
      <c r="D572" s="2" t="s">
        <v>450</v>
      </c>
      <c r="E572" s="2">
        <f>+IFERROR(VLOOKUP(A572,'2122'!$A$12:$C$389,2,),0)</f>
        <v>2000</v>
      </c>
      <c r="F572" s="2">
        <v>0</v>
      </c>
      <c r="G572" s="2">
        <f t="shared" si="38"/>
        <v>2000</v>
      </c>
      <c r="H572" s="2">
        <f>+IFERROR(VLOOKUP(A572,'2122'!$A$12:$C$389,3,),0)</f>
        <v>0</v>
      </c>
      <c r="I572" s="2">
        <v>0</v>
      </c>
      <c r="J572" s="2">
        <f t="shared" si="39"/>
        <v>0</v>
      </c>
      <c r="K572" s="2">
        <v>0</v>
      </c>
      <c r="M572" s="2">
        <v>0</v>
      </c>
      <c r="N572" s="2">
        <v>0</v>
      </c>
      <c r="P572" s="2">
        <v>0</v>
      </c>
    </row>
    <row r="573" spans="1:16" ht="15.75" thickBot="1">
      <c r="A573" s="2" t="s">
        <v>840</v>
      </c>
      <c r="B573" s="9">
        <v>6</v>
      </c>
      <c r="C573" s="2" t="s">
        <v>1074</v>
      </c>
      <c r="D573" s="2" t="s">
        <v>423</v>
      </c>
      <c r="E573" s="2">
        <f>+IFERROR(VLOOKUP(A573,'2122'!$A$12:$C$389,2,),0)</f>
        <v>3429284</v>
      </c>
      <c r="F573" s="2">
        <v>0</v>
      </c>
      <c r="G573" s="2">
        <f t="shared" si="38"/>
        <v>3429284</v>
      </c>
      <c r="H573" s="2">
        <f>+IFERROR(VLOOKUP(A573,'2122'!$A$12:$C$389,3,),0)</f>
        <v>0</v>
      </c>
      <c r="I573" s="2">
        <v>0</v>
      </c>
      <c r="J573" s="2">
        <f t="shared" si="39"/>
        <v>0</v>
      </c>
      <c r="K573" s="2">
        <v>347389</v>
      </c>
      <c r="M573" s="2">
        <v>347389</v>
      </c>
      <c r="N573" s="2">
        <v>0</v>
      </c>
      <c r="P573" s="2">
        <v>0</v>
      </c>
    </row>
    <row r="574" spans="1:16" ht="15.75" thickBot="1">
      <c r="A574" s="2" t="s">
        <v>841</v>
      </c>
      <c r="B574" s="9">
        <v>17</v>
      </c>
      <c r="C574" s="2" t="s">
        <v>415</v>
      </c>
      <c r="D574" s="2" t="s">
        <v>415</v>
      </c>
      <c r="E574" s="2">
        <f>+IFERROR(VLOOKUP(A574,'2122'!$A$12:$C$389,2,),0)</f>
        <v>0</v>
      </c>
      <c r="F574" s="2">
        <v>0</v>
      </c>
      <c r="G574" s="2">
        <f t="shared" si="38"/>
        <v>0</v>
      </c>
      <c r="H574" s="2">
        <f>+IFERROR(VLOOKUP(A574,'2122'!$A$12:$C$389,3,),0)</f>
        <v>0</v>
      </c>
      <c r="I574" s="2">
        <v>0</v>
      </c>
      <c r="J574" s="2">
        <f t="shared" si="39"/>
        <v>0</v>
      </c>
      <c r="K574" s="2">
        <v>0</v>
      </c>
      <c r="M574" s="2">
        <v>0</v>
      </c>
      <c r="N574" s="2">
        <v>0</v>
      </c>
      <c r="P574" s="2">
        <v>0</v>
      </c>
    </row>
    <row r="575" spans="1:16" ht="15.75" thickBot="1">
      <c r="A575" s="2" t="s">
        <v>300</v>
      </c>
      <c r="B575" s="9">
        <v>17</v>
      </c>
      <c r="C575" s="2" t="s">
        <v>415</v>
      </c>
      <c r="D575" s="2" t="s">
        <v>415</v>
      </c>
      <c r="E575" s="2">
        <f>+IFERROR(VLOOKUP(A575,'2122'!$A$12:$C$389,2,),0)</f>
        <v>0</v>
      </c>
      <c r="F575" s="2">
        <v>0</v>
      </c>
      <c r="G575" s="2">
        <f t="shared" si="38"/>
        <v>0</v>
      </c>
      <c r="H575" s="2">
        <f>+IFERROR(VLOOKUP(A575,'2122'!$A$12:$C$389,3,),0)</f>
        <v>122753</v>
      </c>
      <c r="I575" s="2">
        <v>0</v>
      </c>
      <c r="J575" s="2">
        <f t="shared" si="39"/>
        <v>122753</v>
      </c>
      <c r="K575" s="2">
        <v>0</v>
      </c>
      <c r="M575" s="2">
        <v>0</v>
      </c>
      <c r="N575" s="2">
        <v>331346</v>
      </c>
      <c r="P575" s="2">
        <v>331346</v>
      </c>
    </row>
    <row r="576" spans="1:16" ht="15.75" thickBot="1">
      <c r="A576" s="2" t="s">
        <v>301</v>
      </c>
      <c r="B576" s="9">
        <v>18</v>
      </c>
      <c r="C576" s="2" t="s">
        <v>1551</v>
      </c>
      <c r="D576" s="2" t="s">
        <v>842</v>
      </c>
      <c r="E576" s="2">
        <f>+IFERROR(VLOOKUP(A576,'2122'!$A$12:$C$389,2,),0)</f>
        <v>0</v>
      </c>
      <c r="F576" s="2">
        <v>0</v>
      </c>
      <c r="G576" s="2">
        <f t="shared" si="38"/>
        <v>0</v>
      </c>
      <c r="H576" s="2">
        <f>+IFERROR(VLOOKUP(A576,'2122'!$A$12:$C$389,3,),0)</f>
        <v>1152229</v>
      </c>
      <c r="I576" s="2">
        <v>0</v>
      </c>
      <c r="J576" s="2">
        <f t="shared" si="39"/>
        <v>1152229</v>
      </c>
      <c r="K576" s="2">
        <v>0</v>
      </c>
      <c r="M576" s="2">
        <v>0</v>
      </c>
      <c r="N576" s="2">
        <v>1029792</v>
      </c>
      <c r="P576" s="2">
        <v>1029792</v>
      </c>
    </row>
    <row r="577" spans="1:16" ht="15.75" thickBot="1">
      <c r="A577" s="2" t="s">
        <v>302</v>
      </c>
      <c r="B577" s="9">
        <v>25</v>
      </c>
      <c r="C577" s="2" t="s">
        <v>619</v>
      </c>
      <c r="D577" s="2" t="s">
        <v>620</v>
      </c>
      <c r="E577" s="2">
        <f>+IFERROR(VLOOKUP(A577,'2122'!$A$12:$C$389,2,),0)</f>
        <v>222000</v>
      </c>
      <c r="F577" s="2">
        <v>0</v>
      </c>
      <c r="G577" s="2">
        <f t="shared" si="38"/>
        <v>222000</v>
      </c>
      <c r="H577" s="2">
        <f>+IFERROR(VLOOKUP(A577,'2122'!$A$12:$C$389,3,),0)</f>
        <v>0</v>
      </c>
      <c r="I577" s="2">
        <v>0</v>
      </c>
      <c r="J577" s="2">
        <f t="shared" si="39"/>
        <v>0</v>
      </c>
      <c r="K577" s="2">
        <v>216000</v>
      </c>
      <c r="M577" s="2">
        <v>216000</v>
      </c>
      <c r="N577" s="2">
        <v>0</v>
      </c>
      <c r="P577" s="2">
        <v>0</v>
      </c>
    </row>
    <row r="578" spans="1:16" ht="15.75" thickBot="1">
      <c r="A578" s="2" t="s">
        <v>843</v>
      </c>
      <c r="B578" s="9">
        <v>25</v>
      </c>
      <c r="C578" s="2" t="s">
        <v>619</v>
      </c>
      <c r="D578" s="2" t="s">
        <v>620</v>
      </c>
      <c r="E578" s="2">
        <f>+IFERROR(VLOOKUP(A578,'2122'!$A$12:$C$389,2,),0)</f>
        <v>0</v>
      </c>
      <c r="F578" s="2">
        <v>0</v>
      </c>
      <c r="G578" s="2">
        <f t="shared" si="38"/>
        <v>0</v>
      </c>
      <c r="H578" s="2">
        <f>+IFERROR(VLOOKUP(A578,'2122'!$A$12:$C$389,3,),0)</f>
        <v>0</v>
      </c>
      <c r="I578" s="2">
        <v>0</v>
      </c>
      <c r="J578" s="2">
        <f t="shared" si="39"/>
        <v>0</v>
      </c>
      <c r="K578" s="2">
        <v>0</v>
      </c>
      <c r="M578" s="2">
        <v>0</v>
      </c>
      <c r="N578" s="2">
        <v>0</v>
      </c>
      <c r="P578" s="2">
        <v>0</v>
      </c>
    </row>
    <row r="579" spans="1:16" ht="15.75" thickBot="1">
      <c r="A579" s="2" t="s">
        <v>844</v>
      </c>
      <c r="B579" s="9">
        <v>25</v>
      </c>
      <c r="C579" s="2" t="s">
        <v>619</v>
      </c>
      <c r="D579" s="2" t="s">
        <v>620</v>
      </c>
      <c r="E579" s="2">
        <f>+IFERROR(VLOOKUP(A579,'2122'!$A$12:$C$389,2,),0)</f>
        <v>2764949</v>
      </c>
      <c r="F579" s="2">
        <v>0</v>
      </c>
      <c r="G579" s="2">
        <f t="shared" si="38"/>
        <v>2764949</v>
      </c>
      <c r="H579" s="2">
        <f>+IFERROR(VLOOKUP(A579,'2122'!$A$12:$C$389,3,),0)</f>
        <v>0</v>
      </c>
      <c r="I579" s="2">
        <v>0</v>
      </c>
      <c r="J579" s="2">
        <f t="shared" si="39"/>
        <v>0</v>
      </c>
      <c r="K579" s="2">
        <v>1684618</v>
      </c>
      <c r="M579" s="2">
        <v>1684618</v>
      </c>
      <c r="N579" s="2">
        <v>0</v>
      </c>
      <c r="P579" s="2">
        <v>0</v>
      </c>
    </row>
    <row r="580" spans="1:16" ht="15.75" thickBot="1">
      <c r="A580" s="2" t="s">
        <v>845</v>
      </c>
      <c r="B580" s="9">
        <v>25</v>
      </c>
      <c r="C580" s="2" t="s">
        <v>619</v>
      </c>
      <c r="D580" s="2" t="s">
        <v>620</v>
      </c>
      <c r="E580" s="2">
        <f>+IFERROR(VLOOKUP(A580,'2122'!$A$12:$C$389,2,),0)</f>
        <v>2678400</v>
      </c>
      <c r="F580" s="2">
        <v>0</v>
      </c>
      <c r="G580" s="2">
        <f t="shared" si="38"/>
        <v>2678400</v>
      </c>
      <c r="H580" s="2">
        <f>+IFERROR(VLOOKUP(A580,'2122'!$A$12:$C$389,3,),0)</f>
        <v>0</v>
      </c>
      <c r="I580" s="2">
        <v>0</v>
      </c>
      <c r="J580" s="2">
        <f t="shared" si="39"/>
        <v>0</v>
      </c>
      <c r="K580" s="2">
        <v>2423600</v>
      </c>
      <c r="M580" s="2">
        <v>2423600</v>
      </c>
      <c r="N580" s="2">
        <v>0</v>
      </c>
      <c r="P580" s="2">
        <v>0</v>
      </c>
    </row>
    <row r="581" spans="1:16" ht="15.75" thickBot="1">
      <c r="A581" s="2" t="s">
        <v>846</v>
      </c>
      <c r="B581" s="9">
        <v>25</v>
      </c>
      <c r="C581" s="2" t="s">
        <v>619</v>
      </c>
      <c r="D581" s="2" t="s">
        <v>620</v>
      </c>
      <c r="E581" s="2">
        <f>+IFERROR(VLOOKUP(A581,'2122'!$A$12:$C$389,2,),0)</f>
        <v>10002813</v>
      </c>
      <c r="F581" s="2">
        <v>0</v>
      </c>
      <c r="G581" s="2">
        <f t="shared" si="38"/>
        <v>10002813</v>
      </c>
      <c r="H581" s="2">
        <f>+IFERROR(VLOOKUP(A581,'2122'!$A$12:$C$389,3,),0)</f>
        <v>0</v>
      </c>
      <c r="I581" s="2">
        <v>0</v>
      </c>
      <c r="J581" s="2">
        <f t="shared" si="39"/>
        <v>0</v>
      </c>
      <c r="K581" s="2">
        <v>8467719</v>
      </c>
      <c r="M581" s="2">
        <v>8467719</v>
      </c>
      <c r="N581" s="2">
        <v>0</v>
      </c>
      <c r="P581" s="2">
        <v>0</v>
      </c>
    </row>
    <row r="582" spans="1:16" ht="15.75" thickBot="1">
      <c r="A582" s="2" t="s">
        <v>847</v>
      </c>
      <c r="B582" s="9">
        <v>21</v>
      </c>
      <c r="C582" s="2" t="s">
        <v>621</v>
      </c>
      <c r="D582" s="2" t="s">
        <v>622</v>
      </c>
      <c r="E582" s="2">
        <f>+IFERROR(VLOOKUP(A582,'2122'!$A$12:$C$389,2,),0)</f>
        <v>0</v>
      </c>
      <c r="F582" s="2">
        <v>0</v>
      </c>
      <c r="G582" s="2">
        <f t="shared" si="38"/>
        <v>0</v>
      </c>
      <c r="H582" s="2">
        <f>+IFERROR(VLOOKUP(A582,'2122'!$A$12:$C$389,3,),0)</f>
        <v>1177784</v>
      </c>
      <c r="I582" s="2">
        <v>0</v>
      </c>
      <c r="J582" s="2">
        <f t="shared" si="39"/>
        <v>1177784</v>
      </c>
      <c r="K582" s="2">
        <v>0</v>
      </c>
      <c r="M582" s="2">
        <v>0</v>
      </c>
      <c r="N582" s="2">
        <v>729659</v>
      </c>
      <c r="P582" s="2">
        <v>729659</v>
      </c>
    </row>
    <row r="583" spans="1:16" ht="15.75" thickBot="1">
      <c r="A583" s="2" t="s">
        <v>306</v>
      </c>
      <c r="B583" s="9">
        <v>21</v>
      </c>
      <c r="C583" s="2" t="s">
        <v>621</v>
      </c>
      <c r="D583" s="2" t="s">
        <v>622</v>
      </c>
      <c r="E583" s="2">
        <f>+IFERROR(VLOOKUP(A583,'2122'!$A$12:$C$389,2,),0)</f>
        <v>0</v>
      </c>
      <c r="F583" s="2">
        <v>0</v>
      </c>
      <c r="G583" s="2">
        <f t="shared" si="38"/>
        <v>0</v>
      </c>
      <c r="H583" s="2">
        <f>+IFERROR(VLOOKUP(A583,'2122'!$A$12:$C$389,3,),0)</f>
        <v>996978842.14999998</v>
      </c>
      <c r="I583" s="2">
        <v>0</v>
      </c>
      <c r="J583" s="2">
        <f t="shared" si="39"/>
        <v>996978842.14999998</v>
      </c>
      <c r="K583" s="2">
        <v>0</v>
      </c>
      <c r="M583" s="2">
        <v>0</v>
      </c>
      <c r="N583" s="2">
        <v>714551552.14999998</v>
      </c>
      <c r="P583" s="2">
        <v>714551552.14999998</v>
      </c>
    </row>
    <row r="584" spans="1:16" ht="15.75" thickBot="1">
      <c r="A584" s="2" t="s">
        <v>848</v>
      </c>
      <c r="B584" s="9">
        <v>21</v>
      </c>
      <c r="C584" s="2" t="s">
        <v>621</v>
      </c>
      <c r="D584" s="2" t="s">
        <v>622</v>
      </c>
      <c r="E584" s="2">
        <f>+IFERROR(VLOOKUP(A584,'2122'!$A$12:$C$389,2,),0)</f>
        <v>0</v>
      </c>
      <c r="F584" s="2">
        <v>0</v>
      </c>
      <c r="G584" s="2">
        <f t="shared" si="38"/>
        <v>0</v>
      </c>
      <c r="H584" s="2">
        <f>+IFERROR(VLOOKUP(A584,'2122'!$A$12:$C$389,3,),0)</f>
        <v>0</v>
      </c>
      <c r="I584" s="2">
        <v>0</v>
      </c>
      <c r="J584" s="2">
        <f t="shared" si="39"/>
        <v>0</v>
      </c>
      <c r="K584" s="2">
        <v>0</v>
      </c>
      <c r="M584" s="2">
        <v>0</v>
      </c>
      <c r="N584" s="2">
        <v>0</v>
      </c>
      <c r="P584" s="2">
        <v>0</v>
      </c>
    </row>
    <row r="585" spans="1:16" ht="15.75" thickBot="1">
      <c r="A585" s="2" t="s">
        <v>849</v>
      </c>
      <c r="B585" s="9">
        <v>27</v>
      </c>
      <c r="C585" s="2" t="s">
        <v>1560</v>
      </c>
      <c r="D585" s="2" t="s">
        <v>279</v>
      </c>
      <c r="E585" s="2">
        <f>+IFERROR(VLOOKUP(A585,'2122'!$A$12:$C$389,2,),0)</f>
        <v>0</v>
      </c>
      <c r="F585" s="2">
        <v>0</v>
      </c>
      <c r="G585" s="2">
        <f t="shared" si="38"/>
        <v>0</v>
      </c>
      <c r="H585" s="2">
        <f>+IFERROR(VLOOKUP(A585,'2122'!$A$12:$C$389,3,),0)</f>
        <v>0</v>
      </c>
      <c r="I585" s="2">
        <v>0</v>
      </c>
      <c r="J585" s="2">
        <f t="shared" si="39"/>
        <v>0</v>
      </c>
      <c r="K585" s="2">
        <v>0</v>
      </c>
      <c r="M585" s="2">
        <v>0</v>
      </c>
      <c r="N585" s="2">
        <v>0</v>
      </c>
      <c r="P585" s="2">
        <v>0</v>
      </c>
    </row>
    <row r="586" spans="1:16" ht="15.75" thickBot="1">
      <c r="A586" s="2" t="s">
        <v>309</v>
      </c>
      <c r="B586" s="9">
        <v>13</v>
      </c>
      <c r="C586" s="2" t="s">
        <v>474</v>
      </c>
      <c r="D586" s="2" t="s">
        <v>475</v>
      </c>
      <c r="E586" s="2">
        <f>+IFERROR(VLOOKUP(A586,'2122'!$A$12:$C$389,2,),0)</f>
        <v>0</v>
      </c>
      <c r="F586" s="2">
        <v>0</v>
      </c>
      <c r="G586" s="2">
        <f t="shared" si="38"/>
        <v>0</v>
      </c>
      <c r="H586" s="2">
        <f>+IFERROR(VLOOKUP(A586,'2122'!$A$12:$C$389,3,),0)</f>
        <v>1218462</v>
      </c>
      <c r="I586" s="2">
        <v>0</v>
      </c>
      <c r="J586" s="2">
        <f t="shared" si="39"/>
        <v>1218462</v>
      </c>
      <c r="K586" s="2">
        <v>0</v>
      </c>
      <c r="M586" s="2">
        <v>0</v>
      </c>
      <c r="N586" s="2">
        <v>941222</v>
      </c>
      <c r="P586" s="2">
        <v>941222</v>
      </c>
    </row>
    <row r="587" spans="1:16" ht="15.75" thickBot="1">
      <c r="A587" s="2" t="s">
        <v>850</v>
      </c>
      <c r="B587" s="9">
        <v>17</v>
      </c>
      <c r="C587" s="2" t="s">
        <v>415</v>
      </c>
      <c r="D587" s="2" t="s">
        <v>416</v>
      </c>
      <c r="E587" s="2">
        <f>+IFERROR(VLOOKUP(A587,'2122'!$A$12:$C$389,2,),0)</f>
        <v>0</v>
      </c>
      <c r="F587" s="2">
        <v>0</v>
      </c>
      <c r="G587" s="2">
        <f t="shared" si="38"/>
        <v>0</v>
      </c>
      <c r="H587" s="2">
        <f>+IFERROR(VLOOKUP(A587,'2122'!$A$12:$C$389,3,),0)</f>
        <v>0</v>
      </c>
      <c r="I587" s="2">
        <v>0</v>
      </c>
      <c r="J587" s="2">
        <f t="shared" si="39"/>
        <v>0</v>
      </c>
      <c r="K587" s="2">
        <v>0</v>
      </c>
      <c r="M587" s="2">
        <v>0</v>
      </c>
      <c r="N587" s="2">
        <v>0</v>
      </c>
      <c r="P587" s="2">
        <v>0</v>
      </c>
    </row>
    <row r="588" spans="1:16" ht="15.75" thickBot="1">
      <c r="A588" s="2" t="s">
        <v>851</v>
      </c>
      <c r="B588" s="9">
        <v>9</v>
      </c>
      <c r="C588" s="2" t="s">
        <v>602</v>
      </c>
      <c r="D588" s="2" t="s">
        <v>450</v>
      </c>
      <c r="E588" s="2">
        <f>+IFERROR(VLOOKUP(A588,'2122'!$A$12:$C$389,2,),0)</f>
        <v>0</v>
      </c>
      <c r="F588" s="2">
        <v>0</v>
      </c>
      <c r="G588" s="2">
        <f t="shared" si="38"/>
        <v>0</v>
      </c>
      <c r="H588" s="2">
        <f>+IFERROR(VLOOKUP(A588,'2122'!$A$12:$C$389,3,),0)</f>
        <v>0</v>
      </c>
      <c r="I588" s="2">
        <v>0</v>
      </c>
      <c r="J588" s="2">
        <f t="shared" si="39"/>
        <v>0</v>
      </c>
      <c r="K588" s="2">
        <v>0</v>
      </c>
      <c r="M588" s="2">
        <v>0</v>
      </c>
      <c r="N588" s="2">
        <v>0</v>
      </c>
      <c r="P588" s="2">
        <v>0</v>
      </c>
    </row>
    <row r="589" spans="1:16" ht="15.75" thickBot="1">
      <c r="A589" s="2" t="s">
        <v>852</v>
      </c>
      <c r="B589" s="9">
        <v>17</v>
      </c>
      <c r="C589" s="2" t="s">
        <v>415</v>
      </c>
      <c r="D589" s="2" t="s">
        <v>415</v>
      </c>
      <c r="E589" s="2">
        <f>+IFERROR(VLOOKUP(A589,'2122'!$A$12:$C$389,2,),0)</f>
        <v>0</v>
      </c>
      <c r="F589" s="2">
        <v>0</v>
      </c>
      <c r="G589" s="2">
        <f t="shared" si="38"/>
        <v>0</v>
      </c>
      <c r="H589" s="2">
        <f>+IFERROR(VLOOKUP(A589,'2122'!$A$12:$C$389,3,),0)</f>
        <v>0</v>
      </c>
      <c r="I589" s="2">
        <v>0</v>
      </c>
      <c r="J589" s="2">
        <f t="shared" si="39"/>
        <v>0</v>
      </c>
      <c r="K589" s="2">
        <v>0</v>
      </c>
      <c r="M589" s="2">
        <v>0</v>
      </c>
      <c r="N589" s="2">
        <v>0</v>
      </c>
      <c r="P589" s="2">
        <v>0</v>
      </c>
    </row>
    <row r="590" spans="1:16" ht="15.75" thickBot="1">
      <c r="A590" s="2" t="s">
        <v>853</v>
      </c>
      <c r="B590" s="9">
        <v>13</v>
      </c>
      <c r="C590" s="2" t="s">
        <v>474</v>
      </c>
      <c r="D590" s="2" t="s">
        <v>475</v>
      </c>
      <c r="E590" s="2">
        <f>+IFERROR(VLOOKUP(A590,'2122'!$A$12:$C$389,2,),0)</f>
        <v>0</v>
      </c>
      <c r="F590" s="2">
        <v>0</v>
      </c>
      <c r="G590" s="2">
        <f t="shared" si="38"/>
        <v>0</v>
      </c>
      <c r="H590" s="2">
        <f>+IFERROR(VLOOKUP(A590,'2122'!$A$12:$C$389,3,),0)</f>
        <v>1895328</v>
      </c>
      <c r="I590" s="2">
        <v>0</v>
      </c>
      <c r="J590" s="2">
        <f t="shared" si="39"/>
        <v>1895328</v>
      </c>
      <c r="K590" s="2">
        <v>0</v>
      </c>
      <c r="M590" s="2">
        <v>0</v>
      </c>
      <c r="N590" s="2">
        <v>1764791</v>
      </c>
      <c r="P590" s="2">
        <v>1764791</v>
      </c>
    </row>
    <row r="591" spans="1:16" ht="15.75" thickBot="1">
      <c r="A591" s="2" t="s">
        <v>854</v>
      </c>
      <c r="B591" s="9">
        <v>17</v>
      </c>
      <c r="C591" s="2" t="s">
        <v>415</v>
      </c>
      <c r="D591" s="2" t="s">
        <v>415</v>
      </c>
      <c r="E591" s="2">
        <f>+IFERROR(VLOOKUP(A591,'2122'!$A$12:$C$389,2,),0)</f>
        <v>0</v>
      </c>
      <c r="F591" s="2">
        <v>0</v>
      </c>
      <c r="G591" s="2">
        <f t="shared" si="38"/>
        <v>0</v>
      </c>
      <c r="H591" s="2">
        <f>+IFERROR(VLOOKUP(A591,'2122'!$A$12:$C$389,3,),0)</f>
        <v>0</v>
      </c>
      <c r="I591" s="2">
        <v>0</v>
      </c>
      <c r="J591" s="2">
        <f t="shared" si="39"/>
        <v>0</v>
      </c>
      <c r="K591" s="2">
        <v>0</v>
      </c>
      <c r="M591" s="2">
        <v>0</v>
      </c>
      <c r="N591" s="2">
        <v>0</v>
      </c>
      <c r="P591" s="2">
        <v>0</v>
      </c>
    </row>
    <row r="592" spans="1:16" ht="15.75" thickBot="1">
      <c r="A592" s="2" t="s">
        <v>317</v>
      </c>
      <c r="C592" s="2" t="s">
        <v>524</v>
      </c>
      <c r="D592" s="2" t="s">
        <v>855</v>
      </c>
      <c r="E592" s="2">
        <f>+IFERROR(VLOOKUP(A592,'2122'!$A$12:$C$389,2,),0)</f>
        <v>0</v>
      </c>
      <c r="F592" s="2">
        <v>0</v>
      </c>
      <c r="G592" s="2">
        <f t="shared" si="38"/>
        <v>0</v>
      </c>
      <c r="H592" s="2">
        <f>+IFERROR(VLOOKUP(A592,'2122'!$A$12:$C$389,3,),0)</f>
        <v>8664946</v>
      </c>
      <c r="I592" s="2">
        <v>0</v>
      </c>
      <c r="J592" s="2">
        <f t="shared" si="39"/>
        <v>8664946</v>
      </c>
      <c r="K592" s="2">
        <v>0</v>
      </c>
      <c r="M592" s="2">
        <v>0</v>
      </c>
      <c r="N592" s="2">
        <v>8664946</v>
      </c>
      <c r="P592" s="2">
        <v>8664946</v>
      </c>
    </row>
    <row r="593" spans="1:16" ht="15.75" thickBot="1">
      <c r="A593" s="2" t="s">
        <v>318</v>
      </c>
      <c r="B593" s="9">
        <v>27</v>
      </c>
      <c r="C593" s="2" t="s">
        <v>1555</v>
      </c>
      <c r="D593" s="2" t="s">
        <v>318</v>
      </c>
      <c r="E593" s="2">
        <f>+IFERROR(VLOOKUP(A593,'2122'!$A$12:$C$389,2,),0)</f>
        <v>783594</v>
      </c>
      <c r="F593" s="2">
        <v>0</v>
      </c>
      <c r="G593" s="2">
        <f t="shared" si="38"/>
        <v>783594</v>
      </c>
      <c r="H593" s="2">
        <f>+IFERROR(VLOOKUP(A593,'2122'!$A$12:$C$389,3,),0)</f>
        <v>0</v>
      </c>
      <c r="I593" s="2">
        <v>0</v>
      </c>
      <c r="J593" s="2">
        <f t="shared" si="39"/>
        <v>0</v>
      </c>
      <c r="K593" s="2">
        <v>703243</v>
      </c>
      <c r="M593" s="2">
        <v>703243</v>
      </c>
      <c r="N593" s="2">
        <v>0</v>
      </c>
      <c r="P593" s="2">
        <v>0</v>
      </c>
    </row>
    <row r="594" spans="1:16" ht="15.75" thickBot="1">
      <c r="A594" s="2" t="s">
        <v>321</v>
      </c>
      <c r="B594" s="9">
        <v>21</v>
      </c>
      <c r="C594" s="2" t="s">
        <v>621</v>
      </c>
      <c r="D594" s="2" t="s">
        <v>622</v>
      </c>
      <c r="E594" s="2">
        <f>+IFERROR(VLOOKUP(A594,'2122'!$A$12:$C$389,2,),0)</f>
        <v>0</v>
      </c>
      <c r="F594" s="2">
        <v>0</v>
      </c>
      <c r="G594" s="2">
        <f t="shared" ref="G594:G657" si="42">+E594+F594</f>
        <v>0</v>
      </c>
      <c r="H594" s="2">
        <f>+IFERROR(VLOOKUP(A594,'2122'!$A$12:$C$389,3,),0)</f>
        <v>22958399.75</v>
      </c>
      <c r="I594" s="2">
        <v>0</v>
      </c>
      <c r="J594" s="2">
        <f t="shared" ref="J594:J657" si="43">+H594+I594</f>
        <v>22958399.75</v>
      </c>
      <c r="K594" s="2">
        <v>0</v>
      </c>
      <c r="M594" s="2">
        <v>0</v>
      </c>
      <c r="N594" s="2">
        <v>18748332</v>
      </c>
      <c r="P594" s="2">
        <v>18748332</v>
      </c>
    </row>
    <row r="595" spans="1:16" ht="15.75" thickBot="1">
      <c r="A595" s="2" t="s">
        <v>856</v>
      </c>
      <c r="B595" s="9">
        <v>19</v>
      </c>
      <c r="C595" s="2" t="s">
        <v>482</v>
      </c>
      <c r="D595" s="2" t="s">
        <v>531</v>
      </c>
      <c r="E595" s="2">
        <f>+IFERROR(VLOOKUP(A595,'2122'!$A$12:$C$389,2,),0)</f>
        <v>0</v>
      </c>
      <c r="F595" s="2">
        <v>0</v>
      </c>
      <c r="G595" s="2">
        <f t="shared" si="42"/>
        <v>0</v>
      </c>
      <c r="H595" s="2">
        <f>+IFERROR(VLOOKUP(A595,'2122'!$A$12:$C$389,3,),0)</f>
        <v>0</v>
      </c>
      <c r="I595" s="2">
        <v>0</v>
      </c>
      <c r="J595" s="2">
        <f t="shared" si="43"/>
        <v>0</v>
      </c>
      <c r="K595" s="2">
        <v>0</v>
      </c>
      <c r="M595" s="2">
        <v>0</v>
      </c>
      <c r="N595" s="2">
        <v>0</v>
      </c>
      <c r="P595" s="2">
        <v>0</v>
      </c>
    </row>
    <row r="596" spans="1:16" ht="15.75" thickBot="1">
      <c r="A596" s="2" t="s">
        <v>857</v>
      </c>
      <c r="B596" s="9">
        <v>19</v>
      </c>
      <c r="C596" s="2" t="s">
        <v>482</v>
      </c>
      <c r="D596" s="2" t="s">
        <v>531</v>
      </c>
      <c r="E596" s="2">
        <f>+IFERROR(VLOOKUP(A596,'2122'!$A$12:$C$389,2,),0)</f>
        <v>0</v>
      </c>
      <c r="F596" s="2">
        <v>0</v>
      </c>
      <c r="G596" s="2">
        <f t="shared" si="42"/>
        <v>0</v>
      </c>
      <c r="H596" s="2">
        <f>+IFERROR(VLOOKUP(A596,'2122'!$A$12:$C$389,3,),0)</f>
        <v>0</v>
      </c>
      <c r="I596" s="2">
        <v>0</v>
      </c>
      <c r="J596" s="2">
        <f t="shared" si="43"/>
        <v>0</v>
      </c>
      <c r="K596" s="2">
        <v>0</v>
      </c>
      <c r="M596" s="2">
        <v>0</v>
      </c>
      <c r="N596" s="2">
        <v>0</v>
      </c>
      <c r="P596" s="2">
        <v>0</v>
      </c>
    </row>
    <row r="597" spans="1:16" ht="15.75" thickBot="1">
      <c r="A597" s="2" t="s">
        <v>858</v>
      </c>
      <c r="B597" s="9">
        <v>19</v>
      </c>
      <c r="C597" s="2" t="s">
        <v>482</v>
      </c>
      <c r="D597" s="2" t="s">
        <v>531</v>
      </c>
      <c r="E597" s="2">
        <f>+IFERROR(VLOOKUP(A597,'2122'!$A$12:$C$389,2,),0)</f>
        <v>0</v>
      </c>
      <c r="F597" s="2">
        <v>0</v>
      </c>
      <c r="G597" s="2">
        <f t="shared" si="42"/>
        <v>0</v>
      </c>
      <c r="H597" s="2">
        <f>+IFERROR(VLOOKUP(A597,'2122'!$A$12:$C$389,3,),0)</f>
        <v>0</v>
      </c>
      <c r="I597" s="2">
        <v>0</v>
      </c>
      <c r="J597" s="2">
        <f t="shared" si="43"/>
        <v>0</v>
      </c>
      <c r="K597" s="2">
        <v>0</v>
      </c>
      <c r="M597" s="2">
        <v>0</v>
      </c>
      <c r="N597" s="2">
        <v>0</v>
      </c>
      <c r="P597" s="2">
        <v>0</v>
      </c>
    </row>
    <row r="598" spans="1:16" ht="15.75" thickBot="1">
      <c r="A598" s="2" t="s">
        <v>859</v>
      </c>
      <c r="B598" s="9">
        <v>19</v>
      </c>
      <c r="C598" s="2" t="s">
        <v>482</v>
      </c>
      <c r="D598" s="2" t="s">
        <v>531</v>
      </c>
      <c r="E598" s="2">
        <f>+IFERROR(VLOOKUP(A598,'2122'!$A$12:$C$389,2,),0)</f>
        <v>0</v>
      </c>
      <c r="F598" s="2">
        <v>0</v>
      </c>
      <c r="G598" s="2">
        <f t="shared" si="42"/>
        <v>0</v>
      </c>
      <c r="H598" s="2">
        <f>+IFERROR(VLOOKUP(A598,'2122'!$A$12:$C$389,3,),0)</f>
        <v>0</v>
      </c>
      <c r="I598" s="2">
        <v>0</v>
      </c>
      <c r="J598" s="2">
        <f t="shared" si="43"/>
        <v>0</v>
      </c>
      <c r="K598" s="2">
        <v>0</v>
      </c>
      <c r="M598" s="2">
        <v>0</v>
      </c>
      <c r="N598" s="2">
        <v>0</v>
      </c>
      <c r="P598" s="2">
        <v>0</v>
      </c>
    </row>
    <row r="599" spans="1:16" ht="15.75" thickBot="1">
      <c r="A599" s="2" t="s">
        <v>860</v>
      </c>
      <c r="B599" s="9">
        <v>17</v>
      </c>
      <c r="C599" s="2" t="s">
        <v>415</v>
      </c>
      <c r="D599" s="2" t="s">
        <v>415</v>
      </c>
      <c r="E599" s="2">
        <f>+IFERROR(VLOOKUP(A599,'2122'!$A$12:$C$389,2,),0)</f>
        <v>0</v>
      </c>
      <c r="F599" s="2">
        <v>0</v>
      </c>
      <c r="G599" s="2">
        <f t="shared" si="42"/>
        <v>0</v>
      </c>
      <c r="H599" s="2">
        <f>+IFERROR(VLOOKUP(A599,'2122'!$A$12:$C$389,3,),0)</f>
        <v>0</v>
      </c>
      <c r="I599" s="2">
        <v>0</v>
      </c>
      <c r="J599" s="2">
        <f t="shared" si="43"/>
        <v>0</v>
      </c>
      <c r="K599" s="2">
        <v>0</v>
      </c>
      <c r="M599" s="2">
        <v>0</v>
      </c>
      <c r="N599" s="2">
        <v>0</v>
      </c>
      <c r="P599" s="2">
        <v>0</v>
      </c>
    </row>
    <row r="600" spans="1:16" ht="15.75" thickBot="1">
      <c r="A600" s="2" t="s">
        <v>861</v>
      </c>
      <c r="B600" s="9">
        <v>9</v>
      </c>
      <c r="C600" s="2" t="s">
        <v>602</v>
      </c>
      <c r="D600" s="2" t="s">
        <v>450</v>
      </c>
      <c r="E600" s="2">
        <f>+IFERROR(VLOOKUP(A600,'2122'!$A$12:$C$389,2,),0)</f>
        <v>0</v>
      </c>
      <c r="F600" s="2">
        <v>0</v>
      </c>
      <c r="G600" s="2">
        <f t="shared" si="42"/>
        <v>0</v>
      </c>
      <c r="H600" s="2">
        <f>+IFERROR(VLOOKUP(A600,'2122'!$A$12:$C$389,3,),0)</f>
        <v>0</v>
      </c>
      <c r="I600" s="2">
        <v>0</v>
      </c>
      <c r="J600" s="2">
        <f t="shared" si="43"/>
        <v>0</v>
      </c>
      <c r="K600" s="2">
        <v>0</v>
      </c>
      <c r="M600" s="2">
        <v>0</v>
      </c>
      <c r="N600" s="2">
        <v>0</v>
      </c>
      <c r="P600" s="2">
        <v>0</v>
      </c>
    </row>
    <row r="601" spans="1:16" ht="15.75" thickBot="1">
      <c r="A601" s="2" t="s">
        <v>862</v>
      </c>
      <c r="B601" s="9">
        <v>17</v>
      </c>
      <c r="C601" s="2" t="s">
        <v>415</v>
      </c>
      <c r="D601" s="2" t="s">
        <v>415</v>
      </c>
      <c r="E601" s="2">
        <f>+IFERROR(VLOOKUP(A601,'2122'!$A$12:$C$389,2,),0)</f>
        <v>0</v>
      </c>
      <c r="F601" s="2">
        <v>0</v>
      </c>
      <c r="G601" s="2">
        <f t="shared" si="42"/>
        <v>0</v>
      </c>
      <c r="H601" s="2">
        <f>+IFERROR(VLOOKUP(A601,'2122'!$A$12:$C$389,3,),0)</f>
        <v>0</v>
      </c>
      <c r="I601" s="2">
        <v>0</v>
      </c>
      <c r="J601" s="2">
        <f t="shared" si="43"/>
        <v>0</v>
      </c>
      <c r="K601" s="2">
        <v>0</v>
      </c>
      <c r="M601" s="2">
        <v>0</v>
      </c>
      <c r="N601" s="2">
        <v>0</v>
      </c>
      <c r="P601" s="2">
        <v>0</v>
      </c>
    </row>
    <row r="602" spans="1:16" ht="15.75" thickBot="1">
      <c r="A602" s="2" t="s">
        <v>328</v>
      </c>
      <c r="B602" s="9">
        <v>6</v>
      </c>
      <c r="C602" s="2" t="s">
        <v>1074</v>
      </c>
      <c r="D602" s="2" t="s">
        <v>423</v>
      </c>
      <c r="E602" s="2">
        <f>+IFERROR(VLOOKUP(A602,'2122'!$A$12:$C$389,2,),0)</f>
        <v>1020644</v>
      </c>
      <c r="F602" s="2">
        <v>0</v>
      </c>
      <c r="G602" s="2">
        <f t="shared" si="42"/>
        <v>1020644</v>
      </c>
      <c r="H602" s="2">
        <f>+IFERROR(VLOOKUP(A602,'2122'!$A$12:$C$389,3,),0)</f>
        <v>0</v>
      </c>
      <c r="I602" s="2">
        <v>0</v>
      </c>
      <c r="J602" s="2">
        <f t="shared" si="43"/>
        <v>0</v>
      </c>
      <c r="K602" s="2">
        <v>0</v>
      </c>
      <c r="M602" s="2">
        <v>0</v>
      </c>
      <c r="N602" s="2">
        <v>0</v>
      </c>
      <c r="P602" s="2">
        <v>0</v>
      </c>
    </row>
    <row r="603" spans="1:16" ht="15.75" thickBot="1">
      <c r="A603" s="2" t="s">
        <v>863</v>
      </c>
      <c r="B603" s="9">
        <v>6</v>
      </c>
      <c r="C603" s="2" t="s">
        <v>1074</v>
      </c>
      <c r="D603" s="2" t="s">
        <v>423</v>
      </c>
      <c r="E603" s="2">
        <f>+IFERROR(VLOOKUP(A603,'2122'!$A$12:$C$389,2,),0)</f>
        <v>0</v>
      </c>
      <c r="F603" s="2">
        <v>0</v>
      </c>
      <c r="G603" s="2">
        <f t="shared" si="42"/>
        <v>0</v>
      </c>
      <c r="H603" s="2">
        <f>+IFERROR(VLOOKUP(A603,'2122'!$A$12:$C$389,3,),0)</f>
        <v>0</v>
      </c>
      <c r="I603" s="2">
        <v>0</v>
      </c>
      <c r="J603" s="2">
        <f t="shared" si="43"/>
        <v>0</v>
      </c>
      <c r="K603" s="2">
        <v>29993</v>
      </c>
      <c r="M603" s="2">
        <v>29993</v>
      </c>
      <c r="N603" s="2">
        <v>0</v>
      </c>
      <c r="P603" s="2">
        <v>0</v>
      </c>
    </row>
    <row r="604" spans="1:16" ht="15.75" thickBot="1">
      <c r="A604" s="2" t="s">
        <v>864</v>
      </c>
      <c r="B604" s="9">
        <v>17</v>
      </c>
      <c r="C604" s="2" t="s">
        <v>415</v>
      </c>
      <c r="D604" s="2" t="s">
        <v>416</v>
      </c>
      <c r="E604" s="2">
        <f>+IFERROR(VLOOKUP(A604,'2122'!$A$12:$C$389,2,),0)</f>
        <v>0</v>
      </c>
      <c r="F604" s="2">
        <v>0</v>
      </c>
      <c r="G604" s="2">
        <f t="shared" si="42"/>
        <v>0</v>
      </c>
      <c r="H604" s="2">
        <f>+IFERROR(VLOOKUP(A604,'2122'!$A$12:$C$389,3,),0)</f>
        <v>0</v>
      </c>
      <c r="I604" s="2">
        <v>0</v>
      </c>
      <c r="J604" s="2">
        <f t="shared" si="43"/>
        <v>0</v>
      </c>
      <c r="K604" s="2">
        <v>0</v>
      </c>
      <c r="M604" s="2">
        <v>0</v>
      </c>
      <c r="N604" s="2">
        <v>0</v>
      </c>
      <c r="P604" s="2">
        <v>0</v>
      </c>
    </row>
    <row r="605" spans="1:16" ht="15.75" thickBot="1">
      <c r="A605" s="2" t="s">
        <v>865</v>
      </c>
      <c r="B605" s="9">
        <v>17</v>
      </c>
      <c r="C605" s="2" t="s">
        <v>415</v>
      </c>
      <c r="D605" s="2" t="s">
        <v>416</v>
      </c>
      <c r="E605" s="2">
        <f>+IFERROR(VLOOKUP(A605,'2122'!$A$12:$C$389,2,),0)</f>
        <v>0</v>
      </c>
      <c r="F605" s="2">
        <v>0</v>
      </c>
      <c r="G605" s="2">
        <f t="shared" si="42"/>
        <v>0</v>
      </c>
      <c r="H605" s="2">
        <f>+IFERROR(VLOOKUP(A605,'2122'!$A$12:$C$389,3,),0)</f>
        <v>0</v>
      </c>
      <c r="I605" s="2">
        <v>0</v>
      </c>
      <c r="J605" s="2">
        <f t="shared" si="43"/>
        <v>0</v>
      </c>
      <c r="K605" s="2">
        <v>0</v>
      </c>
      <c r="M605" s="2">
        <v>0</v>
      </c>
      <c r="N605" s="2">
        <v>0</v>
      </c>
      <c r="P605" s="2">
        <v>0</v>
      </c>
    </row>
    <row r="606" spans="1:16" ht="15.75" thickBot="1">
      <c r="A606" s="2" t="s">
        <v>866</v>
      </c>
      <c r="B606" s="9">
        <v>17</v>
      </c>
      <c r="C606" s="2" t="s">
        <v>415</v>
      </c>
      <c r="D606" s="2" t="s">
        <v>415</v>
      </c>
      <c r="E606" s="2">
        <f>+IFERROR(VLOOKUP(A606,'2122'!$A$12:$C$389,2,),0)</f>
        <v>0</v>
      </c>
      <c r="F606" s="2">
        <v>0</v>
      </c>
      <c r="G606" s="2">
        <f t="shared" si="42"/>
        <v>0</v>
      </c>
      <c r="H606" s="2">
        <f>+IFERROR(VLOOKUP(A606,'2122'!$A$12:$C$389,3,),0)</f>
        <v>0</v>
      </c>
      <c r="I606" s="2">
        <v>0</v>
      </c>
      <c r="J606" s="2">
        <f t="shared" si="43"/>
        <v>0</v>
      </c>
      <c r="K606" s="2">
        <v>0</v>
      </c>
      <c r="M606" s="2">
        <v>0</v>
      </c>
      <c r="N606" s="2">
        <v>0</v>
      </c>
      <c r="P606" s="2">
        <v>0</v>
      </c>
    </row>
    <row r="607" spans="1:16" ht="15.75" thickBot="1">
      <c r="A607" s="2" t="s">
        <v>867</v>
      </c>
      <c r="B607" s="9">
        <v>17</v>
      </c>
      <c r="C607" s="2" t="s">
        <v>415</v>
      </c>
      <c r="D607" s="2" t="s">
        <v>415</v>
      </c>
      <c r="E607" s="2">
        <f>+IFERROR(VLOOKUP(A607,'2122'!$A$12:$C$389,2,),0)</f>
        <v>0</v>
      </c>
      <c r="F607" s="2">
        <v>0</v>
      </c>
      <c r="G607" s="2">
        <f t="shared" si="42"/>
        <v>0</v>
      </c>
      <c r="H607" s="2">
        <f>+IFERROR(VLOOKUP(A607,'2122'!$A$12:$C$389,3,),0)</f>
        <v>0</v>
      </c>
      <c r="I607" s="2">
        <v>0</v>
      </c>
      <c r="J607" s="2">
        <f t="shared" si="43"/>
        <v>0</v>
      </c>
      <c r="K607" s="2">
        <v>0</v>
      </c>
      <c r="M607" s="2">
        <v>0</v>
      </c>
      <c r="N607" s="2">
        <v>0</v>
      </c>
      <c r="P607" s="2">
        <v>0</v>
      </c>
    </row>
    <row r="608" spans="1:16" ht="15.75" thickBot="1">
      <c r="A608" s="2" t="s">
        <v>868</v>
      </c>
      <c r="B608" s="9">
        <v>27</v>
      </c>
      <c r="C608" s="2" t="s">
        <v>1560</v>
      </c>
      <c r="D608" s="2" t="s">
        <v>1312</v>
      </c>
      <c r="E608" s="2">
        <f>+IFERROR(VLOOKUP(A608,'2122'!$A$12:$C$389,2,),0)</f>
        <v>0</v>
      </c>
      <c r="F608" s="2">
        <v>0</v>
      </c>
      <c r="G608" s="2">
        <f t="shared" si="42"/>
        <v>0</v>
      </c>
      <c r="H608" s="2">
        <f>+IFERROR(VLOOKUP(A608,'2122'!$A$12:$C$389,3,),0)</f>
        <v>0</v>
      </c>
      <c r="I608" s="2">
        <v>0</v>
      </c>
      <c r="J608" s="2">
        <f t="shared" si="43"/>
        <v>0</v>
      </c>
      <c r="K608" s="2">
        <v>0</v>
      </c>
      <c r="M608" s="2">
        <v>0</v>
      </c>
      <c r="N608" s="2">
        <v>0</v>
      </c>
      <c r="P608" s="2">
        <v>0</v>
      </c>
    </row>
    <row r="609" spans="1:16" ht="15.75" thickBot="1">
      <c r="A609" s="2" t="s">
        <v>869</v>
      </c>
      <c r="B609" s="9">
        <v>25</v>
      </c>
      <c r="C609" s="2" t="s">
        <v>619</v>
      </c>
      <c r="D609" s="2" t="s">
        <v>620</v>
      </c>
      <c r="E609" s="2">
        <f>+IFERROR(VLOOKUP(A609,'2122'!$A$12:$C$389,2,),0)</f>
        <v>0</v>
      </c>
      <c r="F609" s="2">
        <v>0</v>
      </c>
      <c r="G609" s="2">
        <f t="shared" si="42"/>
        <v>0</v>
      </c>
      <c r="H609" s="2">
        <f>+IFERROR(VLOOKUP(A609,'2122'!$A$12:$C$389,3,),0)</f>
        <v>0</v>
      </c>
      <c r="I609" s="2">
        <v>0</v>
      </c>
      <c r="J609" s="2">
        <f t="shared" si="43"/>
        <v>0</v>
      </c>
      <c r="K609" s="2">
        <v>59270</v>
      </c>
      <c r="M609" s="2">
        <v>59270</v>
      </c>
      <c r="N609" s="2">
        <v>0</v>
      </c>
      <c r="P609" s="2">
        <v>0</v>
      </c>
    </row>
    <row r="610" spans="1:16" ht="15.75" thickBot="1">
      <c r="A610" s="2" t="s">
        <v>331</v>
      </c>
      <c r="B610" s="9">
        <v>6</v>
      </c>
      <c r="C610" s="2" t="s">
        <v>1074</v>
      </c>
      <c r="D610" s="2" t="s">
        <v>423</v>
      </c>
      <c r="E610" s="2">
        <f>+IFERROR(VLOOKUP(A610,'2122'!$A$12:$C$389,2,),0)</f>
        <v>5205371</v>
      </c>
      <c r="F610" s="2">
        <v>0</v>
      </c>
      <c r="G610" s="2">
        <f t="shared" si="42"/>
        <v>5205371</v>
      </c>
      <c r="H610" s="2">
        <f>+IFERROR(VLOOKUP(A610,'2122'!$A$12:$C$389,3,),0)</f>
        <v>0</v>
      </c>
      <c r="I610" s="2">
        <v>0</v>
      </c>
      <c r="J610" s="2">
        <f t="shared" si="43"/>
        <v>0</v>
      </c>
      <c r="K610" s="2">
        <v>2856394</v>
      </c>
      <c r="M610" s="2">
        <v>2856394</v>
      </c>
      <c r="N610" s="2">
        <v>0</v>
      </c>
      <c r="P610" s="2">
        <v>0</v>
      </c>
    </row>
    <row r="611" spans="1:16" ht="15.75" thickBot="1">
      <c r="A611" s="2" t="s">
        <v>332</v>
      </c>
      <c r="B611" s="9">
        <v>6</v>
      </c>
      <c r="C611" s="2" t="s">
        <v>1074</v>
      </c>
      <c r="D611" s="2" t="s">
        <v>423</v>
      </c>
      <c r="E611" s="2">
        <f>+IFERROR(VLOOKUP(A611,'2122'!$A$12:$C$389,2,),0)</f>
        <v>557086</v>
      </c>
      <c r="F611" s="2">
        <v>0</v>
      </c>
      <c r="G611" s="2">
        <f t="shared" si="42"/>
        <v>557086</v>
      </c>
      <c r="H611" s="2">
        <f>+IFERROR(VLOOKUP(A611,'2122'!$A$12:$C$389,3,),0)</f>
        <v>0</v>
      </c>
      <c r="I611" s="2">
        <v>0</v>
      </c>
      <c r="J611" s="2">
        <f t="shared" si="43"/>
        <v>0</v>
      </c>
      <c r="K611" s="2">
        <v>168822</v>
      </c>
      <c r="M611" s="2">
        <v>168822</v>
      </c>
      <c r="N611" s="2">
        <v>0</v>
      </c>
      <c r="P611" s="2">
        <v>0</v>
      </c>
    </row>
    <row r="612" spans="1:16" ht="15.75" thickBot="1">
      <c r="A612" s="2" t="s">
        <v>870</v>
      </c>
      <c r="B612" s="9">
        <v>17</v>
      </c>
      <c r="C612" s="2" t="s">
        <v>415</v>
      </c>
      <c r="D612" s="2" t="s">
        <v>415</v>
      </c>
      <c r="E612" s="2">
        <f>+IFERROR(VLOOKUP(A612,'2122'!$A$12:$C$389,2,),0)</f>
        <v>0</v>
      </c>
      <c r="F612" s="2">
        <v>0</v>
      </c>
      <c r="G612" s="2">
        <f t="shared" si="42"/>
        <v>0</v>
      </c>
      <c r="H612" s="2">
        <f>+IFERROR(VLOOKUP(A612,'2122'!$A$12:$C$389,3,),0)</f>
        <v>0</v>
      </c>
      <c r="I612" s="2">
        <v>0</v>
      </c>
      <c r="J612" s="2">
        <f t="shared" si="43"/>
        <v>0</v>
      </c>
      <c r="K612" s="2">
        <v>0</v>
      </c>
      <c r="M612" s="2">
        <v>0</v>
      </c>
      <c r="N612" s="2">
        <v>19308</v>
      </c>
      <c r="P612" s="2">
        <v>19308</v>
      </c>
    </row>
    <row r="613" spans="1:16" ht="15.75" thickBot="1">
      <c r="A613" s="2" t="s">
        <v>333</v>
      </c>
      <c r="B613" s="9">
        <v>17</v>
      </c>
      <c r="C613" s="2" t="s">
        <v>415</v>
      </c>
      <c r="D613" s="2" t="s">
        <v>415</v>
      </c>
      <c r="E613" s="2">
        <f>+IFERROR(VLOOKUP(A613,'2122'!$A$12:$C$389,2,),0)</f>
        <v>0</v>
      </c>
      <c r="F613" s="2">
        <v>0</v>
      </c>
      <c r="G613" s="2">
        <f t="shared" si="42"/>
        <v>0</v>
      </c>
      <c r="H613" s="2">
        <f>+IFERROR(VLOOKUP(A613,'2122'!$A$12:$C$389,3,),0)</f>
        <v>5633372.7000000002</v>
      </c>
      <c r="I613" s="2">
        <v>0</v>
      </c>
      <c r="J613" s="2">
        <f t="shared" si="43"/>
        <v>5633372.7000000002</v>
      </c>
      <c r="K613" s="2">
        <v>0</v>
      </c>
      <c r="M613" s="2">
        <v>0</v>
      </c>
      <c r="N613" s="2">
        <v>586169</v>
      </c>
      <c r="P613" s="2">
        <v>586169</v>
      </c>
    </row>
    <row r="614" spans="1:16" ht="15.75" thickBot="1">
      <c r="A614" s="2" t="s">
        <v>871</v>
      </c>
      <c r="B614" s="9">
        <v>6</v>
      </c>
      <c r="C614" s="2" t="s">
        <v>1074</v>
      </c>
      <c r="D614" s="2" t="s">
        <v>423</v>
      </c>
      <c r="E614" s="2">
        <f>+IFERROR(VLOOKUP(A614,'2122'!$A$12:$C$389,2,),0)</f>
        <v>0</v>
      </c>
      <c r="F614" s="2">
        <v>0</v>
      </c>
      <c r="G614" s="2">
        <f t="shared" si="42"/>
        <v>0</v>
      </c>
      <c r="H614" s="2">
        <f>+IFERROR(VLOOKUP(A614,'2122'!$A$12:$C$389,3,),0)</f>
        <v>0</v>
      </c>
      <c r="I614" s="2">
        <v>0</v>
      </c>
      <c r="J614" s="2">
        <f t="shared" si="43"/>
        <v>0</v>
      </c>
      <c r="K614" s="2">
        <v>0</v>
      </c>
      <c r="M614" s="2">
        <v>0</v>
      </c>
      <c r="N614" s="2">
        <v>0</v>
      </c>
      <c r="P614" s="2">
        <v>0</v>
      </c>
    </row>
    <row r="615" spans="1:16" ht="15.75" thickBot="1">
      <c r="A615" s="2" t="s">
        <v>872</v>
      </c>
      <c r="B615" s="9">
        <v>6</v>
      </c>
      <c r="C615" s="2" t="s">
        <v>1074</v>
      </c>
      <c r="D615" s="2" t="s">
        <v>423</v>
      </c>
      <c r="E615" s="2">
        <f>+IFERROR(VLOOKUP(A615,'2122'!$A$12:$C$389,2,),0)</f>
        <v>0</v>
      </c>
      <c r="F615" s="2">
        <v>0</v>
      </c>
      <c r="G615" s="2">
        <f t="shared" si="42"/>
        <v>0</v>
      </c>
      <c r="H615" s="2">
        <f>+IFERROR(VLOOKUP(A615,'2122'!$A$12:$C$389,3,),0)</f>
        <v>0</v>
      </c>
      <c r="I615" s="2">
        <v>0</v>
      </c>
      <c r="J615" s="2">
        <f t="shared" si="43"/>
        <v>0</v>
      </c>
      <c r="K615" s="2">
        <v>511714</v>
      </c>
      <c r="M615" s="2">
        <v>511714</v>
      </c>
      <c r="N615" s="2">
        <v>0</v>
      </c>
      <c r="P615" s="2">
        <v>0</v>
      </c>
    </row>
    <row r="616" spans="1:16" ht="15.75" thickBot="1">
      <c r="A616" s="2" t="s">
        <v>873</v>
      </c>
      <c r="B616" s="9">
        <v>6</v>
      </c>
      <c r="C616" s="2" t="s">
        <v>1074</v>
      </c>
      <c r="D616" s="2" t="s">
        <v>423</v>
      </c>
      <c r="E616" s="2">
        <f>+IFERROR(VLOOKUP(A616,'2122'!$A$12:$C$389,2,),0)</f>
        <v>0</v>
      </c>
      <c r="F616" s="2">
        <v>0</v>
      </c>
      <c r="G616" s="2">
        <f t="shared" si="42"/>
        <v>0</v>
      </c>
      <c r="H616" s="2">
        <f>+IFERROR(VLOOKUP(A616,'2122'!$A$12:$C$389,3,),0)</f>
        <v>0</v>
      </c>
      <c r="I616" s="2">
        <v>0</v>
      </c>
      <c r="J616" s="2">
        <f t="shared" si="43"/>
        <v>0</v>
      </c>
      <c r="K616" s="2">
        <v>885649</v>
      </c>
      <c r="M616" s="2">
        <v>885649</v>
      </c>
      <c r="N616" s="2">
        <v>0</v>
      </c>
      <c r="P616" s="2">
        <v>0</v>
      </c>
    </row>
    <row r="617" spans="1:16" ht="15.75" thickBot="1">
      <c r="A617" s="2" t="s">
        <v>336</v>
      </c>
      <c r="B617" s="9">
        <v>17</v>
      </c>
      <c r="C617" s="2" t="s">
        <v>415</v>
      </c>
      <c r="D617" s="2" t="s">
        <v>415</v>
      </c>
      <c r="E617" s="2">
        <f>+IFERROR(VLOOKUP(A617,'2122'!$A$12:$C$389,2,),0)</f>
        <v>0</v>
      </c>
      <c r="F617" s="2">
        <v>0</v>
      </c>
      <c r="G617" s="2">
        <f t="shared" si="42"/>
        <v>0</v>
      </c>
      <c r="H617" s="2">
        <f>+IFERROR(VLOOKUP(A617,'2122'!$A$12:$C$389,3,),0)</f>
        <v>198137</v>
      </c>
      <c r="I617" s="2">
        <v>0</v>
      </c>
      <c r="J617" s="2">
        <f t="shared" si="43"/>
        <v>198137</v>
      </c>
      <c r="K617" s="2">
        <v>0</v>
      </c>
      <c r="M617" s="2">
        <v>0</v>
      </c>
      <c r="N617" s="2">
        <v>134747</v>
      </c>
      <c r="P617" s="2">
        <v>134747</v>
      </c>
    </row>
    <row r="618" spans="1:16" ht="15.75" thickBot="1">
      <c r="A618" s="2" t="s">
        <v>338</v>
      </c>
      <c r="B618" s="9">
        <v>27</v>
      </c>
      <c r="C618" s="2" t="s">
        <v>1560</v>
      </c>
      <c r="D618" s="2" t="s">
        <v>1312</v>
      </c>
      <c r="E618" s="2">
        <f>+IFERROR(VLOOKUP(A618,'2122'!$A$12:$C$389,2,),0)</f>
        <v>10980</v>
      </c>
      <c r="F618" s="2">
        <v>0</v>
      </c>
      <c r="G618" s="2">
        <f t="shared" si="42"/>
        <v>10980</v>
      </c>
      <c r="H618" s="2">
        <f>+IFERROR(VLOOKUP(A618,'2122'!$A$12:$C$389,3,),0)</f>
        <v>0</v>
      </c>
      <c r="I618" s="2">
        <v>0</v>
      </c>
      <c r="J618" s="2">
        <f t="shared" si="43"/>
        <v>0</v>
      </c>
      <c r="K618" s="2">
        <v>55555</v>
      </c>
      <c r="M618" s="2">
        <v>55555</v>
      </c>
      <c r="N618" s="2">
        <v>0</v>
      </c>
      <c r="P618" s="2">
        <v>0</v>
      </c>
    </row>
    <row r="619" spans="1:16" ht="15.75" thickBot="1">
      <c r="A619" s="2" t="s">
        <v>339</v>
      </c>
      <c r="B619" s="9">
        <v>21</v>
      </c>
      <c r="C619" s="2" t="s">
        <v>621</v>
      </c>
      <c r="D619" s="2" t="s">
        <v>622</v>
      </c>
      <c r="E619" s="2">
        <f>+IFERROR(VLOOKUP(A619,'2122'!$A$12:$C$389,2,),0)</f>
        <v>3229</v>
      </c>
      <c r="F619" s="2">
        <v>0</v>
      </c>
      <c r="G619" s="2">
        <f t="shared" si="42"/>
        <v>3229</v>
      </c>
      <c r="H619" s="2">
        <f>+IFERROR(VLOOKUP(A619,'2122'!$A$12:$C$389,3,),0)</f>
        <v>0</v>
      </c>
      <c r="I619" s="2">
        <v>0</v>
      </c>
      <c r="J619" s="2">
        <f t="shared" si="43"/>
        <v>0</v>
      </c>
      <c r="K619" s="2">
        <v>26467</v>
      </c>
      <c r="M619" s="2">
        <v>26467</v>
      </c>
      <c r="N619" s="2">
        <v>0</v>
      </c>
      <c r="P619" s="2">
        <v>0</v>
      </c>
    </row>
    <row r="620" spans="1:16" ht="15.75" thickBot="1">
      <c r="A620" s="2" t="s">
        <v>340</v>
      </c>
      <c r="B620" s="9">
        <v>13</v>
      </c>
      <c r="C620" s="2" t="s">
        <v>474</v>
      </c>
      <c r="D620" s="2" t="s">
        <v>475</v>
      </c>
      <c r="E620" s="2">
        <f>+IFERROR(VLOOKUP(A620,'2122'!$A$12:$C$389,2,),0)</f>
        <v>0</v>
      </c>
      <c r="F620" s="2">
        <v>0</v>
      </c>
      <c r="G620" s="2">
        <f t="shared" si="42"/>
        <v>0</v>
      </c>
      <c r="H620" s="2">
        <f>+IFERROR(VLOOKUP(A620,'2122'!$A$12:$C$389,3,),0)</f>
        <v>3072538</v>
      </c>
      <c r="I620" s="2">
        <v>0</v>
      </c>
      <c r="J620" s="2">
        <f t="shared" si="43"/>
        <v>3072538</v>
      </c>
      <c r="K620" s="2">
        <v>0</v>
      </c>
      <c r="M620" s="2">
        <v>0</v>
      </c>
      <c r="N620" s="2">
        <v>1882446</v>
      </c>
      <c r="P620" s="2">
        <v>1882446</v>
      </c>
    </row>
    <row r="621" spans="1:16" ht="15.75" thickBot="1">
      <c r="A621" s="2" t="s">
        <v>874</v>
      </c>
      <c r="B621" s="9">
        <v>17</v>
      </c>
      <c r="C621" s="2" t="s">
        <v>415</v>
      </c>
      <c r="D621" s="2" t="s">
        <v>415</v>
      </c>
      <c r="E621" s="2">
        <f>+IFERROR(VLOOKUP(A621,'2122'!$A$12:$C$389,2,),0)</f>
        <v>0</v>
      </c>
      <c r="F621" s="2">
        <v>0</v>
      </c>
      <c r="G621" s="2">
        <f t="shared" si="42"/>
        <v>0</v>
      </c>
      <c r="H621" s="2">
        <f>+IFERROR(VLOOKUP(A621,'2122'!$A$12:$C$389,3,),0)</f>
        <v>0</v>
      </c>
      <c r="I621" s="2">
        <v>0</v>
      </c>
      <c r="J621" s="2">
        <f t="shared" si="43"/>
        <v>0</v>
      </c>
      <c r="K621" s="2">
        <v>0</v>
      </c>
      <c r="M621" s="2">
        <v>0</v>
      </c>
      <c r="N621" s="2">
        <v>31436</v>
      </c>
      <c r="P621" s="2">
        <v>31436</v>
      </c>
    </row>
    <row r="622" spans="1:16" ht="15.75" thickBot="1">
      <c r="A622" s="2" t="s">
        <v>875</v>
      </c>
      <c r="B622" s="9">
        <v>6</v>
      </c>
      <c r="C622" s="2" t="s">
        <v>1074</v>
      </c>
      <c r="D622" s="2" t="s">
        <v>423</v>
      </c>
      <c r="E622" s="2">
        <f>+IFERROR(VLOOKUP(A622,'2122'!$A$12:$C$389,2,),0)</f>
        <v>0</v>
      </c>
      <c r="F622" s="2">
        <v>0</v>
      </c>
      <c r="G622" s="2">
        <f t="shared" si="42"/>
        <v>0</v>
      </c>
      <c r="H622" s="2">
        <f>+IFERROR(VLOOKUP(A622,'2122'!$A$12:$C$389,3,),0)</f>
        <v>0</v>
      </c>
      <c r="I622" s="2">
        <v>0</v>
      </c>
      <c r="J622" s="2">
        <f t="shared" si="43"/>
        <v>0</v>
      </c>
      <c r="K622" s="2">
        <v>0</v>
      </c>
      <c r="M622" s="2">
        <v>0</v>
      </c>
      <c r="N622" s="2">
        <v>0</v>
      </c>
      <c r="P622" s="2">
        <v>0</v>
      </c>
    </row>
    <row r="623" spans="1:16" ht="15.75" thickBot="1">
      <c r="A623" s="2" t="s">
        <v>342</v>
      </c>
      <c r="B623" s="9">
        <v>19</v>
      </c>
      <c r="C623" s="2" t="s">
        <v>482</v>
      </c>
      <c r="D623" s="2" t="s">
        <v>582</v>
      </c>
      <c r="E623" s="2">
        <f>+IFERROR(VLOOKUP(A623,'2122'!$A$12:$C$389,2,),0)</f>
        <v>0</v>
      </c>
      <c r="F623" s="2">
        <v>0</v>
      </c>
      <c r="G623" s="2">
        <f t="shared" si="42"/>
        <v>0</v>
      </c>
      <c r="H623" s="2">
        <f>+IFERROR(VLOOKUP(A623,'2122'!$A$12:$C$389,3,),0)</f>
        <v>11175</v>
      </c>
      <c r="I623" s="2">
        <v>0</v>
      </c>
      <c r="J623" s="2">
        <f t="shared" si="43"/>
        <v>11175</v>
      </c>
      <c r="K623" s="2">
        <v>0</v>
      </c>
      <c r="M623" s="2">
        <v>0</v>
      </c>
      <c r="N623" s="2">
        <v>12150</v>
      </c>
      <c r="P623" s="2">
        <v>12150</v>
      </c>
    </row>
    <row r="624" spans="1:16" ht="15.75" thickBot="1">
      <c r="A624" s="2" t="s">
        <v>742</v>
      </c>
      <c r="B624" s="9">
        <v>25</v>
      </c>
      <c r="C624" s="2" t="s">
        <v>619</v>
      </c>
      <c r="D624" s="2" t="s">
        <v>742</v>
      </c>
      <c r="E624" s="2">
        <f>+IFERROR(VLOOKUP(A624,'2122'!$A$12:$C$389,2,),0)</f>
        <v>0</v>
      </c>
      <c r="F624" s="2">
        <v>0</v>
      </c>
      <c r="G624" s="2">
        <f t="shared" si="42"/>
        <v>0</v>
      </c>
      <c r="H624" s="2">
        <f>+IFERROR(VLOOKUP(A624,'2122'!$A$12:$C$389,3,),0)</f>
        <v>0</v>
      </c>
      <c r="I624" s="2">
        <v>0</v>
      </c>
      <c r="J624" s="2">
        <f t="shared" si="43"/>
        <v>0</v>
      </c>
      <c r="K624" s="2">
        <v>0</v>
      </c>
      <c r="M624" s="2">
        <v>0</v>
      </c>
      <c r="N624" s="2">
        <v>0</v>
      </c>
      <c r="P624" s="2">
        <v>0</v>
      </c>
    </row>
    <row r="625" spans="1:16" ht="15.75" thickBot="1">
      <c r="A625" s="2" t="s">
        <v>876</v>
      </c>
      <c r="B625" s="9">
        <v>16</v>
      </c>
      <c r="C625" s="2" t="s">
        <v>877</v>
      </c>
      <c r="D625" s="2" t="s">
        <v>878</v>
      </c>
      <c r="E625" s="2">
        <f>+IFERROR(VLOOKUP(A625,'2122'!$A$12:$C$389,2,),0)</f>
        <v>0</v>
      </c>
      <c r="F625" s="2">
        <v>0</v>
      </c>
      <c r="G625" s="2">
        <f t="shared" si="42"/>
        <v>0</v>
      </c>
      <c r="H625" s="2">
        <f>+IFERROR(VLOOKUP(A625,'2122'!$A$12:$C$389,3,),0)</f>
        <v>56842407.57</v>
      </c>
      <c r="I625" s="2">
        <v>0</v>
      </c>
      <c r="J625" s="2">
        <f t="shared" si="43"/>
        <v>56842407.57</v>
      </c>
      <c r="K625" s="2">
        <v>0</v>
      </c>
      <c r="M625" s="2">
        <v>0</v>
      </c>
      <c r="N625" s="2">
        <v>43576042.979999997</v>
      </c>
      <c r="P625" s="2">
        <v>43576042.979999997</v>
      </c>
    </row>
    <row r="626" spans="1:16" ht="15.75" thickBot="1">
      <c r="A626" s="2" t="s">
        <v>345</v>
      </c>
      <c r="B626" s="9">
        <v>27</v>
      </c>
      <c r="C626" s="2" t="s">
        <v>1555</v>
      </c>
      <c r="D626" s="2" t="s">
        <v>1556</v>
      </c>
      <c r="E626" s="2">
        <f>+IFERROR(VLOOKUP(A626,'2122'!$A$12:$C$389,2,),0)</f>
        <v>3832008</v>
      </c>
      <c r="F626" s="2">
        <v>0</v>
      </c>
      <c r="G626" s="2">
        <f t="shared" si="42"/>
        <v>3832008</v>
      </c>
      <c r="H626" s="2">
        <f>+IFERROR(VLOOKUP(A626,'2122'!$A$12:$C$389,3,),0)</f>
        <v>0</v>
      </c>
      <c r="I626" s="2">
        <v>0</v>
      </c>
      <c r="J626" s="2">
        <f t="shared" si="43"/>
        <v>0</v>
      </c>
      <c r="K626" s="2">
        <v>5000332</v>
      </c>
      <c r="M626" s="2">
        <v>5000332</v>
      </c>
      <c r="N626" s="2">
        <v>0</v>
      </c>
      <c r="P626" s="2">
        <v>0</v>
      </c>
    </row>
    <row r="627" spans="1:16" ht="15.75" thickBot="1">
      <c r="A627" s="2" t="s">
        <v>879</v>
      </c>
      <c r="B627" s="9">
        <v>27</v>
      </c>
      <c r="C627" s="2" t="s">
        <v>1560</v>
      </c>
      <c r="D627" s="2" t="s">
        <v>1316</v>
      </c>
      <c r="E627" s="2">
        <f>+IFERROR(VLOOKUP(A627,'2122'!$A$12:$C$389,2,),0)</f>
        <v>183140.58</v>
      </c>
      <c r="F627" s="2">
        <v>0</v>
      </c>
      <c r="G627" s="2">
        <f t="shared" si="42"/>
        <v>183140.58</v>
      </c>
      <c r="H627" s="2">
        <f>+IFERROR(VLOOKUP(A627,'2122'!$A$12:$C$389,3,),0)</f>
        <v>0</v>
      </c>
      <c r="I627" s="2">
        <v>0</v>
      </c>
      <c r="J627" s="2">
        <f t="shared" si="43"/>
        <v>0</v>
      </c>
      <c r="K627" s="2">
        <v>301037.90000000002</v>
      </c>
      <c r="M627" s="2">
        <v>301037.90000000002</v>
      </c>
      <c r="N627" s="2">
        <v>0</v>
      </c>
      <c r="P627" s="2">
        <v>0</v>
      </c>
    </row>
    <row r="628" spans="1:16" ht="15.75" thickBot="1">
      <c r="A628" s="2" t="s">
        <v>347</v>
      </c>
      <c r="B628" s="9">
        <v>27</v>
      </c>
      <c r="C628" s="2" t="s">
        <v>1560</v>
      </c>
      <c r="D628" s="2" t="s">
        <v>1306</v>
      </c>
      <c r="E628" s="2">
        <f>+IFERROR(VLOOKUP(A628,'2122'!$A$12:$C$389,2,),0)</f>
        <v>275000</v>
      </c>
      <c r="F628" s="2">
        <v>0</v>
      </c>
      <c r="G628" s="2">
        <f t="shared" si="42"/>
        <v>275000</v>
      </c>
      <c r="H628" s="2">
        <f>+IFERROR(VLOOKUP(A628,'2122'!$A$12:$C$389,3,),0)</f>
        <v>0</v>
      </c>
      <c r="I628" s="2">
        <v>0</v>
      </c>
      <c r="J628" s="2">
        <f t="shared" si="43"/>
        <v>0</v>
      </c>
      <c r="K628" s="2">
        <v>275000</v>
      </c>
      <c r="M628" s="2">
        <v>275000</v>
      </c>
      <c r="N628" s="2">
        <v>0</v>
      </c>
      <c r="P628" s="2">
        <v>0</v>
      </c>
    </row>
    <row r="629" spans="1:16" ht="15.75" thickBot="1">
      <c r="A629" s="2" t="s">
        <v>348</v>
      </c>
      <c r="B629" s="9">
        <v>26</v>
      </c>
      <c r="C629" s="2" t="s">
        <v>509</v>
      </c>
      <c r="D629" s="2" t="s">
        <v>510</v>
      </c>
      <c r="E629" s="2">
        <f>+IFERROR(VLOOKUP(A629,'2122'!$A$12:$C$389,2,),0)</f>
        <v>15000</v>
      </c>
      <c r="F629" s="2">
        <v>0</v>
      </c>
      <c r="G629" s="2">
        <f t="shared" si="42"/>
        <v>15000</v>
      </c>
      <c r="H629" s="2">
        <f>+IFERROR(VLOOKUP(A629,'2122'!$A$12:$C$389,3,),0)</f>
        <v>0</v>
      </c>
      <c r="I629" s="2">
        <v>0</v>
      </c>
      <c r="J629" s="2">
        <f t="shared" si="43"/>
        <v>0</v>
      </c>
      <c r="K629" s="2">
        <v>0</v>
      </c>
      <c r="M629" s="2">
        <v>0</v>
      </c>
      <c r="N629" s="2">
        <v>0</v>
      </c>
      <c r="P629" s="2">
        <v>0</v>
      </c>
    </row>
    <row r="630" spans="1:16" ht="15.75" thickBot="1">
      <c r="A630" s="2" t="s">
        <v>880</v>
      </c>
      <c r="B630" s="9">
        <v>9</v>
      </c>
      <c r="C630" s="2" t="s">
        <v>602</v>
      </c>
      <c r="D630" s="2" t="s">
        <v>450</v>
      </c>
      <c r="E630" s="2">
        <f>+IFERROR(VLOOKUP(A630,'2122'!$A$12:$C$389,2,),0)</f>
        <v>11000</v>
      </c>
      <c r="F630" s="2">
        <v>0</v>
      </c>
      <c r="G630" s="2">
        <f t="shared" si="42"/>
        <v>11000</v>
      </c>
      <c r="H630" s="2">
        <f>+IFERROR(VLOOKUP(A630,'2122'!$A$12:$C$389,3,),0)</f>
        <v>0</v>
      </c>
      <c r="I630" s="2">
        <v>0</v>
      </c>
      <c r="J630" s="2">
        <f t="shared" si="43"/>
        <v>0</v>
      </c>
      <c r="K630" s="2">
        <v>37000</v>
      </c>
      <c r="M630" s="2">
        <v>37000</v>
      </c>
      <c r="N630" s="2">
        <v>0</v>
      </c>
      <c r="P630" s="2">
        <v>0</v>
      </c>
    </row>
    <row r="631" spans="1:16" ht="15.75" thickBot="1">
      <c r="A631" s="2" t="s">
        <v>352</v>
      </c>
      <c r="B631" s="9">
        <v>17</v>
      </c>
      <c r="C631" s="2" t="s">
        <v>415</v>
      </c>
      <c r="D631" s="2" t="s">
        <v>415</v>
      </c>
      <c r="E631" s="2">
        <f>+IFERROR(VLOOKUP(A631,'2122'!$A$12:$C$389,2,),0)</f>
        <v>0</v>
      </c>
      <c r="F631" s="2">
        <v>0</v>
      </c>
      <c r="G631" s="2">
        <f t="shared" si="42"/>
        <v>0</v>
      </c>
      <c r="H631" s="2">
        <f>+IFERROR(VLOOKUP(A631,'2122'!$A$12:$C$389,3,),0)</f>
        <v>261379</v>
      </c>
      <c r="I631" s="2">
        <v>0</v>
      </c>
      <c r="J631" s="2">
        <f t="shared" si="43"/>
        <v>261379</v>
      </c>
      <c r="K631" s="2">
        <v>0</v>
      </c>
      <c r="M631" s="2">
        <v>0</v>
      </c>
      <c r="N631" s="2">
        <v>92070</v>
      </c>
      <c r="P631" s="2">
        <v>92070</v>
      </c>
    </row>
    <row r="632" spans="1:16" ht="15.75" thickBot="1">
      <c r="A632" s="2" t="s">
        <v>881</v>
      </c>
      <c r="B632" s="9">
        <v>13</v>
      </c>
      <c r="C632" s="2" t="s">
        <v>474</v>
      </c>
      <c r="D632" s="2" t="s">
        <v>882</v>
      </c>
      <c r="E632" s="2">
        <f>+IFERROR(VLOOKUP(A632,'2122'!$A$12:$C$389,2,),0)</f>
        <v>0</v>
      </c>
      <c r="F632" s="2">
        <v>0</v>
      </c>
      <c r="G632" s="2">
        <f t="shared" si="42"/>
        <v>0</v>
      </c>
      <c r="H632" s="2">
        <f>+IFERROR(VLOOKUP(A632,'2122'!$A$12:$C$389,3,),0)</f>
        <v>0</v>
      </c>
      <c r="I632" s="2">
        <v>0</v>
      </c>
      <c r="J632" s="2">
        <f t="shared" si="43"/>
        <v>0</v>
      </c>
      <c r="K632" s="2">
        <v>0</v>
      </c>
      <c r="M632" s="2">
        <v>0</v>
      </c>
      <c r="N632" s="2">
        <v>0</v>
      </c>
      <c r="P632" s="2">
        <v>0</v>
      </c>
    </row>
    <row r="633" spans="1:16" ht="15.75" thickBot="1">
      <c r="A633" s="2" t="s">
        <v>883</v>
      </c>
      <c r="B633" s="9">
        <v>13</v>
      </c>
      <c r="C633" s="2" t="s">
        <v>474</v>
      </c>
      <c r="D633" s="2" t="s">
        <v>882</v>
      </c>
      <c r="E633" s="2">
        <f>+IFERROR(VLOOKUP(A633,'2122'!$A$12:$C$389,2,),0)</f>
        <v>0</v>
      </c>
      <c r="F633" s="2">
        <v>0</v>
      </c>
      <c r="G633" s="2">
        <f t="shared" si="42"/>
        <v>0</v>
      </c>
      <c r="H633" s="2">
        <f>+IFERROR(VLOOKUP(A633,'2122'!$A$12:$C$389,3,),0)</f>
        <v>0</v>
      </c>
      <c r="I633" s="2">
        <v>0</v>
      </c>
      <c r="J633" s="2">
        <f t="shared" si="43"/>
        <v>0</v>
      </c>
      <c r="K633" s="2">
        <v>0</v>
      </c>
      <c r="M633" s="2">
        <v>0</v>
      </c>
      <c r="N633" s="2">
        <v>0</v>
      </c>
      <c r="P633" s="2">
        <v>0</v>
      </c>
    </row>
    <row r="634" spans="1:16" ht="15.75" thickBot="1">
      <c r="A634" s="2" t="s">
        <v>884</v>
      </c>
      <c r="B634" s="9">
        <v>13</v>
      </c>
      <c r="C634" s="2" t="s">
        <v>474</v>
      </c>
      <c r="D634" s="2" t="s">
        <v>882</v>
      </c>
      <c r="E634" s="2">
        <f>+IFERROR(VLOOKUP(A634,'2122'!$A$12:$C$389,2,),0)</f>
        <v>0</v>
      </c>
      <c r="F634" s="2">
        <v>0</v>
      </c>
      <c r="G634" s="2">
        <f t="shared" si="42"/>
        <v>0</v>
      </c>
      <c r="H634" s="2">
        <f>+IFERROR(VLOOKUP(A634,'2122'!$A$12:$C$389,3,),0)</f>
        <v>0</v>
      </c>
      <c r="I634" s="2">
        <v>0</v>
      </c>
      <c r="J634" s="2">
        <f t="shared" si="43"/>
        <v>0</v>
      </c>
      <c r="K634" s="2">
        <v>0</v>
      </c>
      <c r="M634" s="2">
        <v>0</v>
      </c>
      <c r="N634" s="2">
        <v>0</v>
      </c>
      <c r="P634" s="2">
        <v>0</v>
      </c>
    </row>
    <row r="635" spans="1:16" ht="15.75" thickBot="1">
      <c r="A635" s="2" t="s">
        <v>885</v>
      </c>
      <c r="B635" s="9">
        <v>6</v>
      </c>
      <c r="C635" s="2" t="s">
        <v>1074</v>
      </c>
      <c r="D635" s="2" t="s">
        <v>423</v>
      </c>
      <c r="E635" s="2">
        <f>+IFERROR(VLOOKUP(A635,'2122'!$A$12:$C$389,2,),0)</f>
        <v>0</v>
      </c>
      <c r="F635" s="2">
        <v>0</v>
      </c>
      <c r="G635" s="2">
        <f t="shared" si="42"/>
        <v>0</v>
      </c>
      <c r="H635" s="2">
        <f>+IFERROR(VLOOKUP(A635,'2122'!$A$12:$C$389,3,),0)</f>
        <v>0</v>
      </c>
      <c r="I635" s="2">
        <v>0</v>
      </c>
      <c r="J635" s="2">
        <f t="shared" si="43"/>
        <v>0</v>
      </c>
      <c r="K635" s="2">
        <v>0</v>
      </c>
      <c r="M635" s="2">
        <v>0</v>
      </c>
      <c r="N635" s="2">
        <v>0</v>
      </c>
      <c r="P635" s="2">
        <v>0</v>
      </c>
    </row>
    <row r="636" spans="1:16" ht="15.75" thickBot="1">
      <c r="A636" s="2" t="s">
        <v>886</v>
      </c>
      <c r="B636" s="9">
        <v>27</v>
      </c>
      <c r="C636" s="2" t="s">
        <v>1560</v>
      </c>
      <c r="D636" s="2" t="s">
        <v>1312</v>
      </c>
      <c r="E636" s="2">
        <f>+IFERROR(VLOOKUP(A636,'2122'!$A$12:$C$389,2,),0)</f>
        <v>0</v>
      </c>
      <c r="F636" s="2">
        <v>0</v>
      </c>
      <c r="G636" s="2">
        <f t="shared" si="42"/>
        <v>0</v>
      </c>
      <c r="H636" s="2">
        <f>+IFERROR(VLOOKUP(A636,'2122'!$A$12:$C$389,3,),0)</f>
        <v>28255.9</v>
      </c>
      <c r="I636" s="2">
        <v>0</v>
      </c>
      <c r="J636" s="2">
        <f t="shared" si="43"/>
        <v>28255.9</v>
      </c>
      <c r="K636" s="2">
        <v>16101.89</v>
      </c>
      <c r="M636" s="2">
        <v>16101.89</v>
      </c>
      <c r="N636" s="2">
        <v>0</v>
      </c>
      <c r="P636" s="2">
        <v>0</v>
      </c>
    </row>
    <row r="637" spans="1:16" ht="15.75" thickBot="1">
      <c r="A637" s="2" t="s">
        <v>887</v>
      </c>
      <c r="B637" s="9">
        <v>6</v>
      </c>
      <c r="C637" s="2" t="s">
        <v>1074</v>
      </c>
      <c r="D637" s="2" t="s">
        <v>423</v>
      </c>
      <c r="E637" s="2">
        <f>+IFERROR(VLOOKUP(A637,'2122'!$A$12:$C$389,2,),0)</f>
        <v>0</v>
      </c>
      <c r="F637" s="2">
        <v>0</v>
      </c>
      <c r="G637" s="2">
        <f t="shared" si="42"/>
        <v>0</v>
      </c>
      <c r="H637" s="2">
        <f>+IFERROR(VLOOKUP(A637,'2122'!$A$12:$C$389,3,),0)</f>
        <v>0</v>
      </c>
      <c r="I637" s="2">
        <v>0</v>
      </c>
      <c r="J637" s="2">
        <f t="shared" si="43"/>
        <v>0</v>
      </c>
      <c r="K637" s="2">
        <v>0</v>
      </c>
      <c r="M637" s="2">
        <v>0</v>
      </c>
      <c r="N637" s="2">
        <v>0</v>
      </c>
      <c r="P637" s="2">
        <v>0</v>
      </c>
    </row>
    <row r="638" spans="1:16" ht="15.75" thickBot="1">
      <c r="A638" s="2" t="s">
        <v>355</v>
      </c>
      <c r="B638" s="9">
        <v>9</v>
      </c>
      <c r="C638" s="2" t="s">
        <v>602</v>
      </c>
      <c r="D638" s="2" t="s">
        <v>450</v>
      </c>
      <c r="E638" s="2">
        <f>+IFERROR(VLOOKUP(A638,'2122'!$A$12:$C$389,2,),0)</f>
        <v>14000</v>
      </c>
      <c r="F638" s="2">
        <v>0</v>
      </c>
      <c r="G638" s="2">
        <f t="shared" si="42"/>
        <v>14000</v>
      </c>
      <c r="H638" s="2">
        <f>+IFERROR(VLOOKUP(A638,'2122'!$A$12:$C$389,3,),0)</f>
        <v>0</v>
      </c>
      <c r="I638" s="2">
        <v>0</v>
      </c>
      <c r="J638" s="2">
        <f t="shared" si="43"/>
        <v>0</v>
      </c>
      <c r="K638" s="2">
        <v>4000</v>
      </c>
      <c r="M638" s="2">
        <v>4000</v>
      </c>
      <c r="N638" s="2">
        <v>0</v>
      </c>
      <c r="P638" s="2">
        <v>0</v>
      </c>
    </row>
    <row r="639" spans="1:16" ht="15.75" thickBot="1">
      <c r="A639" s="2" t="s">
        <v>888</v>
      </c>
      <c r="B639" s="9">
        <v>9</v>
      </c>
      <c r="C639" s="2" t="s">
        <v>602</v>
      </c>
      <c r="D639" s="2" t="s">
        <v>450</v>
      </c>
      <c r="E639" s="2">
        <f>+IFERROR(VLOOKUP(A639,'2122'!$A$12:$C$389,2,),0)</f>
        <v>0</v>
      </c>
      <c r="F639" s="2">
        <v>0</v>
      </c>
      <c r="G639" s="2">
        <f t="shared" si="42"/>
        <v>0</v>
      </c>
      <c r="H639" s="2">
        <f>+IFERROR(VLOOKUP(A639,'2122'!$A$12:$C$389,3,),0)</f>
        <v>0</v>
      </c>
      <c r="I639" s="2">
        <v>0</v>
      </c>
      <c r="J639" s="2">
        <f t="shared" si="43"/>
        <v>0</v>
      </c>
      <c r="K639" s="2">
        <v>0</v>
      </c>
      <c r="M639" s="2">
        <v>0</v>
      </c>
      <c r="N639" s="2">
        <v>0</v>
      </c>
      <c r="P639" s="2">
        <v>0</v>
      </c>
    </row>
    <row r="640" spans="1:16" ht="15.75" thickBot="1">
      <c r="A640" s="2" t="s">
        <v>889</v>
      </c>
      <c r="B640" s="9">
        <v>6</v>
      </c>
      <c r="C640" s="2" t="s">
        <v>1074</v>
      </c>
      <c r="D640" s="2" t="s">
        <v>423</v>
      </c>
      <c r="E640" s="2">
        <f>+IFERROR(VLOOKUP(A640,'2122'!$A$12:$C$389,2,),0)</f>
        <v>0</v>
      </c>
      <c r="F640" s="2">
        <v>0</v>
      </c>
      <c r="G640" s="2">
        <f t="shared" si="42"/>
        <v>0</v>
      </c>
      <c r="H640" s="2">
        <f>+IFERROR(VLOOKUP(A640,'2122'!$A$12:$C$389,3,),0)</f>
        <v>0</v>
      </c>
      <c r="I640" s="2">
        <v>0</v>
      </c>
      <c r="J640" s="2">
        <f t="shared" si="43"/>
        <v>0</v>
      </c>
      <c r="K640" s="2">
        <v>0</v>
      </c>
      <c r="M640" s="2">
        <v>0</v>
      </c>
      <c r="N640" s="2">
        <v>0</v>
      </c>
      <c r="P640" s="2">
        <v>0</v>
      </c>
    </row>
    <row r="641" spans="1:16" ht="15.75" thickBot="1">
      <c r="A641" s="2" t="s">
        <v>357</v>
      </c>
      <c r="B641" s="9">
        <v>17</v>
      </c>
      <c r="C641" s="2" t="s">
        <v>415</v>
      </c>
      <c r="D641" s="2" t="s">
        <v>415</v>
      </c>
      <c r="E641" s="2">
        <f>+IFERROR(VLOOKUP(A641,'2122'!$A$12:$C$389,2,),0)</f>
        <v>0</v>
      </c>
      <c r="F641" s="2">
        <v>0</v>
      </c>
      <c r="G641" s="2">
        <f t="shared" si="42"/>
        <v>0</v>
      </c>
      <c r="H641" s="2">
        <f>+IFERROR(VLOOKUP(A641,'2122'!$A$12:$C$389,3,),0)</f>
        <v>361080</v>
      </c>
      <c r="I641" s="2">
        <v>0</v>
      </c>
      <c r="J641" s="2">
        <f t="shared" si="43"/>
        <v>361080</v>
      </c>
      <c r="K641" s="2">
        <v>0</v>
      </c>
      <c r="M641" s="2">
        <v>0</v>
      </c>
      <c r="N641" s="2">
        <v>455952</v>
      </c>
      <c r="P641" s="2">
        <v>455952</v>
      </c>
    </row>
    <row r="642" spans="1:16" ht="15.75" thickBot="1">
      <c r="A642" s="2" t="s">
        <v>890</v>
      </c>
      <c r="B642" s="9">
        <v>11</v>
      </c>
      <c r="C642" s="2" t="s">
        <v>1550</v>
      </c>
      <c r="D642" s="2" t="s">
        <v>440</v>
      </c>
      <c r="E642" s="2">
        <f>+IFERROR(VLOOKUP(A642,'2122'!$A$12:$C$389,2,),0)</f>
        <v>0</v>
      </c>
      <c r="F642" s="2">
        <v>0</v>
      </c>
      <c r="G642" s="2">
        <f t="shared" si="42"/>
        <v>0</v>
      </c>
      <c r="H642" s="2">
        <f>+IFERROR(VLOOKUP(A642,'2122'!$A$12:$C$389,3,),0)</f>
        <v>0</v>
      </c>
      <c r="I642" s="2">
        <v>0</v>
      </c>
      <c r="J642" s="2">
        <f t="shared" si="43"/>
        <v>0</v>
      </c>
      <c r="K642" s="2">
        <v>0</v>
      </c>
      <c r="M642" s="2">
        <v>0</v>
      </c>
      <c r="N642" s="2">
        <v>0</v>
      </c>
      <c r="P642" s="2">
        <v>0</v>
      </c>
    </row>
    <row r="643" spans="1:16" ht="15.75" thickBot="1">
      <c r="A643" s="2" t="s">
        <v>891</v>
      </c>
      <c r="B643" s="9">
        <v>19</v>
      </c>
      <c r="C643" s="2" t="s">
        <v>482</v>
      </c>
      <c r="D643" s="2" t="s">
        <v>582</v>
      </c>
      <c r="E643" s="2">
        <f>+IFERROR(VLOOKUP(A643,'2122'!$A$12:$C$389,2,),0)</f>
        <v>0</v>
      </c>
      <c r="F643" s="2">
        <v>0</v>
      </c>
      <c r="G643" s="2">
        <f t="shared" si="42"/>
        <v>0</v>
      </c>
      <c r="H643" s="2">
        <f>+IFERROR(VLOOKUP(A643,'2122'!$A$12:$C$389,3,),0)</f>
        <v>86477</v>
      </c>
      <c r="I643" s="2">
        <v>0</v>
      </c>
      <c r="J643" s="2">
        <f t="shared" si="43"/>
        <v>86477</v>
      </c>
      <c r="K643" s="2">
        <v>0</v>
      </c>
      <c r="M643" s="2">
        <v>0</v>
      </c>
      <c r="N643" s="2">
        <v>80773</v>
      </c>
      <c r="P643" s="2">
        <v>80773</v>
      </c>
    </row>
    <row r="644" spans="1:16" ht="15.75" thickBot="1">
      <c r="A644" s="2" t="s">
        <v>360</v>
      </c>
      <c r="B644" s="9">
        <v>19</v>
      </c>
      <c r="C644" s="2" t="s">
        <v>482</v>
      </c>
      <c r="D644" s="2" t="s">
        <v>582</v>
      </c>
      <c r="E644" s="2">
        <f>+IFERROR(VLOOKUP(A644,'2122'!$A$12:$C$389,2,),0)</f>
        <v>0</v>
      </c>
      <c r="F644" s="2">
        <v>0</v>
      </c>
      <c r="G644" s="2">
        <f t="shared" si="42"/>
        <v>0</v>
      </c>
      <c r="H644" s="2">
        <f>+IFERROR(VLOOKUP(A644,'2122'!$A$12:$C$389,3,),0)</f>
        <v>12998.22</v>
      </c>
      <c r="I644" s="2">
        <v>0</v>
      </c>
      <c r="J644" s="2">
        <f t="shared" si="43"/>
        <v>12998.22</v>
      </c>
      <c r="K644" s="2">
        <v>0</v>
      </c>
      <c r="M644" s="2">
        <v>0</v>
      </c>
      <c r="N644" s="2">
        <v>85088.53</v>
      </c>
      <c r="P644" s="2">
        <v>85088.53</v>
      </c>
    </row>
    <row r="645" spans="1:16" ht="15.75" thickBot="1">
      <c r="A645" s="2" t="s">
        <v>892</v>
      </c>
      <c r="B645" s="9">
        <v>11</v>
      </c>
      <c r="C645" s="2" t="s">
        <v>1550</v>
      </c>
      <c r="D645" s="2" t="s">
        <v>440</v>
      </c>
      <c r="E645" s="2">
        <f>+IFERROR(VLOOKUP(A645,'2122'!$A$12:$C$389,2,),0)</f>
        <v>0</v>
      </c>
      <c r="F645" s="2">
        <v>0</v>
      </c>
      <c r="G645" s="2">
        <f t="shared" si="42"/>
        <v>0</v>
      </c>
      <c r="H645" s="2">
        <f>+IFERROR(VLOOKUP(A645,'2122'!$A$12:$C$389,3,),0)</f>
        <v>0</v>
      </c>
      <c r="I645" s="2">
        <v>0</v>
      </c>
      <c r="J645" s="2">
        <f t="shared" si="43"/>
        <v>0</v>
      </c>
      <c r="K645" s="2">
        <v>0</v>
      </c>
      <c r="M645" s="2">
        <v>0</v>
      </c>
      <c r="N645" s="2">
        <v>0</v>
      </c>
      <c r="P645" s="2">
        <v>0</v>
      </c>
    </row>
    <row r="646" spans="1:16" ht="15.75" thickBot="1">
      <c r="A646" s="2" t="s">
        <v>893</v>
      </c>
      <c r="B646" s="9">
        <v>11</v>
      </c>
      <c r="C646" s="2" t="s">
        <v>1550</v>
      </c>
      <c r="D646" s="2" t="s">
        <v>440</v>
      </c>
      <c r="E646" s="2">
        <f>+IFERROR(VLOOKUP(A646,'2122'!$A$12:$C$389,2,),0)</f>
        <v>0</v>
      </c>
      <c r="F646" s="2">
        <v>0</v>
      </c>
      <c r="G646" s="2">
        <f t="shared" si="42"/>
        <v>0</v>
      </c>
      <c r="H646" s="2">
        <f>+IFERROR(VLOOKUP(A646,'2122'!$A$12:$C$389,3,),0)</f>
        <v>0</v>
      </c>
      <c r="I646" s="2">
        <v>0</v>
      </c>
      <c r="J646" s="2">
        <f t="shared" si="43"/>
        <v>0</v>
      </c>
      <c r="K646" s="2">
        <v>0</v>
      </c>
      <c r="M646" s="2">
        <v>0</v>
      </c>
      <c r="N646" s="2">
        <v>0</v>
      </c>
      <c r="P646" s="2">
        <v>0</v>
      </c>
    </row>
    <row r="647" spans="1:16" ht="15.75" thickBot="1">
      <c r="A647" s="2" t="s">
        <v>358</v>
      </c>
      <c r="B647" s="9">
        <v>11</v>
      </c>
      <c r="C647" s="2" t="s">
        <v>1550</v>
      </c>
      <c r="D647" s="2" t="s">
        <v>440</v>
      </c>
      <c r="E647" s="2">
        <f>+IFERROR(VLOOKUP(A647,'2122'!$A$12:$C$389,2,),0)</f>
        <v>0</v>
      </c>
      <c r="F647" s="2">
        <v>0</v>
      </c>
      <c r="G647" s="2">
        <f t="shared" si="42"/>
        <v>0</v>
      </c>
      <c r="H647" s="2">
        <f>+IFERROR(VLOOKUP(A647,'2122'!$A$12:$C$389,3,),0)</f>
        <v>0</v>
      </c>
      <c r="I647" s="2">
        <v>0</v>
      </c>
      <c r="J647" s="2">
        <f t="shared" si="43"/>
        <v>0</v>
      </c>
      <c r="K647" s="2">
        <v>68778.240000000005</v>
      </c>
      <c r="M647" s="2">
        <v>68778.240000000005</v>
      </c>
      <c r="N647" s="2">
        <v>0</v>
      </c>
      <c r="P647" s="2">
        <v>0</v>
      </c>
    </row>
    <row r="648" spans="1:16" ht="15.75" thickBot="1">
      <c r="A648" s="2" t="s">
        <v>894</v>
      </c>
      <c r="B648" s="9">
        <v>11</v>
      </c>
      <c r="C648" s="2" t="s">
        <v>1550</v>
      </c>
      <c r="D648" s="2" t="s">
        <v>440</v>
      </c>
      <c r="E648" s="2">
        <f>+IFERROR(VLOOKUP(A648,'2122'!$A$12:$C$389,2,),0)</f>
        <v>0</v>
      </c>
      <c r="F648" s="2">
        <v>0</v>
      </c>
      <c r="G648" s="2">
        <f t="shared" si="42"/>
        <v>0</v>
      </c>
      <c r="H648" s="2">
        <f>+IFERROR(VLOOKUP(A648,'2122'!$A$12:$C$389,3,),0)</f>
        <v>0</v>
      </c>
      <c r="I648" s="2">
        <v>0</v>
      </c>
      <c r="J648" s="2">
        <f t="shared" si="43"/>
        <v>0</v>
      </c>
      <c r="K648" s="2">
        <v>0</v>
      </c>
      <c r="M648" s="2">
        <v>0</v>
      </c>
      <c r="N648" s="2">
        <v>0</v>
      </c>
      <c r="P648" s="2">
        <v>0</v>
      </c>
    </row>
    <row r="649" spans="1:16" ht="15.75" thickBot="1">
      <c r="A649" s="2" t="s">
        <v>895</v>
      </c>
      <c r="B649" s="9">
        <v>11</v>
      </c>
      <c r="C649" s="2" t="s">
        <v>1550</v>
      </c>
      <c r="D649" s="2" t="s">
        <v>440</v>
      </c>
      <c r="E649" s="2">
        <f>+IFERROR(VLOOKUP(A649,'2122'!$A$12:$C$389,2,),0)</f>
        <v>0</v>
      </c>
      <c r="F649" s="2">
        <v>0</v>
      </c>
      <c r="G649" s="2">
        <f t="shared" si="42"/>
        <v>0</v>
      </c>
      <c r="H649" s="2">
        <f>+IFERROR(VLOOKUP(A649,'2122'!$A$12:$C$389,3,),0)</f>
        <v>0</v>
      </c>
      <c r="I649" s="2">
        <v>0</v>
      </c>
      <c r="J649" s="2">
        <f t="shared" si="43"/>
        <v>0</v>
      </c>
      <c r="K649" s="2">
        <v>0</v>
      </c>
      <c r="M649" s="2">
        <v>0</v>
      </c>
      <c r="N649" s="2">
        <v>0</v>
      </c>
      <c r="P649" s="2">
        <v>0</v>
      </c>
    </row>
    <row r="650" spans="1:16" ht="15.75" thickBot="1">
      <c r="A650" s="2" t="s">
        <v>896</v>
      </c>
      <c r="B650" s="9">
        <v>27</v>
      </c>
      <c r="C650" s="2" t="s">
        <v>1560</v>
      </c>
      <c r="D650" s="2" t="s">
        <v>279</v>
      </c>
      <c r="E650" s="2">
        <f>+IFERROR(VLOOKUP(A650,'2122'!$A$12:$C$389,2,),0)</f>
        <v>0</v>
      </c>
      <c r="F650" s="2">
        <v>0</v>
      </c>
      <c r="G650" s="2">
        <f t="shared" si="42"/>
        <v>0</v>
      </c>
      <c r="H650" s="2">
        <f>+IFERROR(VLOOKUP(A650,'2122'!$A$12:$C$389,3,),0)</f>
        <v>0</v>
      </c>
      <c r="I650" s="2">
        <v>0</v>
      </c>
      <c r="J650" s="2">
        <f t="shared" si="43"/>
        <v>0</v>
      </c>
      <c r="K650" s="2">
        <v>0</v>
      </c>
      <c r="M650" s="2">
        <v>0</v>
      </c>
      <c r="N650" s="2">
        <v>0</v>
      </c>
      <c r="P650" s="2">
        <v>0</v>
      </c>
    </row>
    <row r="651" spans="1:16" ht="15.75" thickBot="1">
      <c r="A651" s="2" t="s">
        <v>897</v>
      </c>
      <c r="B651" s="9">
        <v>11</v>
      </c>
      <c r="C651" s="2" t="s">
        <v>1550</v>
      </c>
      <c r="D651" s="2" t="s">
        <v>440</v>
      </c>
      <c r="E651" s="2">
        <f>+IFERROR(VLOOKUP(A651,'2122'!$A$12:$C$389,2,),0)</f>
        <v>0</v>
      </c>
      <c r="F651" s="2">
        <v>0</v>
      </c>
      <c r="G651" s="2">
        <f t="shared" si="42"/>
        <v>0</v>
      </c>
      <c r="H651" s="2">
        <f>+IFERROR(VLOOKUP(A651,'2122'!$A$12:$C$389,3,),0)</f>
        <v>0</v>
      </c>
      <c r="I651" s="2">
        <v>0</v>
      </c>
      <c r="J651" s="2">
        <f t="shared" si="43"/>
        <v>0</v>
      </c>
      <c r="K651" s="2">
        <v>0</v>
      </c>
      <c r="M651" s="2">
        <v>0</v>
      </c>
      <c r="N651" s="2">
        <v>0</v>
      </c>
      <c r="P651" s="2">
        <v>0</v>
      </c>
    </row>
    <row r="652" spans="1:16" ht="15.75" thickBot="1">
      <c r="A652" s="2" t="s">
        <v>898</v>
      </c>
      <c r="B652" s="9">
        <v>19</v>
      </c>
      <c r="C652" s="2" t="s">
        <v>482</v>
      </c>
      <c r="D652" s="2" t="s">
        <v>582</v>
      </c>
      <c r="E652" s="2">
        <f>+IFERROR(VLOOKUP(A652,'2122'!$A$12:$C$389,2,),0)</f>
        <v>0</v>
      </c>
      <c r="F652" s="2">
        <v>0</v>
      </c>
      <c r="G652" s="2">
        <f t="shared" si="42"/>
        <v>0</v>
      </c>
      <c r="H652" s="2">
        <f>+IFERROR(VLOOKUP(A652,'2122'!$A$12:$C$389,3,),0)</f>
        <v>5000</v>
      </c>
      <c r="I652" s="2">
        <v>0</v>
      </c>
      <c r="J652" s="2">
        <f t="shared" si="43"/>
        <v>5000</v>
      </c>
      <c r="K652" s="2">
        <v>0</v>
      </c>
      <c r="M652" s="2">
        <v>0</v>
      </c>
      <c r="N652" s="2">
        <v>2925</v>
      </c>
      <c r="P652" s="2">
        <v>2925</v>
      </c>
    </row>
    <row r="653" spans="1:16" ht="15.75" thickBot="1">
      <c r="A653" s="2" t="s">
        <v>363</v>
      </c>
      <c r="B653" s="9">
        <v>19</v>
      </c>
      <c r="C653" s="2" t="s">
        <v>482</v>
      </c>
      <c r="D653" s="2" t="s">
        <v>582</v>
      </c>
      <c r="E653" s="2">
        <f>+IFERROR(VLOOKUP(A653,'2122'!$A$12:$C$389,2,),0)</f>
        <v>0</v>
      </c>
      <c r="F653" s="2">
        <v>0</v>
      </c>
      <c r="G653" s="2">
        <f t="shared" si="42"/>
        <v>0</v>
      </c>
      <c r="H653" s="2">
        <f>+IFERROR(VLOOKUP(A653,'2122'!$A$12:$C$389,3,),0)</f>
        <v>11758</v>
      </c>
      <c r="I653" s="2">
        <v>0</v>
      </c>
      <c r="J653" s="2">
        <f t="shared" si="43"/>
        <v>11758</v>
      </c>
      <c r="K653" s="2">
        <v>0</v>
      </c>
      <c r="M653" s="2">
        <v>0</v>
      </c>
      <c r="N653" s="2">
        <v>3756</v>
      </c>
      <c r="P653" s="2">
        <v>3756</v>
      </c>
    </row>
    <row r="654" spans="1:16" ht="15.75" thickBot="1">
      <c r="A654" s="2" t="s">
        <v>899</v>
      </c>
      <c r="B654" s="9">
        <v>19</v>
      </c>
      <c r="C654" s="2" t="s">
        <v>482</v>
      </c>
      <c r="D654" s="2" t="s">
        <v>582</v>
      </c>
      <c r="E654" s="2">
        <f>+IFERROR(VLOOKUP(A654,'2122'!$A$12:$C$389,2,),0)</f>
        <v>0</v>
      </c>
      <c r="F654" s="2">
        <v>0</v>
      </c>
      <c r="G654" s="2">
        <f t="shared" si="42"/>
        <v>0</v>
      </c>
      <c r="H654" s="2">
        <f>+IFERROR(VLOOKUP(A654,'2122'!$A$12:$C$389,3,),0)</f>
        <v>0</v>
      </c>
      <c r="I654" s="2">
        <v>0</v>
      </c>
      <c r="J654" s="2">
        <f t="shared" si="43"/>
        <v>0</v>
      </c>
      <c r="K654" s="2">
        <v>0</v>
      </c>
      <c r="M654" s="2">
        <v>0</v>
      </c>
      <c r="N654" s="2">
        <v>12373</v>
      </c>
      <c r="P654" s="2">
        <v>12373</v>
      </c>
    </row>
    <row r="655" spans="1:16" ht="15.75" thickBot="1">
      <c r="A655" s="2" t="s">
        <v>900</v>
      </c>
      <c r="B655" s="9">
        <v>19</v>
      </c>
      <c r="C655" s="2" t="s">
        <v>482</v>
      </c>
      <c r="D655" s="2" t="s">
        <v>582</v>
      </c>
      <c r="E655" s="2">
        <f>+IFERROR(VLOOKUP(A655,'2122'!$A$12:$C$389,2,),0)</f>
        <v>0</v>
      </c>
      <c r="F655" s="2">
        <v>0</v>
      </c>
      <c r="G655" s="2">
        <f t="shared" si="42"/>
        <v>0</v>
      </c>
      <c r="H655" s="2">
        <f>+IFERROR(VLOOKUP(A655,'2122'!$A$12:$C$389,3,),0)</f>
        <v>44158.04</v>
      </c>
      <c r="I655" s="2">
        <v>0</v>
      </c>
      <c r="J655" s="2">
        <f t="shared" si="43"/>
        <v>44158.04</v>
      </c>
      <c r="K655" s="2">
        <v>0</v>
      </c>
      <c r="M655" s="2">
        <v>0</v>
      </c>
      <c r="N655" s="2">
        <v>10862.04</v>
      </c>
      <c r="P655" s="2">
        <v>10862.04</v>
      </c>
    </row>
    <row r="656" spans="1:16" ht="15.75" thickBot="1">
      <c r="A656" s="2" t="s">
        <v>901</v>
      </c>
      <c r="B656" s="9">
        <v>19</v>
      </c>
      <c r="C656" s="2" t="s">
        <v>482</v>
      </c>
      <c r="D656" s="2" t="s">
        <v>582</v>
      </c>
      <c r="E656" s="2">
        <f>+IFERROR(VLOOKUP(A656,'2122'!$A$12:$C$389,2,),0)</f>
        <v>0</v>
      </c>
      <c r="F656" s="2">
        <v>0</v>
      </c>
      <c r="G656" s="2">
        <f t="shared" si="42"/>
        <v>0</v>
      </c>
      <c r="H656" s="2">
        <f>+IFERROR(VLOOKUP(A656,'2122'!$A$12:$C$389,3,),0)</f>
        <v>47015</v>
      </c>
      <c r="I656" s="2">
        <v>0</v>
      </c>
      <c r="J656" s="2">
        <f t="shared" si="43"/>
        <v>47015</v>
      </c>
      <c r="K656" s="2">
        <v>0</v>
      </c>
      <c r="M656" s="2">
        <v>0</v>
      </c>
      <c r="N656" s="2">
        <v>29491</v>
      </c>
      <c r="P656" s="2">
        <v>29491</v>
      </c>
    </row>
    <row r="657" spans="1:16" ht="15.75" thickBot="1">
      <c r="A657" s="2" t="s">
        <v>902</v>
      </c>
      <c r="B657" s="9">
        <v>19</v>
      </c>
      <c r="C657" s="2" t="s">
        <v>482</v>
      </c>
      <c r="D657" s="2" t="s">
        <v>582</v>
      </c>
      <c r="E657" s="2">
        <f>+IFERROR(VLOOKUP(A657,'2122'!$A$12:$C$389,2,),0)</f>
        <v>0</v>
      </c>
      <c r="F657" s="2">
        <v>0</v>
      </c>
      <c r="G657" s="2">
        <f t="shared" si="42"/>
        <v>0</v>
      </c>
      <c r="H657" s="2">
        <f>+IFERROR(VLOOKUP(A657,'2122'!$A$12:$C$389,3,),0)</f>
        <v>7000</v>
      </c>
      <c r="I657" s="2">
        <v>0</v>
      </c>
      <c r="J657" s="2">
        <f t="shared" si="43"/>
        <v>7000</v>
      </c>
      <c r="K657" s="2">
        <v>0</v>
      </c>
      <c r="M657" s="2">
        <v>0</v>
      </c>
      <c r="N657" s="2">
        <v>10850</v>
      </c>
      <c r="P657" s="2">
        <v>10850</v>
      </c>
    </row>
    <row r="658" spans="1:16" ht="15.75" thickBot="1">
      <c r="A658" s="2" t="s">
        <v>371</v>
      </c>
      <c r="B658" s="9">
        <v>19</v>
      </c>
      <c r="C658" s="2" t="s">
        <v>482</v>
      </c>
      <c r="D658" s="2" t="s">
        <v>582</v>
      </c>
      <c r="E658" s="2">
        <f>+IFERROR(VLOOKUP(A658,'2122'!$A$12:$C$389,2,),0)</f>
        <v>0</v>
      </c>
      <c r="F658" s="2">
        <v>0</v>
      </c>
      <c r="G658" s="2">
        <f t="shared" ref="G658:G791" si="44">+E658+F658</f>
        <v>0</v>
      </c>
      <c r="H658" s="2">
        <f>+IFERROR(VLOOKUP(A658,'2122'!$A$12:$C$389,3,),0)</f>
        <v>4651</v>
      </c>
      <c r="I658" s="2">
        <v>0</v>
      </c>
      <c r="J658" s="2">
        <f t="shared" ref="J658:J791" si="45">+H658+I658</f>
        <v>4651</v>
      </c>
      <c r="K658" s="2">
        <v>0</v>
      </c>
      <c r="M658" s="2">
        <v>0</v>
      </c>
      <c r="N658" s="2">
        <v>5839</v>
      </c>
      <c r="P658" s="2">
        <v>5839</v>
      </c>
    </row>
    <row r="659" spans="1:16" ht="15.75" thickBot="1">
      <c r="A659" s="2" t="s">
        <v>369</v>
      </c>
      <c r="B659" s="9">
        <v>19</v>
      </c>
      <c r="C659" s="2" t="s">
        <v>482</v>
      </c>
      <c r="D659" s="2" t="s">
        <v>582</v>
      </c>
      <c r="E659" s="2">
        <f>+IFERROR(VLOOKUP(A659,'2122'!$A$12:$C$389,2,),0)</f>
        <v>0</v>
      </c>
      <c r="F659" s="2">
        <v>0</v>
      </c>
      <c r="G659" s="2">
        <f t="shared" si="44"/>
        <v>0</v>
      </c>
      <c r="H659" s="2">
        <f>+IFERROR(VLOOKUP(A659,'2122'!$A$12:$C$389,3,),0)</f>
        <v>59000</v>
      </c>
      <c r="I659" s="2">
        <v>0</v>
      </c>
      <c r="J659" s="2">
        <f t="shared" si="45"/>
        <v>59000</v>
      </c>
      <c r="K659" s="2">
        <v>0</v>
      </c>
      <c r="M659" s="2">
        <v>0</v>
      </c>
      <c r="N659" s="2">
        <v>122000</v>
      </c>
      <c r="P659" s="2">
        <v>122000</v>
      </c>
    </row>
    <row r="660" spans="1:16" ht="15.75" thickBot="1">
      <c r="A660" s="2" t="s">
        <v>903</v>
      </c>
      <c r="B660" s="9">
        <v>27</v>
      </c>
      <c r="C660" s="2" t="s">
        <v>1560</v>
      </c>
      <c r="D660" s="2" t="s">
        <v>1567</v>
      </c>
      <c r="E660" s="2">
        <f>+IFERROR(VLOOKUP(A660,'2122'!$A$12:$C$389,2,),0)</f>
        <v>70996</v>
      </c>
      <c r="F660" s="2">
        <v>0</v>
      </c>
      <c r="G660" s="2">
        <f t="shared" si="44"/>
        <v>70996</v>
      </c>
      <c r="H660" s="2">
        <f>+IFERROR(VLOOKUP(A660,'2122'!$A$12:$C$389,3,),0)</f>
        <v>0</v>
      </c>
      <c r="I660" s="2">
        <v>0</v>
      </c>
      <c r="J660" s="2">
        <f t="shared" si="45"/>
        <v>0</v>
      </c>
      <c r="K660" s="2">
        <v>65764</v>
      </c>
      <c r="M660" s="2">
        <v>65764</v>
      </c>
      <c r="N660" s="2">
        <v>0</v>
      </c>
      <c r="P660" s="2">
        <v>0</v>
      </c>
    </row>
    <row r="661" spans="1:16" ht="15.75" thickBot="1">
      <c r="A661" s="2" t="s">
        <v>374</v>
      </c>
      <c r="B661" s="9">
        <v>17</v>
      </c>
      <c r="C661" s="2" t="s">
        <v>415</v>
      </c>
      <c r="D661" s="2" t="s">
        <v>416</v>
      </c>
      <c r="E661" s="2">
        <f>+IFERROR(VLOOKUP(A661,'2122'!$A$12:$C$389,2,),0)</f>
        <v>0</v>
      </c>
      <c r="F661" s="2">
        <v>0</v>
      </c>
      <c r="G661" s="2">
        <f t="shared" si="44"/>
        <v>0</v>
      </c>
      <c r="H661" s="2">
        <f>+IFERROR(VLOOKUP(A661,'2122'!$A$12:$C$389,3,),0)</f>
        <v>3708</v>
      </c>
      <c r="I661" s="2">
        <v>0</v>
      </c>
      <c r="J661" s="2">
        <f t="shared" si="45"/>
        <v>3708</v>
      </c>
      <c r="K661" s="2">
        <v>0</v>
      </c>
      <c r="M661" s="2">
        <v>0</v>
      </c>
      <c r="N661" s="2">
        <v>3662</v>
      </c>
      <c r="P661" s="2">
        <v>3662</v>
      </c>
    </row>
    <row r="662" spans="1:16" ht="15.75" thickBot="1">
      <c r="A662" s="2" t="s">
        <v>375</v>
      </c>
      <c r="B662" s="9">
        <v>27</v>
      </c>
      <c r="C662" s="2" t="s">
        <v>1555</v>
      </c>
      <c r="D662" s="2" t="s">
        <v>1294</v>
      </c>
      <c r="E662" s="2">
        <f>+IFERROR(VLOOKUP(A662,'2122'!$A$12:$C$389,2,),0)</f>
        <v>103100</v>
      </c>
      <c r="F662" s="2">
        <v>0</v>
      </c>
      <c r="G662" s="2">
        <f t="shared" si="44"/>
        <v>103100</v>
      </c>
      <c r="H662" s="2">
        <f>+IFERROR(VLOOKUP(A662,'2122'!$A$12:$C$389,3,),0)</f>
        <v>0</v>
      </c>
      <c r="I662" s="2">
        <v>0</v>
      </c>
      <c r="J662" s="2">
        <f t="shared" si="45"/>
        <v>0</v>
      </c>
      <c r="K662" s="2">
        <v>40650</v>
      </c>
      <c r="M662" s="2">
        <v>40650</v>
      </c>
      <c r="N662" s="2">
        <v>0</v>
      </c>
      <c r="P662" s="2">
        <v>0</v>
      </c>
    </row>
    <row r="663" spans="1:16" ht="15.75" thickBot="1">
      <c r="A663" s="2" t="s">
        <v>904</v>
      </c>
      <c r="C663" s="2" t="s">
        <v>482</v>
      </c>
      <c r="D663" s="2" t="s">
        <v>483</v>
      </c>
      <c r="E663" s="2">
        <f>+IFERROR(VLOOKUP(A663,'2122'!$A$12:$C$389,2,),0)</f>
        <v>0</v>
      </c>
      <c r="F663" s="2">
        <v>0</v>
      </c>
      <c r="G663" s="2">
        <f t="shared" si="44"/>
        <v>0</v>
      </c>
      <c r="H663" s="2">
        <f>+IFERROR(VLOOKUP(A663,'2122'!$A$12:$C$389,3,),0)</f>
        <v>0</v>
      </c>
      <c r="I663" s="2">
        <v>0</v>
      </c>
      <c r="J663" s="2">
        <f t="shared" si="45"/>
        <v>0</v>
      </c>
      <c r="K663" s="2">
        <v>0</v>
      </c>
      <c r="M663" s="2">
        <v>0</v>
      </c>
      <c r="N663" s="2">
        <v>0</v>
      </c>
      <c r="P663" s="2">
        <v>0</v>
      </c>
    </row>
    <row r="664" spans="1:16" ht="15.75" thickBot="1">
      <c r="A664" s="2" t="s">
        <v>905</v>
      </c>
      <c r="B664" s="9">
        <v>17</v>
      </c>
      <c r="C664" s="2" t="s">
        <v>415</v>
      </c>
      <c r="D664" s="2" t="s">
        <v>415</v>
      </c>
      <c r="E664" s="2">
        <f>+IFERROR(VLOOKUP(A664,'2122'!$A$12:$C$389,2,),0)</f>
        <v>0</v>
      </c>
      <c r="F664" s="2">
        <v>0</v>
      </c>
      <c r="G664" s="2">
        <f t="shared" si="44"/>
        <v>0</v>
      </c>
      <c r="H664" s="2">
        <f>+IFERROR(VLOOKUP(A664,'2122'!$A$12:$C$389,3,),0)</f>
        <v>0</v>
      </c>
      <c r="I664" s="2">
        <v>0</v>
      </c>
      <c r="J664" s="2">
        <f t="shared" si="45"/>
        <v>0</v>
      </c>
      <c r="K664" s="2">
        <v>0</v>
      </c>
      <c r="M664" s="2">
        <v>0</v>
      </c>
      <c r="N664" s="2">
        <v>41312</v>
      </c>
      <c r="P664" s="2">
        <v>41312</v>
      </c>
    </row>
    <row r="665" spans="1:16" ht="15.75" thickBot="1">
      <c r="A665" s="2" t="s">
        <v>906</v>
      </c>
      <c r="B665" s="9">
        <v>21</v>
      </c>
      <c r="C665" s="2" t="s">
        <v>621</v>
      </c>
      <c r="D665" s="2" t="s">
        <v>622</v>
      </c>
      <c r="E665" s="2">
        <f>+IFERROR(VLOOKUP(A665,'2122'!$A$12:$C$389,2,),0)</f>
        <v>199577.3</v>
      </c>
      <c r="F665" s="2">
        <v>0</v>
      </c>
      <c r="G665" s="2">
        <f t="shared" si="44"/>
        <v>199577.3</v>
      </c>
      <c r="H665" s="2">
        <f>+IFERROR(VLOOKUP(A665,'2122'!$A$12:$C$389,3,),0)</f>
        <v>0</v>
      </c>
      <c r="I665" s="2">
        <v>0</v>
      </c>
      <c r="J665" s="2">
        <f t="shared" si="45"/>
        <v>0</v>
      </c>
      <c r="K665" s="2">
        <v>72962</v>
      </c>
      <c r="M665" s="2">
        <v>72962</v>
      </c>
      <c r="N665" s="2">
        <v>0</v>
      </c>
      <c r="P665" s="2">
        <v>0</v>
      </c>
    </row>
    <row r="666" spans="1:16" ht="15.75" thickBot="1">
      <c r="A666" s="2" t="s">
        <v>377</v>
      </c>
      <c r="B666" s="9">
        <v>27</v>
      </c>
      <c r="C666" s="2" t="s">
        <v>1560</v>
      </c>
      <c r="D666" s="2" t="s">
        <v>1566</v>
      </c>
      <c r="E666" s="2">
        <f>+IFERROR(VLOOKUP(A666,'2122'!$A$12:$C$389,2,),0)</f>
        <v>282444</v>
      </c>
      <c r="F666" s="2">
        <v>0</v>
      </c>
      <c r="G666" s="2">
        <f t="shared" si="44"/>
        <v>282444</v>
      </c>
      <c r="H666" s="2">
        <f>+IFERROR(VLOOKUP(A666,'2122'!$A$12:$C$389,3,),0)</f>
        <v>0</v>
      </c>
      <c r="I666" s="2">
        <v>0</v>
      </c>
      <c r="J666" s="2">
        <f t="shared" si="45"/>
        <v>0</v>
      </c>
      <c r="K666" s="2">
        <v>116491</v>
      </c>
      <c r="M666" s="2">
        <v>116491</v>
      </c>
      <c r="N666" s="2">
        <v>0</v>
      </c>
      <c r="P666" s="2">
        <v>0</v>
      </c>
    </row>
    <row r="667" spans="1:16" ht="15.75" thickBot="1">
      <c r="A667" s="2" t="s">
        <v>907</v>
      </c>
      <c r="B667" s="9">
        <v>17</v>
      </c>
      <c r="C667" s="2" t="s">
        <v>415</v>
      </c>
      <c r="D667" s="2" t="s">
        <v>415</v>
      </c>
      <c r="E667" s="2">
        <f>+IFERROR(VLOOKUP(A667,'2122'!$A$12:$C$389,2,),0)</f>
        <v>0</v>
      </c>
      <c r="F667" s="2">
        <v>0</v>
      </c>
      <c r="G667" s="2">
        <f t="shared" si="44"/>
        <v>0</v>
      </c>
      <c r="H667" s="2">
        <f>+IFERROR(VLOOKUP(A667,'2122'!$A$12:$C$389,3,),0)</f>
        <v>411065</v>
      </c>
      <c r="I667" s="2">
        <v>0</v>
      </c>
      <c r="J667" s="2">
        <f t="shared" si="45"/>
        <v>411065</v>
      </c>
      <c r="K667" s="2">
        <v>0</v>
      </c>
      <c r="M667" s="2">
        <v>0</v>
      </c>
      <c r="N667" s="2">
        <v>109340</v>
      </c>
      <c r="P667" s="2">
        <v>109340</v>
      </c>
    </row>
    <row r="668" spans="1:16" ht="15.75" thickBot="1">
      <c r="A668" s="2" t="s">
        <v>379</v>
      </c>
      <c r="B668" s="9">
        <v>6</v>
      </c>
      <c r="C668" s="2" t="s">
        <v>1074</v>
      </c>
      <c r="D668" s="2" t="s">
        <v>423</v>
      </c>
      <c r="E668" s="2">
        <f>+IFERROR(VLOOKUP(A668,'2122'!$A$12:$C$389,2,),0)</f>
        <v>365534</v>
      </c>
      <c r="F668" s="2">
        <v>0</v>
      </c>
      <c r="G668" s="2">
        <f t="shared" si="44"/>
        <v>365534</v>
      </c>
      <c r="H668" s="2">
        <f>+IFERROR(VLOOKUP(A668,'2122'!$A$12:$C$389,3,),0)</f>
        <v>0</v>
      </c>
      <c r="I668" s="2">
        <v>0</v>
      </c>
      <c r="J668" s="2">
        <f t="shared" si="45"/>
        <v>0</v>
      </c>
      <c r="K668" s="2">
        <v>519122</v>
      </c>
      <c r="M668" s="2">
        <v>519122</v>
      </c>
      <c r="N668" s="2">
        <v>0</v>
      </c>
      <c r="P668" s="2">
        <v>0</v>
      </c>
    </row>
    <row r="669" spans="1:16" ht="15.75" thickBot="1">
      <c r="A669" s="2" t="s">
        <v>908</v>
      </c>
      <c r="B669" s="9">
        <v>23</v>
      </c>
      <c r="C669" s="2" t="s">
        <v>573</v>
      </c>
      <c r="D669" s="2" t="s">
        <v>574</v>
      </c>
      <c r="E669" s="2">
        <f>+IFERROR(VLOOKUP(A669,'2122'!$A$12:$C$389,2,),0)</f>
        <v>938042.5</v>
      </c>
      <c r="F669" s="2">
        <v>0</v>
      </c>
      <c r="G669" s="2">
        <f t="shared" si="44"/>
        <v>938042.5</v>
      </c>
      <c r="H669" s="2">
        <f>+IFERROR(VLOOKUP(A669,'2122'!$A$12:$C$389,3,),0)</f>
        <v>0</v>
      </c>
      <c r="I669" s="2">
        <v>0</v>
      </c>
      <c r="J669" s="2">
        <f t="shared" si="45"/>
        <v>0</v>
      </c>
      <c r="K669" s="2">
        <v>1264812.5</v>
      </c>
      <c r="M669" s="2">
        <v>1264812.5</v>
      </c>
      <c r="N669" s="2">
        <v>0</v>
      </c>
      <c r="P669" s="2">
        <v>0</v>
      </c>
    </row>
    <row r="670" spans="1:16" ht="15.75" thickBot="1">
      <c r="A670" s="2" t="s">
        <v>909</v>
      </c>
      <c r="B670" s="9">
        <v>23</v>
      </c>
      <c r="C670" s="2" t="s">
        <v>573</v>
      </c>
      <c r="D670" s="2" t="s">
        <v>574</v>
      </c>
      <c r="E670" s="2">
        <f>+IFERROR(VLOOKUP(A670,'2122'!$A$12:$C$389,2,),0)</f>
        <v>0</v>
      </c>
      <c r="F670" s="2">
        <v>0</v>
      </c>
      <c r="G670" s="2">
        <f t="shared" si="44"/>
        <v>0</v>
      </c>
      <c r="H670" s="2">
        <f>+IFERROR(VLOOKUP(A670,'2122'!$A$12:$C$389,3,),0)</f>
        <v>0</v>
      </c>
      <c r="I670" s="2">
        <v>0</v>
      </c>
      <c r="J670" s="2">
        <f t="shared" si="45"/>
        <v>0</v>
      </c>
      <c r="K670" s="2">
        <v>0</v>
      </c>
      <c r="M670" s="2">
        <v>0</v>
      </c>
      <c r="N670" s="2">
        <v>0</v>
      </c>
      <c r="P670" s="2">
        <v>0</v>
      </c>
    </row>
    <row r="671" spans="1:16" ht="15.75" thickBot="1">
      <c r="A671" s="2" t="s">
        <v>31</v>
      </c>
      <c r="B671" s="9">
        <v>17</v>
      </c>
      <c r="C671" s="2" t="s">
        <v>415</v>
      </c>
      <c r="D671" s="2" t="s">
        <v>416</v>
      </c>
      <c r="E671" s="2">
        <f>+IFERROR(VLOOKUP(A671,'2122'!$A$12:$C$389,2,),0)</f>
        <v>56700</v>
      </c>
      <c r="F671" s="2">
        <v>0</v>
      </c>
      <c r="G671" s="2">
        <f t="shared" ref="G671:G672" si="46">+E671+F671</f>
        <v>56700</v>
      </c>
      <c r="H671" s="2">
        <f>+IFERROR(VLOOKUP(A671,'2122'!$A$12:$C$389,3,),0)</f>
        <v>0</v>
      </c>
      <c r="I671" s="2">
        <v>0</v>
      </c>
      <c r="J671" s="2">
        <f t="shared" ref="J671:J672" si="47">+H671+I671</f>
        <v>0</v>
      </c>
    </row>
    <row r="672" spans="1:16" ht="15.75" thickBot="1">
      <c r="A672" s="2" t="s">
        <v>32</v>
      </c>
      <c r="B672" s="9">
        <v>6</v>
      </c>
      <c r="C672" s="2" t="s">
        <v>1074</v>
      </c>
      <c r="D672" s="2" t="s">
        <v>423</v>
      </c>
      <c r="E672" s="2">
        <f>+IFERROR(VLOOKUP(A672,'2122'!$A$12:$C$389,2,),0)</f>
        <v>876095</v>
      </c>
      <c r="F672" s="2">
        <v>0</v>
      </c>
      <c r="G672" s="2">
        <f t="shared" si="46"/>
        <v>876095</v>
      </c>
      <c r="H672" s="2">
        <f>+IFERROR(VLOOKUP(A672,'2122'!$A$12:$C$389,3,),0)</f>
        <v>0</v>
      </c>
      <c r="I672" s="2">
        <v>0</v>
      </c>
      <c r="J672" s="2">
        <f t="shared" si="47"/>
        <v>0</v>
      </c>
    </row>
    <row r="673" spans="1:10" ht="15.75" thickBot="1">
      <c r="A673" s="2" t="s">
        <v>37</v>
      </c>
      <c r="B673" s="9">
        <v>17</v>
      </c>
      <c r="C673" s="2" t="s">
        <v>415</v>
      </c>
      <c r="D673" s="2" t="s">
        <v>416</v>
      </c>
      <c r="E673" s="2">
        <f>+IFERROR(VLOOKUP(A673,'2122'!$A$12:$C$389,2,),0)</f>
        <v>0</v>
      </c>
      <c r="F673" s="2">
        <v>0</v>
      </c>
      <c r="G673" s="2">
        <f t="shared" ref="G673" si="48">+E673+F673</f>
        <v>0</v>
      </c>
      <c r="H673" s="2">
        <f>+IFERROR(VLOOKUP(A673,'2122'!$A$12:$C$389,3,),0)</f>
        <v>28252</v>
      </c>
      <c r="I673" s="2">
        <v>0</v>
      </c>
      <c r="J673" s="2">
        <f t="shared" ref="J673" si="49">+H673+I673</f>
        <v>28252</v>
      </c>
    </row>
    <row r="674" spans="1:10" ht="15.75" thickBot="1">
      <c r="A674" s="2" t="s">
        <v>52</v>
      </c>
      <c r="B674" s="9">
        <v>27</v>
      </c>
      <c r="C674" s="2" t="s">
        <v>1568</v>
      </c>
      <c r="D674" s="2" t="s">
        <v>1570</v>
      </c>
      <c r="E674" s="2">
        <f>+IFERROR(VLOOKUP(A674,'2122'!$A$12:$C$389,2,),0)</f>
        <v>154050</v>
      </c>
      <c r="F674" s="2">
        <v>0</v>
      </c>
      <c r="G674" s="2">
        <f t="shared" ref="G674:G737" si="50">+E674+F674</f>
        <v>154050</v>
      </c>
      <c r="H674" s="2">
        <f>+IFERROR(VLOOKUP(A674,'2122'!$A$12:$C$389,3,),0)</f>
        <v>0</v>
      </c>
      <c r="I674" s="2">
        <v>0</v>
      </c>
      <c r="J674" s="2">
        <f t="shared" ref="J674:J737" si="51">+H674+I674</f>
        <v>0</v>
      </c>
    </row>
    <row r="675" spans="1:10" ht="15.75" thickBot="1">
      <c r="A675" s="2" t="s">
        <v>56</v>
      </c>
      <c r="B675" s="9">
        <v>19</v>
      </c>
      <c r="C675" s="2" t="s">
        <v>482</v>
      </c>
      <c r="D675" s="2" t="s">
        <v>531</v>
      </c>
      <c r="E675" s="2">
        <f>+IFERROR(VLOOKUP(A675,'2122'!$A$12:$C$389,2,),0)</f>
        <v>0</v>
      </c>
      <c r="F675" s="2">
        <v>0</v>
      </c>
      <c r="G675" s="2">
        <f t="shared" si="50"/>
        <v>0</v>
      </c>
      <c r="H675" s="2">
        <f>+IFERROR(VLOOKUP(A675,'2122'!$A$12:$C$389,3,),0)</f>
        <v>0</v>
      </c>
      <c r="I675" s="2">
        <v>0</v>
      </c>
      <c r="J675" s="2">
        <f t="shared" si="51"/>
        <v>0</v>
      </c>
    </row>
    <row r="676" spans="1:10" ht="15.75" thickBot="1">
      <c r="A676" s="2" t="s">
        <v>58</v>
      </c>
      <c r="B676" s="9">
        <v>19</v>
      </c>
      <c r="C676" s="2" t="s">
        <v>482</v>
      </c>
      <c r="D676" s="2" t="s">
        <v>531</v>
      </c>
      <c r="E676" s="2">
        <f>+IFERROR(VLOOKUP(A676,'2122'!$A$12:$C$389,2,),0)</f>
        <v>0</v>
      </c>
      <c r="F676" s="2">
        <v>0</v>
      </c>
      <c r="G676" s="2">
        <f t="shared" si="50"/>
        <v>0</v>
      </c>
      <c r="H676" s="2">
        <f>+IFERROR(VLOOKUP(A676,'2122'!$A$12:$C$389,3,),0)</f>
        <v>2903011.18</v>
      </c>
      <c r="I676" s="2">
        <v>0</v>
      </c>
      <c r="J676" s="2">
        <f t="shared" si="51"/>
        <v>2903011.18</v>
      </c>
    </row>
    <row r="677" spans="1:10" ht="15.75" thickBot="1">
      <c r="A677" s="2" t="s">
        <v>59</v>
      </c>
      <c r="B677" s="9">
        <v>19</v>
      </c>
      <c r="C677" s="2" t="s">
        <v>482</v>
      </c>
      <c r="D677" s="2" t="s">
        <v>531</v>
      </c>
      <c r="E677" s="2">
        <f>+IFERROR(VLOOKUP(A677,'2122'!$A$12:$C$389,2,),0)</f>
        <v>0</v>
      </c>
      <c r="F677" s="2">
        <v>0</v>
      </c>
      <c r="G677" s="2">
        <f t="shared" si="50"/>
        <v>0</v>
      </c>
      <c r="H677" s="2">
        <f>+IFERROR(VLOOKUP(A677,'2122'!$A$12:$C$389,3,),0)</f>
        <v>0</v>
      </c>
      <c r="I677" s="2">
        <v>0</v>
      </c>
      <c r="J677" s="2">
        <f t="shared" si="51"/>
        <v>0</v>
      </c>
    </row>
    <row r="678" spans="1:10" ht="15.75" thickBot="1">
      <c r="A678" s="2" t="s">
        <v>60</v>
      </c>
      <c r="B678" s="9">
        <v>4</v>
      </c>
      <c r="C678" s="2" t="s">
        <v>1547</v>
      </c>
      <c r="D678" s="2" t="s">
        <v>958</v>
      </c>
      <c r="E678" s="2">
        <f>+IFERROR(VLOOKUP(A678,'2122'!$A$12:$C$389,2,),0)</f>
        <v>1031300</v>
      </c>
      <c r="F678" s="2">
        <v>0</v>
      </c>
      <c r="G678" s="2">
        <f t="shared" si="50"/>
        <v>1031300</v>
      </c>
      <c r="H678" s="2">
        <f>+IFERROR(VLOOKUP(A678,'2122'!$A$12:$C$389,3,),0)</f>
        <v>0</v>
      </c>
      <c r="I678" s="2">
        <v>0</v>
      </c>
      <c r="J678" s="2">
        <f t="shared" si="51"/>
        <v>0</v>
      </c>
    </row>
    <row r="679" spans="1:10" ht="15.75" thickBot="1">
      <c r="A679" s="2" t="s">
        <v>63</v>
      </c>
      <c r="B679" s="9">
        <v>17</v>
      </c>
      <c r="C679" s="2" t="s">
        <v>415</v>
      </c>
      <c r="D679" s="2" t="s">
        <v>415</v>
      </c>
      <c r="E679" s="2">
        <f>+IFERROR(VLOOKUP(A679,'2122'!$A$12:$C$389,2,),0)</f>
        <v>0</v>
      </c>
      <c r="F679" s="2">
        <v>0</v>
      </c>
      <c r="G679" s="2">
        <f t="shared" si="50"/>
        <v>0</v>
      </c>
      <c r="H679" s="2">
        <f>+IFERROR(VLOOKUP(A679,'2122'!$A$12:$C$389,3,),0)</f>
        <v>244960</v>
      </c>
      <c r="I679" s="2">
        <v>0</v>
      </c>
      <c r="J679" s="2">
        <f t="shared" si="51"/>
        <v>244960</v>
      </c>
    </row>
    <row r="680" spans="1:10" ht="15.75" thickBot="1">
      <c r="A680" s="2" t="s">
        <v>66</v>
      </c>
      <c r="B680" s="9">
        <v>27</v>
      </c>
      <c r="C680" s="2" t="s">
        <v>1568</v>
      </c>
      <c r="D680" s="2" t="s">
        <v>66</v>
      </c>
      <c r="E680" s="2">
        <f>+IFERROR(VLOOKUP(A680,'2122'!$A$12:$C$389,2,),0)</f>
        <v>1397360</v>
      </c>
      <c r="F680" s="2">
        <v>0</v>
      </c>
      <c r="G680" s="2">
        <f t="shared" si="50"/>
        <v>1397360</v>
      </c>
      <c r="H680" s="2">
        <f>+IFERROR(VLOOKUP(A680,'2122'!$A$12:$C$389,3,),0)</f>
        <v>0</v>
      </c>
      <c r="I680" s="2">
        <v>0</v>
      </c>
      <c r="J680" s="2">
        <f t="shared" si="51"/>
        <v>0</v>
      </c>
    </row>
    <row r="681" spans="1:10" ht="15.75" thickBot="1">
      <c r="A681" s="2" t="s">
        <v>68</v>
      </c>
      <c r="B681" s="9">
        <v>17</v>
      </c>
      <c r="C681" s="2" t="s">
        <v>415</v>
      </c>
      <c r="D681" s="2" t="s">
        <v>416</v>
      </c>
      <c r="E681" s="2">
        <f>+IFERROR(VLOOKUP(A681,'2122'!$A$12:$C$389,2,),0)</f>
        <v>0</v>
      </c>
      <c r="F681" s="2">
        <v>0</v>
      </c>
      <c r="G681" s="2">
        <f t="shared" si="50"/>
        <v>0</v>
      </c>
      <c r="H681" s="2">
        <f>+IFERROR(VLOOKUP(A681,'2122'!$A$12:$C$389,3,),0)</f>
        <v>29986</v>
      </c>
      <c r="I681" s="2">
        <v>0</v>
      </c>
      <c r="J681" s="2">
        <f t="shared" si="51"/>
        <v>29986</v>
      </c>
    </row>
    <row r="682" spans="1:10" ht="15.75" thickBot="1">
      <c r="A682" s="2" t="s">
        <v>78</v>
      </c>
      <c r="B682" s="9">
        <v>27</v>
      </c>
      <c r="C682" s="2" t="s">
        <v>1560</v>
      </c>
      <c r="D682" s="2" t="s">
        <v>588</v>
      </c>
      <c r="E682" s="2">
        <f>+IFERROR(VLOOKUP(A682,'2122'!$A$12:$C$389,2,),0)</f>
        <v>351972</v>
      </c>
      <c r="F682" s="2">
        <v>0</v>
      </c>
      <c r="G682" s="2">
        <f t="shared" si="50"/>
        <v>351972</v>
      </c>
      <c r="H682" s="2">
        <f>+IFERROR(VLOOKUP(A682,'2122'!$A$12:$C$389,3,),0)</f>
        <v>0</v>
      </c>
      <c r="I682" s="2">
        <v>0</v>
      </c>
      <c r="J682" s="2">
        <f t="shared" si="51"/>
        <v>0</v>
      </c>
    </row>
    <row r="683" spans="1:10" ht="15.75" thickBot="1">
      <c r="A683" s="2" t="s">
        <v>79</v>
      </c>
      <c r="B683" s="9">
        <v>23</v>
      </c>
      <c r="C683" s="2" t="s">
        <v>573</v>
      </c>
      <c r="D683" s="2" t="s">
        <v>574</v>
      </c>
      <c r="E683" s="2">
        <f>+IFERROR(VLOOKUP(A683,'2122'!$A$12:$C$389,2,),0)</f>
        <v>826334</v>
      </c>
      <c r="F683" s="2">
        <v>0</v>
      </c>
      <c r="G683" s="2">
        <f t="shared" si="50"/>
        <v>826334</v>
      </c>
      <c r="H683" s="2">
        <f>+IFERROR(VLOOKUP(A683,'2122'!$A$12:$C$389,3,),0)</f>
        <v>0</v>
      </c>
      <c r="I683" s="2">
        <v>0</v>
      </c>
      <c r="J683" s="2">
        <f t="shared" si="51"/>
        <v>0</v>
      </c>
    </row>
    <row r="684" spans="1:10" ht="15.75" thickBot="1">
      <c r="A684" s="2" t="s">
        <v>100</v>
      </c>
      <c r="B684" s="9">
        <v>21</v>
      </c>
      <c r="C684" s="2" t="s">
        <v>621</v>
      </c>
      <c r="D684" s="2" t="s">
        <v>622</v>
      </c>
      <c r="E684" s="2">
        <f>+IFERROR(VLOOKUP(A684,'2122'!$A$12:$C$389,2,),0)</f>
        <v>39401489</v>
      </c>
      <c r="F684" s="2">
        <v>0</v>
      </c>
      <c r="G684" s="2">
        <f t="shared" si="50"/>
        <v>39401489</v>
      </c>
      <c r="H684" s="2">
        <f>+IFERROR(VLOOKUP(A684,'2122'!$A$12:$C$389,3,),0)</f>
        <v>0</v>
      </c>
      <c r="I684" s="2">
        <v>0</v>
      </c>
      <c r="J684" s="2">
        <f t="shared" si="51"/>
        <v>0</v>
      </c>
    </row>
    <row r="685" spans="1:10" ht="15.75" thickBot="1">
      <c r="A685" s="2" t="s">
        <v>103</v>
      </c>
      <c r="B685" s="9">
        <v>17</v>
      </c>
      <c r="C685" s="2" t="s">
        <v>415</v>
      </c>
      <c r="D685" s="2" t="s">
        <v>416</v>
      </c>
      <c r="E685" s="2">
        <f>+IFERROR(VLOOKUP(A685,'2122'!$A$12:$C$389,2,),0)</f>
        <v>0</v>
      </c>
      <c r="F685" s="2">
        <v>0</v>
      </c>
      <c r="G685" s="2">
        <f t="shared" si="50"/>
        <v>0</v>
      </c>
      <c r="H685" s="2">
        <f>+IFERROR(VLOOKUP(A685,'2122'!$A$12:$C$389,3,),0)</f>
        <v>78588</v>
      </c>
      <c r="I685" s="2">
        <v>0</v>
      </c>
      <c r="J685" s="2">
        <f t="shared" si="51"/>
        <v>78588</v>
      </c>
    </row>
    <row r="686" spans="1:10" ht="15.75" thickBot="1">
      <c r="A686" s="2" t="s">
        <v>107</v>
      </c>
      <c r="B686" s="9">
        <v>27</v>
      </c>
      <c r="C686" s="2" t="s">
        <v>1560</v>
      </c>
      <c r="D686" s="2" t="s">
        <v>279</v>
      </c>
      <c r="E686" s="2">
        <f>+IFERROR(VLOOKUP(A686,'2122'!$A$12:$C$389,2,),0)</f>
        <v>896</v>
      </c>
      <c r="F686" s="2">
        <v>0</v>
      </c>
      <c r="G686" s="2">
        <f t="shared" si="50"/>
        <v>896</v>
      </c>
      <c r="H686" s="2">
        <f>+IFERROR(VLOOKUP(A686,'2122'!$A$12:$C$389,3,),0)</f>
        <v>0</v>
      </c>
      <c r="I686" s="2">
        <v>0</v>
      </c>
      <c r="J686" s="2">
        <f t="shared" si="51"/>
        <v>0</v>
      </c>
    </row>
    <row r="687" spans="1:10" ht="15.75" thickBot="1">
      <c r="A687" s="2" t="s">
        <v>109</v>
      </c>
      <c r="B687" s="9">
        <v>17</v>
      </c>
      <c r="C687" s="2" t="s">
        <v>415</v>
      </c>
      <c r="D687" s="2" t="s">
        <v>416</v>
      </c>
      <c r="E687" s="2">
        <f>+IFERROR(VLOOKUP(A687,'2122'!$A$12:$C$389,2,),0)</f>
        <v>0</v>
      </c>
      <c r="F687" s="2">
        <v>0</v>
      </c>
      <c r="G687" s="2">
        <f t="shared" si="50"/>
        <v>0</v>
      </c>
      <c r="H687" s="2">
        <f>+IFERROR(VLOOKUP(A687,'2122'!$A$12:$C$389,3,),0)</f>
        <v>227278</v>
      </c>
      <c r="I687" s="2">
        <v>0</v>
      </c>
      <c r="J687" s="2">
        <f t="shared" si="51"/>
        <v>227278</v>
      </c>
    </row>
    <row r="688" spans="1:10" ht="15.75" thickBot="1">
      <c r="A688" s="2" t="s">
        <v>124</v>
      </c>
      <c r="B688" s="9">
        <v>3</v>
      </c>
      <c r="C688" s="2" t="s">
        <v>1549</v>
      </c>
      <c r="D688" s="2" t="s">
        <v>603</v>
      </c>
      <c r="E688" s="2">
        <f>+IFERROR(VLOOKUP(A688,'2122'!$A$12:$C$389,2,),0)</f>
        <v>250000</v>
      </c>
      <c r="F688" s="2">
        <v>0</v>
      </c>
      <c r="G688" s="2">
        <f t="shared" si="50"/>
        <v>250000</v>
      </c>
      <c r="H688" s="2">
        <f>+IFERROR(VLOOKUP(A688,'2122'!$A$12:$C$389,3,),0)</f>
        <v>0</v>
      </c>
      <c r="I688" s="2">
        <v>0</v>
      </c>
      <c r="J688" s="2">
        <f t="shared" si="51"/>
        <v>0</v>
      </c>
    </row>
    <row r="689" spans="1:10" ht="15.75" thickBot="1">
      <c r="A689" s="2" t="s">
        <v>129</v>
      </c>
      <c r="B689" s="9">
        <v>27</v>
      </c>
      <c r="C689" s="2" t="s">
        <v>1555</v>
      </c>
      <c r="D689" s="2" t="s">
        <v>1294</v>
      </c>
      <c r="E689" s="2">
        <f>+IFERROR(VLOOKUP(A689,'2122'!$A$12:$C$389,2,),0)</f>
        <v>60</v>
      </c>
      <c r="F689" s="2">
        <v>0</v>
      </c>
      <c r="G689" s="2">
        <f t="shared" si="50"/>
        <v>60</v>
      </c>
      <c r="H689" s="2">
        <f>+IFERROR(VLOOKUP(A689,'2122'!$A$12:$C$389,3,),0)</f>
        <v>0</v>
      </c>
      <c r="I689" s="2">
        <v>0</v>
      </c>
      <c r="J689" s="2">
        <f t="shared" si="51"/>
        <v>0</v>
      </c>
    </row>
    <row r="690" spans="1:10" ht="15.75" thickBot="1">
      <c r="A690" s="2" t="s">
        <v>131</v>
      </c>
      <c r="B690" s="9">
        <v>13</v>
      </c>
      <c r="C690" s="2" t="s">
        <v>474</v>
      </c>
      <c r="D690" s="2" t="s">
        <v>475</v>
      </c>
      <c r="E690" s="2">
        <f>+IFERROR(VLOOKUP(A690,'2122'!$A$12:$C$389,2,),0)</f>
        <v>0</v>
      </c>
      <c r="F690" s="2">
        <v>0</v>
      </c>
      <c r="G690" s="2">
        <f t="shared" si="50"/>
        <v>0</v>
      </c>
      <c r="H690" s="2">
        <f>+IFERROR(VLOOKUP(A690,'2122'!$A$12:$C$389,3,),0)</f>
        <v>2165420</v>
      </c>
      <c r="I690" s="2">
        <v>0</v>
      </c>
      <c r="J690" s="2">
        <f t="shared" si="51"/>
        <v>2165420</v>
      </c>
    </row>
    <row r="691" spans="1:10" ht="15.75" thickBot="1">
      <c r="A691" s="2" t="s">
        <v>133</v>
      </c>
      <c r="B691" s="9">
        <v>4</v>
      </c>
      <c r="C691" s="2" t="s">
        <v>1547</v>
      </c>
      <c r="D691" s="2" t="s">
        <v>958</v>
      </c>
      <c r="E691" s="2">
        <f>+IFERROR(VLOOKUP(A691,'2122'!$A$12:$C$389,2,),0)</f>
        <v>927610</v>
      </c>
      <c r="F691" s="2">
        <v>0</v>
      </c>
      <c r="G691" s="2">
        <f t="shared" si="50"/>
        <v>927610</v>
      </c>
      <c r="H691" s="2">
        <f>+IFERROR(VLOOKUP(A691,'2122'!$A$12:$C$389,3,),0)</f>
        <v>0</v>
      </c>
      <c r="I691" s="2">
        <v>0</v>
      </c>
      <c r="J691" s="2">
        <f t="shared" si="51"/>
        <v>0</v>
      </c>
    </row>
    <row r="692" spans="1:10" ht="15.75" thickBot="1">
      <c r="A692" s="2" t="s">
        <v>138</v>
      </c>
      <c r="B692" s="9">
        <v>4</v>
      </c>
      <c r="C692" s="2" t="s">
        <v>1547</v>
      </c>
      <c r="D692" s="2" t="s">
        <v>958</v>
      </c>
      <c r="E692" s="2">
        <f>+IFERROR(VLOOKUP(A692,'2122'!$A$12:$C$389,2,),0)</f>
        <v>1200000</v>
      </c>
      <c r="F692" s="2">
        <v>0</v>
      </c>
      <c r="G692" s="2">
        <f t="shared" si="50"/>
        <v>1200000</v>
      </c>
      <c r="H692" s="2">
        <f>+IFERROR(VLOOKUP(A692,'2122'!$A$12:$C$389,3,),0)</f>
        <v>0</v>
      </c>
      <c r="I692" s="2">
        <v>0</v>
      </c>
      <c r="J692" s="2">
        <f t="shared" si="51"/>
        <v>0</v>
      </c>
    </row>
    <row r="693" spans="1:10" ht="15.75" thickBot="1">
      <c r="A693" s="2" t="s">
        <v>141</v>
      </c>
      <c r="B693" s="9">
        <v>19</v>
      </c>
      <c r="C693" s="2" t="s">
        <v>482</v>
      </c>
      <c r="D693" s="2" t="s">
        <v>531</v>
      </c>
      <c r="E693" s="2">
        <f>+IFERROR(VLOOKUP(A693,'2122'!$A$12:$C$389,2,),0)</f>
        <v>0</v>
      </c>
      <c r="F693" s="2">
        <v>0</v>
      </c>
      <c r="G693" s="2">
        <f t="shared" si="50"/>
        <v>0</v>
      </c>
      <c r="H693" s="2">
        <f>+IFERROR(VLOOKUP(A693,'2122'!$A$12:$C$389,3,),0)</f>
        <v>308166.59000000003</v>
      </c>
      <c r="I693" s="2">
        <v>0</v>
      </c>
      <c r="J693" s="2">
        <f t="shared" si="51"/>
        <v>308166.59000000003</v>
      </c>
    </row>
    <row r="694" spans="1:10" ht="15.75" thickBot="1">
      <c r="A694" s="2" t="s">
        <v>142</v>
      </c>
      <c r="B694" s="9">
        <v>19</v>
      </c>
      <c r="C694" s="2" t="s">
        <v>482</v>
      </c>
      <c r="D694" s="2" t="s">
        <v>531</v>
      </c>
      <c r="E694" s="2">
        <f>+IFERROR(VLOOKUP(A694,'2122'!$A$12:$C$389,2,),0)</f>
        <v>315731.11</v>
      </c>
      <c r="F694" s="2">
        <v>0</v>
      </c>
      <c r="G694" s="2">
        <f t="shared" si="50"/>
        <v>315731.11</v>
      </c>
      <c r="H694" s="2">
        <f>+IFERROR(VLOOKUP(A694,'2122'!$A$12:$C$389,3,),0)</f>
        <v>0</v>
      </c>
      <c r="I694" s="2">
        <v>0</v>
      </c>
      <c r="J694" s="2">
        <f t="shared" si="51"/>
        <v>0</v>
      </c>
    </row>
    <row r="695" spans="1:10" ht="15.75" thickBot="1">
      <c r="A695" s="2" t="s">
        <v>143</v>
      </c>
      <c r="B695" s="9">
        <v>4</v>
      </c>
      <c r="C695" s="2" t="s">
        <v>1547</v>
      </c>
      <c r="D695" s="2" t="s">
        <v>958</v>
      </c>
      <c r="E695" s="2">
        <f>+IFERROR(VLOOKUP(A695,'2122'!$A$12:$C$389,2,),0)</f>
        <v>300000</v>
      </c>
      <c r="F695" s="2">
        <v>0</v>
      </c>
      <c r="G695" s="2">
        <f t="shared" si="50"/>
        <v>300000</v>
      </c>
      <c r="H695" s="2">
        <f>+IFERROR(VLOOKUP(A695,'2122'!$A$12:$C$389,3,),0)</f>
        <v>0</v>
      </c>
      <c r="I695" s="2">
        <v>0</v>
      </c>
      <c r="J695" s="2">
        <f t="shared" si="51"/>
        <v>0</v>
      </c>
    </row>
    <row r="696" spans="1:10" ht="15.75" thickBot="1">
      <c r="A696" s="2" t="s">
        <v>146</v>
      </c>
      <c r="B696" s="9">
        <v>27</v>
      </c>
      <c r="C696" s="2" t="s">
        <v>1560</v>
      </c>
      <c r="D696" s="2" t="s">
        <v>1312</v>
      </c>
      <c r="E696" s="2">
        <f>+IFERROR(VLOOKUP(A696,'2122'!$A$12:$C$389,2,),0)</f>
        <v>345100</v>
      </c>
      <c r="F696" s="2">
        <v>0</v>
      </c>
      <c r="G696" s="2">
        <f t="shared" si="50"/>
        <v>345100</v>
      </c>
      <c r="H696" s="2">
        <f>+IFERROR(VLOOKUP(A696,'2122'!$A$12:$C$389,3,),0)</f>
        <v>0</v>
      </c>
      <c r="I696" s="2">
        <v>0</v>
      </c>
      <c r="J696" s="2">
        <f t="shared" si="51"/>
        <v>0</v>
      </c>
    </row>
    <row r="697" spans="1:10" ht="15.75" thickBot="1">
      <c r="A697" s="2" t="s">
        <v>151</v>
      </c>
      <c r="B697" s="9">
        <v>4</v>
      </c>
      <c r="C697" s="2" t="s">
        <v>1547</v>
      </c>
      <c r="D697" s="2" t="s">
        <v>958</v>
      </c>
      <c r="E697" s="2">
        <f>+IFERROR(VLOOKUP(A697,'2122'!$A$12:$C$389,2,),0)</f>
        <v>200000</v>
      </c>
      <c r="F697" s="2">
        <v>0</v>
      </c>
      <c r="G697" s="2">
        <f t="shared" si="50"/>
        <v>200000</v>
      </c>
      <c r="H697" s="2">
        <f>+IFERROR(VLOOKUP(A697,'2122'!$A$12:$C$389,3,),0)</f>
        <v>0</v>
      </c>
      <c r="I697" s="2">
        <v>0</v>
      </c>
      <c r="J697" s="2">
        <f t="shared" si="51"/>
        <v>0</v>
      </c>
    </row>
    <row r="698" spans="1:10" ht="15.75" thickBot="1">
      <c r="A698" s="2" t="s">
        <v>152</v>
      </c>
      <c r="B698" s="9">
        <v>17</v>
      </c>
      <c r="C698" s="2" t="s">
        <v>415</v>
      </c>
      <c r="D698" s="2" t="s">
        <v>415</v>
      </c>
      <c r="E698" s="2">
        <f>+IFERROR(VLOOKUP(A698,'2122'!$A$12:$C$389,2,),0)</f>
        <v>0</v>
      </c>
      <c r="F698" s="2">
        <v>0</v>
      </c>
      <c r="G698" s="2">
        <f t="shared" si="50"/>
        <v>0</v>
      </c>
      <c r="H698" s="2">
        <f>+IFERROR(VLOOKUP(A698,'2122'!$A$12:$C$389,3,),0)</f>
        <v>266778</v>
      </c>
      <c r="I698" s="2">
        <v>0</v>
      </c>
      <c r="J698" s="2">
        <f t="shared" si="51"/>
        <v>266778</v>
      </c>
    </row>
    <row r="699" spans="1:10" ht="15.75" thickBot="1">
      <c r="A699" s="2" t="s">
        <v>155</v>
      </c>
      <c r="B699" s="9">
        <v>10</v>
      </c>
      <c r="C699" s="2" t="s">
        <v>598</v>
      </c>
      <c r="D699" s="2" t="s">
        <v>685</v>
      </c>
      <c r="E699" s="2">
        <f>+IFERROR(VLOOKUP(A699,'2122'!$A$12:$C$389,2,),0)</f>
        <v>6177</v>
      </c>
      <c r="F699" s="2">
        <v>0</v>
      </c>
      <c r="G699" s="2">
        <f t="shared" si="50"/>
        <v>6177</v>
      </c>
      <c r="H699" s="2">
        <f>+IFERROR(VLOOKUP(A699,'2122'!$A$12:$C$389,3,),0)</f>
        <v>0</v>
      </c>
      <c r="I699" s="2">
        <v>0</v>
      </c>
      <c r="J699" s="2">
        <f t="shared" si="51"/>
        <v>0</v>
      </c>
    </row>
    <row r="700" spans="1:10" ht="15.75" thickBot="1">
      <c r="A700" s="2" t="s">
        <v>166</v>
      </c>
      <c r="B700" s="9">
        <v>27</v>
      </c>
      <c r="C700" s="2" t="s">
        <v>1560</v>
      </c>
      <c r="D700" s="2" t="s">
        <v>279</v>
      </c>
      <c r="E700" s="2">
        <f>+IFERROR(VLOOKUP(A700,'2122'!$A$12:$C$389,2,),0)</f>
        <v>600</v>
      </c>
      <c r="F700" s="2">
        <v>0</v>
      </c>
      <c r="G700" s="2">
        <f t="shared" si="50"/>
        <v>600</v>
      </c>
      <c r="H700" s="2">
        <f>+IFERROR(VLOOKUP(A700,'2122'!$A$12:$C$389,3,),0)</f>
        <v>0</v>
      </c>
      <c r="I700" s="2">
        <v>0</v>
      </c>
      <c r="J700" s="2">
        <f t="shared" si="51"/>
        <v>0</v>
      </c>
    </row>
    <row r="701" spans="1:10" ht="15.75" thickBot="1">
      <c r="A701" s="2" t="s">
        <v>173</v>
      </c>
      <c r="B701" s="9">
        <v>26</v>
      </c>
      <c r="C701" s="2" t="s">
        <v>509</v>
      </c>
      <c r="D701" s="2" t="s">
        <v>693</v>
      </c>
      <c r="E701" s="2">
        <f>+IFERROR(VLOOKUP(A701,'2122'!$A$12:$C$389,2,),0)</f>
        <v>193596</v>
      </c>
      <c r="F701" s="2">
        <v>0</v>
      </c>
      <c r="G701" s="2">
        <f t="shared" si="50"/>
        <v>193596</v>
      </c>
      <c r="H701" s="2">
        <f>+IFERROR(VLOOKUP(A701,'2122'!$A$12:$C$389,3,),0)</f>
        <v>0</v>
      </c>
      <c r="I701" s="2">
        <v>0</v>
      </c>
      <c r="J701" s="2">
        <f t="shared" si="51"/>
        <v>0</v>
      </c>
    </row>
    <row r="702" spans="1:10" ht="15.75" thickBot="1">
      <c r="A702" s="2" t="s">
        <v>189</v>
      </c>
      <c r="B702" s="9">
        <v>17</v>
      </c>
      <c r="C702" s="2" t="s">
        <v>415</v>
      </c>
      <c r="D702" s="2" t="s">
        <v>415</v>
      </c>
      <c r="E702" s="2">
        <f>+IFERROR(VLOOKUP(A702,'2122'!$A$12:$C$389,2,),0)</f>
        <v>0</v>
      </c>
      <c r="F702" s="2">
        <v>0</v>
      </c>
      <c r="G702" s="2">
        <f t="shared" si="50"/>
        <v>0</v>
      </c>
      <c r="H702" s="2">
        <f>+IFERROR(VLOOKUP(A702,'2122'!$A$12:$C$389,3,),0)</f>
        <v>9742192</v>
      </c>
      <c r="I702" s="2">
        <v>0</v>
      </c>
      <c r="J702" s="2">
        <f t="shared" si="51"/>
        <v>9742192</v>
      </c>
    </row>
    <row r="703" spans="1:10" ht="15.75" thickBot="1">
      <c r="A703" s="2" t="s">
        <v>209</v>
      </c>
      <c r="B703" s="9">
        <v>9</v>
      </c>
      <c r="C703" s="2" t="s">
        <v>602</v>
      </c>
      <c r="D703" s="2" t="s">
        <v>450</v>
      </c>
      <c r="E703" s="2">
        <f>+IFERROR(VLOOKUP(A703,'2122'!$A$12:$C$389,2,),0)</f>
        <v>53000</v>
      </c>
      <c r="F703" s="2">
        <v>0</v>
      </c>
      <c r="G703" s="2">
        <f t="shared" si="50"/>
        <v>53000</v>
      </c>
      <c r="H703" s="2">
        <f>+IFERROR(VLOOKUP(A703,'2122'!$A$12:$C$389,3,),0)</f>
        <v>0</v>
      </c>
      <c r="I703" s="2">
        <v>0</v>
      </c>
      <c r="J703" s="2">
        <f t="shared" si="51"/>
        <v>0</v>
      </c>
    </row>
    <row r="704" spans="1:10" ht="15.75" thickBot="1">
      <c r="A704" s="2" t="s">
        <v>214</v>
      </c>
      <c r="B704" s="9">
        <v>17</v>
      </c>
      <c r="C704" s="2" t="s">
        <v>415</v>
      </c>
      <c r="D704" s="2" t="s">
        <v>415</v>
      </c>
      <c r="E704" s="2">
        <f>+IFERROR(VLOOKUP(A704,'2122'!$A$12:$C$389,2,),0)</f>
        <v>0</v>
      </c>
      <c r="F704" s="2">
        <v>0</v>
      </c>
      <c r="G704" s="2">
        <f t="shared" si="50"/>
        <v>0</v>
      </c>
      <c r="H704" s="2">
        <f>+IFERROR(VLOOKUP(A704,'2122'!$A$12:$C$389,3,),0)</f>
        <v>0</v>
      </c>
      <c r="I704" s="2">
        <v>0</v>
      </c>
      <c r="J704" s="2">
        <f t="shared" si="51"/>
        <v>0</v>
      </c>
    </row>
    <row r="705" spans="1:10" ht="15.75" thickBot="1">
      <c r="A705" s="2" t="s">
        <v>223</v>
      </c>
      <c r="B705" s="9">
        <v>17</v>
      </c>
      <c r="C705" s="2" t="s">
        <v>415</v>
      </c>
      <c r="D705" s="2" t="s">
        <v>415</v>
      </c>
      <c r="E705" s="2">
        <f>+IFERROR(VLOOKUP(A705,'2122'!$A$12:$C$389,2,),0)</f>
        <v>0</v>
      </c>
      <c r="F705" s="2">
        <v>0</v>
      </c>
      <c r="G705" s="2">
        <f t="shared" si="50"/>
        <v>0</v>
      </c>
      <c r="H705" s="2">
        <f>+IFERROR(VLOOKUP(A705,'2122'!$A$12:$C$389,3,),0)</f>
        <v>82682</v>
      </c>
      <c r="I705" s="2">
        <v>0</v>
      </c>
      <c r="J705" s="2">
        <f t="shared" si="51"/>
        <v>82682</v>
      </c>
    </row>
    <row r="706" spans="1:10" ht="15.75" thickBot="1">
      <c r="A706" s="2" t="s">
        <v>229</v>
      </c>
      <c r="B706" s="9">
        <v>27</v>
      </c>
      <c r="C706" s="2" t="s">
        <v>1560</v>
      </c>
      <c r="D706" s="2" t="s">
        <v>279</v>
      </c>
      <c r="E706" s="2">
        <f>+IFERROR(VLOOKUP(A706,'2122'!$A$12:$C$389,2,),0)</f>
        <v>0</v>
      </c>
      <c r="F706" s="2">
        <v>0</v>
      </c>
      <c r="G706" s="2">
        <f t="shared" si="50"/>
        <v>0</v>
      </c>
      <c r="H706" s="2">
        <f>+IFERROR(VLOOKUP(A706,'2122'!$A$12:$C$389,3,),0)</f>
        <v>0</v>
      </c>
      <c r="I706" s="2">
        <v>0</v>
      </c>
      <c r="J706" s="2">
        <f t="shared" si="51"/>
        <v>0</v>
      </c>
    </row>
    <row r="707" spans="1:10" ht="15.75" thickBot="1">
      <c r="A707" s="2" t="s">
        <v>232</v>
      </c>
      <c r="B707" s="9">
        <v>17</v>
      </c>
      <c r="C707" s="2" t="s">
        <v>415</v>
      </c>
      <c r="D707" s="2" t="s">
        <v>415</v>
      </c>
      <c r="E707" s="2">
        <f>+IFERROR(VLOOKUP(A707,'2122'!$A$12:$C$389,2,),0)</f>
        <v>0</v>
      </c>
      <c r="F707" s="2">
        <v>0</v>
      </c>
      <c r="G707" s="2">
        <f t="shared" si="50"/>
        <v>0</v>
      </c>
      <c r="H707" s="2">
        <f>+IFERROR(VLOOKUP(A707,'2122'!$A$12:$C$389,3,),0)</f>
        <v>270000</v>
      </c>
      <c r="I707" s="2">
        <v>0</v>
      </c>
      <c r="J707" s="2">
        <f t="shared" si="51"/>
        <v>270000</v>
      </c>
    </row>
    <row r="708" spans="1:10" ht="15.75" thickBot="1">
      <c r="A708" s="2" t="s">
        <v>241</v>
      </c>
      <c r="B708" s="9">
        <v>17</v>
      </c>
      <c r="C708" s="2" t="s">
        <v>415</v>
      </c>
      <c r="D708" s="2" t="s">
        <v>416</v>
      </c>
      <c r="E708" s="2">
        <f>+IFERROR(VLOOKUP(A708,'2122'!$A$12:$C$389,2,),0)</f>
        <v>0</v>
      </c>
      <c r="F708" s="2">
        <v>0</v>
      </c>
      <c r="G708" s="2">
        <f t="shared" si="50"/>
        <v>0</v>
      </c>
      <c r="H708" s="2">
        <f>+IFERROR(VLOOKUP(A708,'2122'!$A$12:$C$389,3,),0)</f>
        <v>52156</v>
      </c>
      <c r="I708" s="2">
        <v>0</v>
      </c>
      <c r="J708" s="2">
        <f t="shared" si="51"/>
        <v>52156</v>
      </c>
    </row>
    <row r="709" spans="1:10" ht="15.75" thickBot="1">
      <c r="A709" s="2" t="s">
        <v>244</v>
      </c>
      <c r="B709" s="9">
        <v>9</v>
      </c>
      <c r="C709" s="2" t="s">
        <v>602</v>
      </c>
      <c r="D709" s="2" t="s">
        <v>450</v>
      </c>
      <c r="E709" s="2">
        <f>+IFERROR(VLOOKUP(A709,'2122'!$A$12:$C$389,2,),0)</f>
        <v>8000</v>
      </c>
      <c r="F709" s="2">
        <v>0</v>
      </c>
      <c r="G709" s="2">
        <f t="shared" si="50"/>
        <v>8000</v>
      </c>
      <c r="H709" s="2">
        <f>+IFERROR(VLOOKUP(A709,'2122'!$A$12:$C$389,3,),0)</f>
        <v>0</v>
      </c>
      <c r="I709" s="2">
        <v>0</v>
      </c>
      <c r="J709" s="2">
        <f t="shared" si="51"/>
        <v>0</v>
      </c>
    </row>
    <row r="710" spans="1:10" ht="15.75" thickBot="1">
      <c r="A710" s="2" t="s">
        <v>247</v>
      </c>
      <c r="B710" s="9">
        <v>2</v>
      </c>
      <c r="C710" s="2" t="s">
        <v>1072</v>
      </c>
      <c r="D710" s="2" t="s">
        <v>953</v>
      </c>
      <c r="E710" s="2">
        <f>+IFERROR(VLOOKUP(A710,'2122'!$A$12:$C$389,2,),0)</f>
        <v>711000</v>
      </c>
      <c r="F710" s="2">
        <v>0</v>
      </c>
      <c r="G710" s="2">
        <f t="shared" si="50"/>
        <v>711000</v>
      </c>
      <c r="H710" s="2">
        <f>+IFERROR(VLOOKUP(A710,'2122'!$A$12:$C$389,3,),0)</f>
        <v>0</v>
      </c>
      <c r="I710" s="2">
        <v>0</v>
      </c>
      <c r="J710" s="2">
        <f t="shared" si="51"/>
        <v>0</v>
      </c>
    </row>
    <row r="711" spans="1:10" ht="15.75" thickBot="1">
      <c r="A711" s="2" t="s">
        <v>248</v>
      </c>
      <c r="B711" s="9">
        <v>2</v>
      </c>
      <c r="C711" s="2" t="s">
        <v>1072</v>
      </c>
      <c r="D711" s="2" t="s">
        <v>953</v>
      </c>
      <c r="E711" s="2">
        <f>+IFERROR(VLOOKUP(A711,'2122'!$A$12:$C$389,2,),0)</f>
        <v>153050</v>
      </c>
      <c r="F711" s="2">
        <v>0</v>
      </c>
      <c r="G711" s="2">
        <f t="shared" si="50"/>
        <v>153050</v>
      </c>
      <c r="H711" s="2">
        <f>+IFERROR(VLOOKUP(A711,'2122'!$A$12:$C$389,3,),0)</f>
        <v>0</v>
      </c>
      <c r="I711" s="2">
        <v>0</v>
      </c>
      <c r="J711" s="2">
        <f t="shared" si="51"/>
        <v>0</v>
      </c>
    </row>
    <row r="712" spans="1:10" ht="15.75" thickBot="1">
      <c r="A712" s="2" t="s">
        <v>249</v>
      </c>
      <c r="B712" s="9">
        <v>2</v>
      </c>
      <c r="C712" s="2" t="s">
        <v>1072</v>
      </c>
      <c r="D712" s="2" t="s">
        <v>953</v>
      </c>
      <c r="E712" s="2">
        <f>+IFERROR(VLOOKUP(A712,'2122'!$A$12:$C$389,2,),0)</f>
        <v>2070258</v>
      </c>
      <c r="F712" s="2">
        <v>0</v>
      </c>
      <c r="G712" s="2">
        <f t="shared" si="50"/>
        <v>2070258</v>
      </c>
      <c r="H712" s="2">
        <f>+IFERROR(VLOOKUP(A712,'2122'!$A$12:$C$389,3,),0)</f>
        <v>0</v>
      </c>
      <c r="I712" s="2">
        <v>0</v>
      </c>
      <c r="J712" s="2">
        <f t="shared" si="51"/>
        <v>0</v>
      </c>
    </row>
    <row r="713" spans="1:10" ht="15.75" thickBot="1">
      <c r="A713" s="2" t="s">
        <v>250</v>
      </c>
      <c r="B713" s="9">
        <v>2</v>
      </c>
      <c r="C713" s="2" t="s">
        <v>1072</v>
      </c>
      <c r="D713" s="2" t="s">
        <v>953</v>
      </c>
      <c r="E713" s="2">
        <f>+IFERROR(VLOOKUP(A713,'2122'!$A$12:$C$389,2,),0)</f>
        <v>27003</v>
      </c>
      <c r="F713" s="2">
        <v>0</v>
      </c>
      <c r="G713" s="2">
        <f t="shared" si="50"/>
        <v>27003</v>
      </c>
      <c r="H713" s="2">
        <f>+IFERROR(VLOOKUP(A713,'2122'!$A$12:$C$389,3,),0)</f>
        <v>0</v>
      </c>
      <c r="I713" s="2">
        <v>0</v>
      </c>
      <c r="J713" s="2">
        <f t="shared" si="51"/>
        <v>0</v>
      </c>
    </row>
    <row r="714" spans="1:10" ht="15.75" thickBot="1">
      <c r="A714" s="2" t="s">
        <v>266</v>
      </c>
      <c r="B714" s="9">
        <v>11</v>
      </c>
      <c r="C714" s="2" t="s">
        <v>1550</v>
      </c>
      <c r="D714" s="2" t="s">
        <v>440</v>
      </c>
      <c r="E714" s="2">
        <f>+IFERROR(VLOOKUP(A714,'2122'!$A$12:$C$389,2,),0)</f>
        <v>0</v>
      </c>
      <c r="F714" s="2">
        <v>0</v>
      </c>
      <c r="G714" s="2">
        <f t="shared" si="50"/>
        <v>0</v>
      </c>
      <c r="H714" s="2">
        <f>+IFERROR(VLOOKUP(A714,'2122'!$A$12:$C$389,3,),0)</f>
        <v>0</v>
      </c>
      <c r="I714" s="2">
        <v>0</v>
      </c>
      <c r="J714" s="2">
        <f t="shared" si="51"/>
        <v>0</v>
      </c>
    </row>
    <row r="715" spans="1:10" ht="15.75" thickBot="1">
      <c r="A715" s="2" t="s">
        <v>276</v>
      </c>
      <c r="B715" s="9">
        <v>27</v>
      </c>
      <c r="C715" s="2" t="s">
        <v>1555</v>
      </c>
      <c r="D715" s="2" t="s">
        <v>1556</v>
      </c>
      <c r="E715" s="2">
        <f>+IFERROR(VLOOKUP(A715,'2122'!$A$12:$C$389,2,),0)</f>
        <v>17458745</v>
      </c>
      <c r="F715" s="2">
        <v>0</v>
      </c>
      <c r="G715" s="2">
        <f t="shared" si="50"/>
        <v>17458745</v>
      </c>
      <c r="H715" s="2">
        <f>+IFERROR(VLOOKUP(A715,'2122'!$A$12:$C$389,3,),0)</f>
        <v>0</v>
      </c>
      <c r="I715" s="2">
        <v>0</v>
      </c>
      <c r="J715" s="2">
        <f t="shared" si="51"/>
        <v>0</v>
      </c>
    </row>
    <row r="716" spans="1:10" ht="15.75" thickBot="1">
      <c r="A716" s="2" t="s">
        <v>290</v>
      </c>
      <c r="B716" s="9">
        <v>9</v>
      </c>
      <c r="C716" s="2" t="s">
        <v>602</v>
      </c>
      <c r="D716" s="2" t="s">
        <v>450</v>
      </c>
      <c r="E716" s="2">
        <f>+IFERROR(VLOOKUP(A716,'2122'!$A$12:$C$389,2,),0)</f>
        <v>4000</v>
      </c>
      <c r="F716" s="2">
        <v>0</v>
      </c>
      <c r="G716" s="2">
        <f t="shared" si="50"/>
        <v>4000</v>
      </c>
      <c r="H716" s="2">
        <f>+IFERROR(VLOOKUP(A716,'2122'!$A$12:$C$389,3,),0)</f>
        <v>0</v>
      </c>
      <c r="I716" s="2">
        <v>0</v>
      </c>
      <c r="J716" s="2">
        <f t="shared" si="51"/>
        <v>0</v>
      </c>
    </row>
    <row r="717" spans="1:10" ht="15.75" thickBot="1">
      <c r="A717" s="2" t="s">
        <v>292</v>
      </c>
      <c r="B717" s="9">
        <v>10</v>
      </c>
      <c r="C717" s="2" t="s">
        <v>598</v>
      </c>
      <c r="D717" s="2" t="s">
        <v>966</v>
      </c>
      <c r="E717" s="2">
        <f>+IFERROR(VLOOKUP(A717,'2122'!$A$12:$C$389,2,),0)</f>
        <v>413262</v>
      </c>
      <c r="F717" s="2">
        <v>0</v>
      </c>
      <c r="G717" s="2">
        <f t="shared" si="50"/>
        <v>413262</v>
      </c>
      <c r="H717" s="2">
        <f>+IFERROR(VLOOKUP(A717,'2122'!$A$12:$C$389,3,),0)</f>
        <v>0</v>
      </c>
      <c r="I717" s="2">
        <v>0</v>
      </c>
      <c r="J717" s="2">
        <f t="shared" si="51"/>
        <v>0</v>
      </c>
    </row>
    <row r="718" spans="1:10" ht="15.75" thickBot="1">
      <c r="A718" s="2" t="s">
        <v>296</v>
      </c>
      <c r="B718" s="9">
        <v>6</v>
      </c>
      <c r="C718" s="2" t="s">
        <v>1074</v>
      </c>
      <c r="D718" s="2" t="s">
        <v>423</v>
      </c>
      <c r="E718" s="2">
        <f>+IFERROR(VLOOKUP(A718,'2122'!$A$12:$C$389,2,),0)</f>
        <v>4622711</v>
      </c>
      <c r="F718" s="2">
        <v>0</v>
      </c>
      <c r="G718" s="2">
        <f t="shared" si="50"/>
        <v>4622711</v>
      </c>
      <c r="H718" s="2">
        <f>+IFERROR(VLOOKUP(A718,'2122'!$A$12:$C$389,3,),0)</f>
        <v>0</v>
      </c>
      <c r="I718" s="2">
        <v>0</v>
      </c>
      <c r="J718" s="2">
        <f t="shared" si="51"/>
        <v>0</v>
      </c>
    </row>
    <row r="719" spans="1:10" ht="15.75" thickBot="1">
      <c r="A719" s="2" t="s">
        <v>311</v>
      </c>
      <c r="B719" s="9">
        <v>9</v>
      </c>
      <c r="C719" s="2" t="s">
        <v>602</v>
      </c>
      <c r="D719" s="2" t="s">
        <v>450</v>
      </c>
      <c r="E719" s="2">
        <f>+IFERROR(VLOOKUP(A719,'2122'!$A$12:$C$389,2,),0)</f>
        <v>14000</v>
      </c>
      <c r="F719" s="2">
        <v>0</v>
      </c>
      <c r="G719" s="2">
        <f t="shared" si="50"/>
        <v>14000</v>
      </c>
      <c r="H719" s="2">
        <f>+IFERROR(VLOOKUP(A719,'2122'!$A$12:$C$389,3,),0)</f>
        <v>0</v>
      </c>
      <c r="I719" s="2">
        <v>0</v>
      </c>
      <c r="J719" s="2">
        <f t="shared" si="51"/>
        <v>0</v>
      </c>
    </row>
    <row r="720" spans="1:10" ht="15.75" thickBot="1">
      <c r="A720" s="2" t="s">
        <v>313</v>
      </c>
      <c r="B720" s="9">
        <v>13</v>
      </c>
      <c r="C720" s="2" t="s">
        <v>474</v>
      </c>
      <c r="D720" s="2" t="s">
        <v>835</v>
      </c>
      <c r="E720" s="2">
        <f>+IFERROR(VLOOKUP(A720,'2122'!$A$12:$C$389,2,),0)</f>
        <v>0</v>
      </c>
      <c r="F720" s="2">
        <v>0</v>
      </c>
      <c r="G720" s="2">
        <f t="shared" si="50"/>
        <v>0</v>
      </c>
      <c r="H720" s="2">
        <f>+IFERROR(VLOOKUP(A720,'2122'!$A$12:$C$389,3,),0)</f>
        <v>7186632</v>
      </c>
      <c r="I720" s="2">
        <v>0</v>
      </c>
      <c r="J720" s="2">
        <f t="shared" si="51"/>
        <v>7186632</v>
      </c>
    </row>
    <row r="721" spans="1:10" ht="15.75" thickBot="1">
      <c r="A721" s="2" t="s">
        <v>316</v>
      </c>
      <c r="B721" s="9">
        <v>13</v>
      </c>
      <c r="C721" s="2" t="s">
        <v>474</v>
      </c>
      <c r="D721" s="2" t="s">
        <v>835</v>
      </c>
      <c r="E721" s="2">
        <f>+IFERROR(VLOOKUP(A721,'2122'!$A$12:$C$389,2,),0)</f>
        <v>0</v>
      </c>
      <c r="F721" s="2">
        <v>0</v>
      </c>
      <c r="G721" s="2">
        <f t="shared" si="50"/>
        <v>0</v>
      </c>
      <c r="H721" s="2">
        <f>+IFERROR(VLOOKUP(A721,'2122'!$A$12:$C$389,3,),0)</f>
        <v>21743710</v>
      </c>
      <c r="I721" s="2">
        <v>0</v>
      </c>
      <c r="J721" s="2">
        <f t="shared" si="51"/>
        <v>21743710</v>
      </c>
    </row>
    <row r="722" spans="1:10" ht="15.75" thickBot="1">
      <c r="A722" s="2" t="s">
        <v>319</v>
      </c>
      <c r="B722" s="9">
        <v>17</v>
      </c>
      <c r="C722" s="2" t="s">
        <v>415</v>
      </c>
      <c r="D722" s="2" t="s">
        <v>415</v>
      </c>
      <c r="E722" s="2">
        <f>+IFERROR(VLOOKUP(A722,'2122'!$A$12:$C$389,2,),0)</f>
        <v>0</v>
      </c>
      <c r="F722" s="2">
        <v>0</v>
      </c>
      <c r="G722" s="2">
        <f t="shared" si="50"/>
        <v>0</v>
      </c>
      <c r="H722" s="2">
        <f>+IFERROR(VLOOKUP(A722,'2122'!$A$12:$C$389,3,),0)</f>
        <v>429511</v>
      </c>
      <c r="I722" s="2">
        <v>0</v>
      </c>
      <c r="J722" s="2">
        <f t="shared" si="51"/>
        <v>429511</v>
      </c>
    </row>
    <row r="723" spans="1:10" ht="15.75" thickBot="1">
      <c r="A723" s="2" t="s">
        <v>324</v>
      </c>
      <c r="B723" s="9">
        <v>19</v>
      </c>
      <c r="C723" s="2" t="s">
        <v>482</v>
      </c>
      <c r="D723" s="2" t="s">
        <v>531</v>
      </c>
      <c r="E723" s="2">
        <f>+IFERROR(VLOOKUP(A723,'2122'!$A$12:$C$389,2,),0)</f>
        <v>0</v>
      </c>
      <c r="F723" s="2">
        <v>0</v>
      </c>
      <c r="G723" s="2">
        <f t="shared" si="50"/>
        <v>0</v>
      </c>
      <c r="H723" s="2">
        <f>+IFERROR(VLOOKUP(A723,'2122'!$A$12:$C$389,3,),0)</f>
        <v>0</v>
      </c>
      <c r="I723" s="2">
        <v>0</v>
      </c>
      <c r="J723" s="2">
        <f t="shared" si="51"/>
        <v>0</v>
      </c>
    </row>
    <row r="724" spans="1:10" ht="15.75" thickBot="1">
      <c r="A724" s="2" t="s">
        <v>326</v>
      </c>
      <c r="B724" s="9">
        <v>19</v>
      </c>
      <c r="C724" s="2" t="s">
        <v>482</v>
      </c>
      <c r="D724" s="2" t="s">
        <v>531</v>
      </c>
      <c r="E724" s="2">
        <f>+IFERROR(VLOOKUP(A724,'2122'!$A$12:$C$389,2,),0)</f>
        <v>0</v>
      </c>
      <c r="F724" s="2">
        <v>0</v>
      </c>
      <c r="G724" s="2">
        <f t="shared" si="50"/>
        <v>0</v>
      </c>
      <c r="H724" s="2">
        <f>+IFERROR(VLOOKUP(A724,'2122'!$A$12:$C$389,3,),0)</f>
        <v>2903011.08</v>
      </c>
      <c r="I724" s="2">
        <v>0</v>
      </c>
      <c r="J724" s="2">
        <f t="shared" si="51"/>
        <v>2903011.08</v>
      </c>
    </row>
    <row r="725" spans="1:10" ht="15.75" thickBot="1">
      <c r="A725" s="2" t="s">
        <v>327</v>
      </c>
      <c r="B725" s="9">
        <v>19</v>
      </c>
      <c r="C725" s="2" t="s">
        <v>482</v>
      </c>
      <c r="D725" s="2" t="s">
        <v>531</v>
      </c>
      <c r="E725" s="2">
        <f>+IFERROR(VLOOKUP(A725,'2122'!$A$12:$C$389,2,),0)</f>
        <v>0</v>
      </c>
      <c r="F725" s="2">
        <v>0</v>
      </c>
      <c r="G725" s="2">
        <f t="shared" si="50"/>
        <v>0</v>
      </c>
      <c r="H725" s="2">
        <f>+IFERROR(VLOOKUP(A725,'2122'!$A$12:$C$389,3,),0)</f>
        <v>0</v>
      </c>
      <c r="I725" s="2">
        <v>0</v>
      </c>
      <c r="J725" s="2">
        <f t="shared" si="51"/>
        <v>0</v>
      </c>
    </row>
    <row r="726" spans="1:10" ht="15.75" thickBot="1">
      <c r="A726" s="2" t="s">
        <v>329</v>
      </c>
      <c r="B726" s="9">
        <v>27</v>
      </c>
      <c r="C726" s="2" t="s">
        <v>1560</v>
      </c>
      <c r="D726" s="2" t="s">
        <v>1312</v>
      </c>
      <c r="E726" s="2">
        <f>+IFERROR(VLOOKUP(A726,'2122'!$A$12:$C$389,2,),0)</f>
        <v>0</v>
      </c>
      <c r="F726" s="2">
        <v>0</v>
      </c>
      <c r="G726" s="2">
        <f t="shared" si="50"/>
        <v>0</v>
      </c>
      <c r="H726" s="2">
        <f>+IFERROR(VLOOKUP(A726,'2122'!$A$12:$C$389,3,),0)</f>
        <v>0</v>
      </c>
      <c r="I726" s="2">
        <v>0</v>
      </c>
      <c r="J726" s="2">
        <f t="shared" si="51"/>
        <v>0</v>
      </c>
    </row>
    <row r="727" spans="1:10" ht="15.75" thickBot="1">
      <c r="A727" s="2" t="s">
        <v>334</v>
      </c>
      <c r="B727" s="9">
        <v>17</v>
      </c>
      <c r="C727" s="2" t="s">
        <v>415</v>
      </c>
      <c r="D727" s="2" t="s">
        <v>415</v>
      </c>
      <c r="E727" s="2">
        <f>+IFERROR(VLOOKUP(A727,'2122'!$A$12:$C$389,2,),0)</f>
        <v>0</v>
      </c>
      <c r="F727" s="2">
        <v>0</v>
      </c>
      <c r="G727" s="2">
        <f t="shared" si="50"/>
        <v>0</v>
      </c>
      <c r="H727" s="2">
        <f>+IFERROR(VLOOKUP(A727,'2122'!$A$12:$C$389,3,),0)</f>
        <v>36998</v>
      </c>
      <c r="I727" s="2">
        <v>0</v>
      </c>
      <c r="J727" s="2">
        <f t="shared" si="51"/>
        <v>36998</v>
      </c>
    </row>
    <row r="728" spans="1:10" ht="15.75" thickBot="1">
      <c r="A728" s="2" t="s">
        <v>335</v>
      </c>
      <c r="B728" s="9">
        <v>6</v>
      </c>
      <c r="C728" s="2" t="s">
        <v>1074</v>
      </c>
      <c r="D728" s="2" t="s">
        <v>423</v>
      </c>
      <c r="E728" s="2">
        <f>+IFERROR(VLOOKUP(A728,'2122'!$A$12:$C$389,2,),0)</f>
        <v>1005946</v>
      </c>
      <c r="F728" s="2">
        <v>0</v>
      </c>
      <c r="G728" s="2">
        <f t="shared" si="50"/>
        <v>1005946</v>
      </c>
      <c r="H728" s="2">
        <f>+IFERROR(VLOOKUP(A728,'2122'!$A$12:$C$389,3,),0)</f>
        <v>0</v>
      </c>
      <c r="I728" s="2">
        <v>0</v>
      </c>
      <c r="J728" s="2">
        <f t="shared" si="51"/>
        <v>0</v>
      </c>
    </row>
    <row r="729" spans="1:10" ht="15.75" thickBot="1">
      <c r="A729" s="2" t="s">
        <v>341</v>
      </c>
      <c r="B729" s="9">
        <v>4</v>
      </c>
      <c r="C729" s="2" t="s">
        <v>1547</v>
      </c>
      <c r="D729" s="2" t="s">
        <v>958</v>
      </c>
      <c r="E729" s="2">
        <f>+IFERROR(VLOOKUP(A729,'2122'!$A$12:$C$389,2,),0)</f>
        <v>2100000</v>
      </c>
      <c r="F729" s="2">
        <v>0</v>
      </c>
      <c r="G729" s="2">
        <f t="shared" si="50"/>
        <v>2100000</v>
      </c>
      <c r="H729" s="2">
        <f>+IFERROR(VLOOKUP(A729,'2122'!$A$12:$C$389,3,),0)</f>
        <v>0</v>
      </c>
      <c r="I729" s="2">
        <v>0</v>
      </c>
      <c r="J729" s="2">
        <f t="shared" si="51"/>
        <v>0</v>
      </c>
    </row>
    <row r="730" spans="1:10" ht="15.75" thickBot="1">
      <c r="A730" s="2" t="s">
        <v>343</v>
      </c>
      <c r="B730" s="9">
        <v>27</v>
      </c>
      <c r="C730" s="2" t="s">
        <v>1560</v>
      </c>
      <c r="D730" s="2" t="s">
        <v>1561</v>
      </c>
      <c r="E730" s="2">
        <f>+IFERROR(VLOOKUP(A730,'2122'!$A$12:$C$389,2,),0)</f>
        <v>14890</v>
      </c>
      <c r="F730" s="2">
        <v>0</v>
      </c>
      <c r="G730" s="2">
        <f t="shared" si="50"/>
        <v>14890</v>
      </c>
      <c r="H730" s="2">
        <f>+IFERROR(VLOOKUP(A730,'2122'!$A$12:$C$389,3,),0)</f>
        <v>0</v>
      </c>
      <c r="I730" s="2">
        <v>0</v>
      </c>
      <c r="J730" s="2">
        <f t="shared" si="51"/>
        <v>0</v>
      </c>
    </row>
    <row r="731" spans="1:10" ht="15.75" thickBot="1">
      <c r="A731" s="2" t="s">
        <v>349</v>
      </c>
      <c r="B731" s="9">
        <v>9</v>
      </c>
      <c r="C731" s="2" t="s">
        <v>602</v>
      </c>
      <c r="D731" s="2" t="s">
        <v>450</v>
      </c>
      <c r="E731" s="2">
        <f>+IFERROR(VLOOKUP(A731,'2122'!$A$12:$C$389,2,),0)</f>
        <v>5000</v>
      </c>
      <c r="F731" s="2">
        <v>0</v>
      </c>
      <c r="G731" s="2">
        <f t="shared" si="50"/>
        <v>5000</v>
      </c>
      <c r="H731" s="2">
        <f>+IFERROR(VLOOKUP(A731,'2122'!$A$12:$C$389,3,),0)</f>
        <v>0</v>
      </c>
      <c r="I731" s="2">
        <v>0</v>
      </c>
      <c r="J731" s="2">
        <f t="shared" si="51"/>
        <v>0</v>
      </c>
    </row>
    <row r="732" spans="1:10" ht="15.75" thickBot="1">
      <c r="A732" s="2" t="s">
        <v>354</v>
      </c>
      <c r="B732" s="9">
        <v>9</v>
      </c>
      <c r="C732" s="2" t="s">
        <v>602</v>
      </c>
      <c r="D732" s="2" t="s">
        <v>450</v>
      </c>
      <c r="E732" s="2">
        <f>+IFERROR(VLOOKUP(A732,'2122'!$A$12:$C$389,2,),0)</f>
        <v>1000</v>
      </c>
      <c r="F732" s="2">
        <v>0</v>
      </c>
      <c r="G732" s="2">
        <f t="shared" si="50"/>
        <v>1000</v>
      </c>
      <c r="H732" s="2">
        <f>+IFERROR(VLOOKUP(A732,'2122'!$A$12:$C$389,3,),0)</f>
        <v>0</v>
      </c>
      <c r="I732" s="2">
        <v>0</v>
      </c>
      <c r="J732" s="2">
        <f t="shared" si="51"/>
        <v>0</v>
      </c>
    </row>
    <row r="733" spans="1:10" ht="15.75" thickBot="1">
      <c r="A733" s="2" t="s">
        <v>359</v>
      </c>
      <c r="B733" s="9">
        <v>11</v>
      </c>
      <c r="C733" s="2" t="s">
        <v>1550</v>
      </c>
      <c r="D733" s="2" t="s">
        <v>440</v>
      </c>
      <c r="E733" s="2">
        <f>+IFERROR(VLOOKUP(A733,'2122'!$A$12:$C$389,2,),0)</f>
        <v>81429.8</v>
      </c>
      <c r="F733" s="2">
        <v>0</v>
      </c>
      <c r="G733" s="2">
        <f t="shared" si="50"/>
        <v>81429.8</v>
      </c>
      <c r="H733" s="2">
        <f>+IFERROR(VLOOKUP(A733,'2122'!$A$12:$C$389,3,),0)</f>
        <v>0</v>
      </c>
      <c r="I733" s="2">
        <v>0</v>
      </c>
      <c r="J733" s="2">
        <f t="shared" si="51"/>
        <v>0</v>
      </c>
    </row>
    <row r="734" spans="1:10" ht="15.75" thickBot="1">
      <c r="A734" s="2" t="s">
        <v>362</v>
      </c>
      <c r="B734" s="9">
        <v>11</v>
      </c>
      <c r="C734" s="2" t="s">
        <v>1550</v>
      </c>
      <c r="D734" s="2" t="s">
        <v>440</v>
      </c>
      <c r="E734" s="2">
        <f>+IFERROR(VLOOKUP(A734,'2122'!$A$12:$C$389,2,),0)</f>
        <v>36262</v>
      </c>
      <c r="F734" s="2">
        <v>0</v>
      </c>
      <c r="G734" s="2">
        <f t="shared" si="50"/>
        <v>36262</v>
      </c>
      <c r="H734" s="2">
        <f>+IFERROR(VLOOKUP(A734,'2122'!$A$12:$C$389,3,),0)</f>
        <v>0</v>
      </c>
      <c r="I734" s="2">
        <v>0</v>
      </c>
      <c r="J734" s="2">
        <f t="shared" si="51"/>
        <v>0</v>
      </c>
    </row>
    <row r="735" spans="1:10" ht="15.75" thickBot="1">
      <c r="A735" s="2" t="s">
        <v>368</v>
      </c>
      <c r="B735" s="9">
        <v>19</v>
      </c>
      <c r="C735" s="2" t="s">
        <v>482</v>
      </c>
      <c r="D735" s="2" t="s">
        <v>582</v>
      </c>
      <c r="E735" s="2">
        <f>+IFERROR(VLOOKUP(A735,'2122'!$A$12:$C$389,2,),0)</f>
        <v>0</v>
      </c>
      <c r="F735" s="2">
        <v>0</v>
      </c>
      <c r="G735" s="2">
        <f t="shared" si="50"/>
        <v>0</v>
      </c>
      <c r="H735" s="2">
        <f>+IFERROR(VLOOKUP(A735,'2122'!$A$12:$C$389,3,),0)</f>
        <v>91593</v>
      </c>
      <c r="I735" s="2">
        <v>0</v>
      </c>
      <c r="J735" s="2">
        <f t="shared" si="51"/>
        <v>91593</v>
      </c>
    </row>
    <row r="736" spans="1:10" ht="15.75" thickBot="1">
      <c r="A736" s="2" t="s">
        <v>372</v>
      </c>
      <c r="B736" s="9">
        <v>11</v>
      </c>
      <c r="C736" s="2" t="s">
        <v>1550</v>
      </c>
      <c r="D736" s="2" t="s">
        <v>440</v>
      </c>
      <c r="E736" s="2">
        <f>+IFERROR(VLOOKUP(A736,'2122'!$A$12:$C$389,2,),0)</f>
        <v>616388</v>
      </c>
      <c r="F736" s="2">
        <v>0</v>
      </c>
      <c r="G736" s="2">
        <f t="shared" si="50"/>
        <v>616388</v>
      </c>
      <c r="H736" s="2">
        <f>+IFERROR(VLOOKUP(A736,'2122'!$A$12:$C$389,3,),0)</f>
        <v>0</v>
      </c>
      <c r="I736" s="2">
        <v>0</v>
      </c>
      <c r="J736" s="2">
        <f t="shared" si="51"/>
        <v>0</v>
      </c>
    </row>
    <row r="737" spans="1:16" ht="15.75" thickBot="1">
      <c r="A737" s="2" t="s">
        <v>388</v>
      </c>
      <c r="B737" s="9">
        <v>17</v>
      </c>
      <c r="C737" s="2" t="s">
        <v>415</v>
      </c>
      <c r="D737" s="2" t="s">
        <v>415</v>
      </c>
      <c r="E737" s="2">
        <f>+IFERROR(VLOOKUP(A737,'2122'!$A$12:$C$389,2,),0)</f>
        <v>0</v>
      </c>
      <c r="F737" s="2">
        <v>0</v>
      </c>
      <c r="G737" s="2">
        <f t="shared" si="50"/>
        <v>0</v>
      </c>
      <c r="H737" s="2">
        <f>+IFERROR(VLOOKUP(A737,'2122'!$A$12:$C$389,3,),0)</f>
        <v>1659637</v>
      </c>
      <c r="I737" s="2">
        <v>0</v>
      </c>
      <c r="J737" s="2">
        <f t="shared" si="51"/>
        <v>1659637</v>
      </c>
    </row>
    <row r="738" spans="1:16" ht="15.75" thickBot="1">
      <c r="A738" s="2" t="s">
        <v>389</v>
      </c>
      <c r="B738" s="9">
        <v>17</v>
      </c>
      <c r="C738" s="2" t="s">
        <v>415</v>
      </c>
      <c r="D738" s="2" t="s">
        <v>416</v>
      </c>
      <c r="E738" s="2">
        <f>+IFERROR(VLOOKUP(A738,'2122'!$A$12:$C$389,2,),0)</f>
        <v>633</v>
      </c>
      <c r="F738" s="2">
        <v>0</v>
      </c>
      <c r="G738" s="2">
        <f t="shared" ref="G738:G740" si="52">+E738+F738</f>
        <v>633</v>
      </c>
      <c r="H738" s="2">
        <f>+IFERROR(VLOOKUP(A738,'2122'!$A$12:$C$389,3,),0)</f>
        <v>0</v>
      </c>
      <c r="I738" s="2">
        <v>0</v>
      </c>
      <c r="J738" s="2">
        <f t="shared" ref="J738:J740" si="53">+H738+I738</f>
        <v>0</v>
      </c>
    </row>
    <row r="739" spans="1:16" ht="15.75" thickBot="1">
      <c r="A739" s="2" t="s">
        <v>396</v>
      </c>
      <c r="B739" s="9">
        <v>2</v>
      </c>
      <c r="C739" s="2" t="s">
        <v>1072</v>
      </c>
      <c r="D739" s="2" t="s">
        <v>953</v>
      </c>
      <c r="E739" s="2">
        <f>+IFERROR(VLOOKUP(A739,'2122'!$A$12:$C$389,2,),0)</f>
        <v>4115523</v>
      </c>
      <c r="F739" s="2">
        <v>0</v>
      </c>
      <c r="G739" s="2">
        <f t="shared" si="52"/>
        <v>4115523</v>
      </c>
      <c r="H739" s="2">
        <f>+IFERROR(VLOOKUP(A739,'2122'!$A$12:$C$389,3,),0)</f>
        <v>0</v>
      </c>
      <c r="I739" s="2">
        <v>0</v>
      </c>
      <c r="J739" s="2">
        <f t="shared" si="53"/>
        <v>0</v>
      </c>
    </row>
    <row r="740" spans="1:16" ht="15.75" thickBot="1">
      <c r="A740" s="2" t="s">
        <v>398</v>
      </c>
      <c r="B740" s="9">
        <v>2</v>
      </c>
      <c r="C740" s="2" t="s">
        <v>1072</v>
      </c>
      <c r="D740" s="2" t="s">
        <v>953</v>
      </c>
      <c r="E740" s="2">
        <f>+IFERROR(VLOOKUP(A740,'2122'!$A$12:$C$389,2,),0)</f>
        <v>16722713</v>
      </c>
      <c r="F740" s="2">
        <v>0</v>
      </c>
      <c r="G740" s="2">
        <f t="shared" si="52"/>
        <v>16722713</v>
      </c>
      <c r="H740" s="2">
        <f>+IFERROR(VLOOKUP(A740,'2122'!$A$12:$C$389,3,),0)</f>
        <v>0</v>
      </c>
      <c r="I740" s="2">
        <v>0</v>
      </c>
      <c r="J740" s="2">
        <f t="shared" si="53"/>
        <v>0</v>
      </c>
    </row>
    <row r="741" spans="1:16" ht="15.75" thickBot="1">
      <c r="A741" s="2" t="s">
        <v>910</v>
      </c>
      <c r="B741" s="9">
        <v>27</v>
      </c>
      <c r="C741" s="2" t="s">
        <v>1555</v>
      </c>
      <c r="D741" s="2" t="s">
        <v>231</v>
      </c>
      <c r="E741" s="2">
        <f>+IFERROR(VLOOKUP(A741,'2122'!$A$12:$C$389,2,),0)</f>
        <v>150000</v>
      </c>
      <c r="F741" s="2">
        <v>0</v>
      </c>
      <c r="G741" s="2">
        <f t="shared" si="44"/>
        <v>150000</v>
      </c>
      <c r="H741" s="2">
        <f>+IFERROR(VLOOKUP(A741,'2122'!$A$12:$C$389,3,),0)</f>
        <v>0</v>
      </c>
      <c r="I741" s="2">
        <v>0</v>
      </c>
      <c r="J741" s="2">
        <f t="shared" si="45"/>
        <v>0</v>
      </c>
      <c r="K741" s="2">
        <v>277187</v>
      </c>
      <c r="M741" s="2">
        <v>277187</v>
      </c>
      <c r="N741" s="2">
        <v>0</v>
      </c>
      <c r="P741" s="2">
        <v>0</v>
      </c>
    </row>
    <row r="742" spans="1:16" ht="15.75" thickBot="1">
      <c r="A742" s="2" t="s">
        <v>911</v>
      </c>
      <c r="B742" s="9">
        <v>6</v>
      </c>
      <c r="C742" s="2" t="s">
        <v>1074</v>
      </c>
      <c r="D742" s="2" t="s">
        <v>423</v>
      </c>
      <c r="E742" s="2">
        <f>+IFERROR(VLOOKUP(A742,'2122'!$A$12:$C$389,2,),0)</f>
        <v>0</v>
      </c>
      <c r="F742" s="2">
        <v>0</v>
      </c>
      <c r="G742" s="2">
        <f t="shared" si="44"/>
        <v>0</v>
      </c>
      <c r="H742" s="2">
        <f>+IFERROR(VLOOKUP(A742,'2122'!$A$12:$C$389,3,),0)</f>
        <v>0</v>
      </c>
      <c r="I742" s="2">
        <v>0</v>
      </c>
      <c r="J742" s="2">
        <f t="shared" si="45"/>
        <v>0</v>
      </c>
      <c r="K742" s="2">
        <v>0</v>
      </c>
      <c r="M742" s="2">
        <v>0</v>
      </c>
      <c r="N742" s="2">
        <v>0</v>
      </c>
      <c r="P742" s="2">
        <v>0</v>
      </c>
    </row>
    <row r="743" spans="1:16" ht="15.75" thickBot="1">
      <c r="A743" s="2" t="s">
        <v>382</v>
      </c>
      <c r="B743" s="9">
        <v>17</v>
      </c>
      <c r="C743" s="2" t="s">
        <v>415</v>
      </c>
      <c r="D743" s="2" t="s">
        <v>416</v>
      </c>
      <c r="E743" s="2">
        <f>+IFERROR(VLOOKUP(A743,'2122'!$A$12:$C$389,2,),0)</f>
        <v>0</v>
      </c>
      <c r="F743" s="2">
        <v>0</v>
      </c>
      <c r="G743" s="2">
        <f t="shared" si="44"/>
        <v>0</v>
      </c>
      <c r="H743" s="2">
        <f>+IFERROR(VLOOKUP(A743,'2122'!$A$12:$C$389,3,),0)</f>
        <v>207360</v>
      </c>
      <c r="I743" s="2">
        <v>0</v>
      </c>
      <c r="J743" s="2">
        <f t="shared" si="45"/>
        <v>207360</v>
      </c>
      <c r="K743" s="2">
        <v>0</v>
      </c>
      <c r="M743" s="2">
        <v>0</v>
      </c>
      <c r="N743" s="2">
        <v>0</v>
      </c>
      <c r="P743" s="2">
        <v>0</v>
      </c>
    </row>
    <row r="744" spans="1:16" ht="15.75" thickBot="1">
      <c r="A744" s="2" t="s">
        <v>912</v>
      </c>
      <c r="B744" s="9">
        <v>17</v>
      </c>
      <c r="C744" s="2" t="s">
        <v>415</v>
      </c>
      <c r="D744" s="2" t="s">
        <v>415</v>
      </c>
      <c r="E744" s="2">
        <f>+IFERROR(VLOOKUP(A744,'2122'!$A$12:$C$389,2,),0)</f>
        <v>0</v>
      </c>
      <c r="F744" s="2">
        <v>0</v>
      </c>
      <c r="G744" s="2">
        <f t="shared" si="44"/>
        <v>0</v>
      </c>
      <c r="H744" s="2">
        <f>+IFERROR(VLOOKUP(A744,'2122'!$A$12:$C$389,3,),0)</f>
        <v>0</v>
      </c>
      <c r="I744" s="2">
        <v>0</v>
      </c>
      <c r="J744" s="2">
        <f t="shared" si="45"/>
        <v>0</v>
      </c>
      <c r="K744" s="2">
        <v>0</v>
      </c>
      <c r="M744" s="2">
        <v>0</v>
      </c>
      <c r="N744" s="2">
        <v>1871806</v>
      </c>
      <c r="P744" s="2">
        <v>1871806</v>
      </c>
    </row>
    <row r="745" spans="1:16" ht="15.75" thickBot="1">
      <c r="A745" s="2" t="s">
        <v>913</v>
      </c>
      <c r="B745" s="9">
        <v>17</v>
      </c>
      <c r="C745" s="2" t="s">
        <v>415</v>
      </c>
      <c r="D745" s="2" t="s">
        <v>415</v>
      </c>
      <c r="E745" s="2">
        <f>+IFERROR(VLOOKUP(A745,'2122'!$A$12:$C$389,2,),0)</f>
        <v>0</v>
      </c>
      <c r="F745" s="2">
        <v>0</v>
      </c>
      <c r="G745" s="2">
        <f t="shared" si="44"/>
        <v>0</v>
      </c>
      <c r="H745" s="2">
        <f>+IFERROR(VLOOKUP(A745,'2122'!$A$12:$C$389,3,),0)</f>
        <v>0</v>
      </c>
      <c r="I745" s="2">
        <v>0</v>
      </c>
      <c r="J745" s="2">
        <f t="shared" si="45"/>
        <v>0</v>
      </c>
      <c r="K745" s="2">
        <v>0</v>
      </c>
      <c r="M745" s="2">
        <v>0</v>
      </c>
      <c r="N745" s="2">
        <v>0</v>
      </c>
      <c r="P745" s="2">
        <v>0</v>
      </c>
    </row>
    <row r="746" spans="1:16" ht="15.75" thickBot="1">
      <c r="A746" s="2" t="s">
        <v>914</v>
      </c>
      <c r="B746" s="9">
        <v>27</v>
      </c>
      <c r="C746" s="2" t="s">
        <v>1560</v>
      </c>
      <c r="D746" s="2" t="s">
        <v>279</v>
      </c>
      <c r="E746" s="2">
        <f>+IFERROR(VLOOKUP(A746,'2122'!$A$12:$C$389,2,),0)</f>
        <v>0</v>
      </c>
      <c r="F746" s="2">
        <v>0</v>
      </c>
      <c r="G746" s="2">
        <f t="shared" si="44"/>
        <v>0</v>
      </c>
      <c r="H746" s="2">
        <f>+IFERROR(VLOOKUP(A746,'2122'!$A$12:$C$389,3,),0)</f>
        <v>0</v>
      </c>
      <c r="I746" s="2">
        <v>0</v>
      </c>
      <c r="J746" s="2">
        <f t="shared" si="45"/>
        <v>0</v>
      </c>
      <c r="K746" s="2">
        <v>122521</v>
      </c>
      <c r="M746" s="2">
        <v>122521</v>
      </c>
      <c r="N746" s="2">
        <v>0</v>
      </c>
      <c r="P746" s="2">
        <v>0</v>
      </c>
    </row>
    <row r="747" spans="1:16" ht="15.75" thickBot="1">
      <c r="A747" s="2" t="s">
        <v>915</v>
      </c>
      <c r="B747" s="9">
        <v>27</v>
      </c>
      <c r="C747" s="2" t="s">
        <v>1560</v>
      </c>
      <c r="D747" s="2" t="s">
        <v>279</v>
      </c>
      <c r="E747" s="2">
        <f>+IFERROR(VLOOKUP(A747,'2122'!$A$12:$C$389,2,),0)</f>
        <v>0</v>
      </c>
      <c r="F747" s="2">
        <v>0</v>
      </c>
      <c r="G747" s="2">
        <f t="shared" si="44"/>
        <v>0</v>
      </c>
      <c r="H747" s="2">
        <f>+IFERROR(VLOOKUP(A747,'2122'!$A$12:$C$389,3,),0)</f>
        <v>0</v>
      </c>
      <c r="I747" s="2">
        <v>0</v>
      </c>
      <c r="J747" s="2">
        <f t="shared" si="45"/>
        <v>0</v>
      </c>
      <c r="K747" s="2">
        <v>0</v>
      </c>
      <c r="M747" s="2">
        <v>0</v>
      </c>
      <c r="N747" s="2">
        <v>0</v>
      </c>
      <c r="P747" s="2">
        <v>0</v>
      </c>
    </row>
    <row r="748" spans="1:16" ht="15.75" thickBot="1">
      <c r="A748" s="2" t="s">
        <v>916</v>
      </c>
      <c r="B748" s="9">
        <v>27</v>
      </c>
      <c r="C748" s="2" t="s">
        <v>1560</v>
      </c>
      <c r="D748" s="2" t="s">
        <v>279</v>
      </c>
      <c r="E748" s="2">
        <f>+IFERROR(VLOOKUP(A748,'2122'!$A$12:$C$389,2,),0)</f>
        <v>0</v>
      </c>
      <c r="F748" s="2">
        <v>0</v>
      </c>
      <c r="G748" s="2">
        <f t="shared" si="44"/>
        <v>0</v>
      </c>
      <c r="H748" s="2">
        <f>+IFERROR(VLOOKUP(A748,'2122'!$A$12:$C$389,3,),0)</f>
        <v>0</v>
      </c>
      <c r="I748" s="2">
        <v>0</v>
      </c>
      <c r="J748" s="2">
        <f t="shared" si="45"/>
        <v>0</v>
      </c>
      <c r="K748" s="2">
        <v>0</v>
      </c>
      <c r="M748" s="2">
        <v>0</v>
      </c>
      <c r="N748" s="2">
        <v>0</v>
      </c>
      <c r="P748" s="2">
        <v>0</v>
      </c>
    </row>
    <row r="749" spans="1:16" ht="15.75" thickBot="1">
      <c r="A749" s="2" t="s">
        <v>917</v>
      </c>
      <c r="B749" s="9">
        <v>27</v>
      </c>
      <c r="C749" s="2" t="s">
        <v>1560</v>
      </c>
      <c r="D749" s="2" t="s">
        <v>279</v>
      </c>
      <c r="E749" s="2">
        <f>+IFERROR(VLOOKUP(A749,'2122'!$A$12:$C$389,2,),0)</f>
        <v>0</v>
      </c>
      <c r="F749" s="2">
        <v>0</v>
      </c>
      <c r="G749" s="2">
        <f t="shared" si="44"/>
        <v>0</v>
      </c>
      <c r="H749" s="2">
        <f>+IFERROR(VLOOKUP(A749,'2122'!$A$12:$C$389,3,),0)</f>
        <v>0</v>
      </c>
      <c r="I749" s="2">
        <v>0</v>
      </c>
      <c r="J749" s="2">
        <f t="shared" si="45"/>
        <v>0</v>
      </c>
      <c r="K749" s="2">
        <v>0</v>
      </c>
      <c r="M749" s="2">
        <v>0</v>
      </c>
      <c r="N749" s="2">
        <v>0</v>
      </c>
      <c r="P749" s="2">
        <v>0</v>
      </c>
    </row>
    <row r="750" spans="1:16" ht="15.75" thickBot="1">
      <c r="A750" s="2" t="s">
        <v>918</v>
      </c>
      <c r="B750" s="9">
        <v>27</v>
      </c>
      <c r="C750" s="2" t="s">
        <v>1560</v>
      </c>
      <c r="D750" s="2" t="s">
        <v>1561</v>
      </c>
      <c r="E750" s="2">
        <f>+IFERROR(VLOOKUP(A750,'2122'!$A$12:$C$389,2,),0)</f>
        <v>0</v>
      </c>
      <c r="F750" s="2">
        <v>0</v>
      </c>
      <c r="G750" s="2">
        <f t="shared" si="44"/>
        <v>0</v>
      </c>
      <c r="H750" s="2">
        <f>+IFERROR(VLOOKUP(A750,'2122'!$A$12:$C$389,3,),0)</f>
        <v>0</v>
      </c>
      <c r="I750" s="2">
        <v>0</v>
      </c>
      <c r="J750" s="2">
        <f t="shared" si="45"/>
        <v>0</v>
      </c>
      <c r="K750" s="2">
        <v>0</v>
      </c>
      <c r="M750" s="2">
        <v>0</v>
      </c>
      <c r="N750" s="2">
        <v>0</v>
      </c>
      <c r="P750" s="2">
        <v>0</v>
      </c>
    </row>
    <row r="751" spans="1:16" ht="15.75" thickBot="1">
      <c r="A751" s="2" t="s">
        <v>919</v>
      </c>
      <c r="B751" s="9">
        <v>17</v>
      </c>
      <c r="C751" s="2" t="s">
        <v>415</v>
      </c>
      <c r="D751" s="2" t="s">
        <v>416</v>
      </c>
      <c r="E751" s="2">
        <f>+IFERROR(VLOOKUP(A751,'2122'!$A$12:$C$389,2,),0)</f>
        <v>0</v>
      </c>
      <c r="F751" s="2">
        <v>0</v>
      </c>
      <c r="G751" s="2">
        <f t="shared" si="44"/>
        <v>0</v>
      </c>
      <c r="H751" s="2">
        <f>+IFERROR(VLOOKUP(A751,'2122'!$A$12:$C$389,3,),0)</f>
        <v>0</v>
      </c>
      <c r="I751" s="2">
        <v>0</v>
      </c>
      <c r="J751" s="2">
        <f t="shared" si="45"/>
        <v>0</v>
      </c>
      <c r="K751" s="2">
        <v>0</v>
      </c>
      <c r="M751" s="2">
        <v>0</v>
      </c>
      <c r="N751" s="2">
        <v>0</v>
      </c>
      <c r="P751" s="2">
        <v>0</v>
      </c>
    </row>
    <row r="752" spans="1:16" ht="15.75" thickBot="1">
      <c r="A752" s="2" t="s">
        <v>920</v>
      </c>
      <c r="B752" s="9">
        <v>26</v>
      </c>
      <c r="C752" s="2" t="s">
        <v>509</v>
      </c>
      <c r="D752" s="2" t="s">
        <v>510</v>
      </c>
      <c r="E752" s="2">
        <f>+IFERROR(VLOOKUP(A752,'2122'!$A$12:$C$389,2,),0)</f>
        <v>0</v>
      </c>
      <c r="F752" s="2">
        <v>0</v>
      </c>
      <c r="G752" s="2">
        <f t="shared" si="44"/>
        <v>0</v>
      </c>
      <c r="H752" s="2">
        <f>+IFERROR(VLOOKUP(A752,'2122'!$A$12:$C$389,3,),0)</f>
        <v>0</v>
      </c>
      <c r="I752" s="2">
        <v>0</v>
      </c>
      <c r="J752" s="2">
        <f t="shared" si="45"/>
        <v>0</v>
      </c>
      <c r="K752" s="2">
        <v>48970</v>
      </c>
      <c r="M752" s="2">
        <v>48970</v>
      </c>
      <c r="N752" s="2">
        <v>0</v>
      </c>
      <c r="P752" s="2">
        <v>0</v>
      </c>
    </row>
    <row r="753" spans="1:16" ht="15.75" thickBot="1">
      <c r="A753" s="2" t="s">
        <v>921</v>
      </c>
      <c r="B753" s="9">
        <v>17</v>
      </c>
      <c r="C753" s="2" t="s">
        <v>415</v>
      </c>
      <c r="D753" s="2" t="s">
        <v>415</v>
      </c>
      <c r="E753" s="2">
        <f>+IFERROR(VLOOKUP(A753,'2122'!$A$12:$C$389,2,),0)</f>
        <v>0</v>
      </c>
      <c r="F753" s="2">
        <v>0</v>
      </c>
      <c r="G753" s="2">
        <f t="shared" si="44"/>
        <v>0</v>
      </c>
      <c r="H753" s="2">
        <f>+IFERROR(VLOOKUP(A753,'2122'!$A$12:$C$389,3,),0)</f>
        <v>0</v>
      </c>
      <c r="I753" s="2">
        <v>0</v>
      </c>
      <c r="J753" s="2">
        <f t="shared" si="45"/>
        <v>0</v>
      </c>
      <c r="K753" s="2">
        <v>0</v>
      </c>
      <c r="M753" s="2">
        <v>0</v>
      </c>
      <c r="N753" s="2">
        <v>0</v>
      </c>
      <c r="P753" s="2">
        <v>0</v>
      </c>
    </row>
    <row r="754" spans="1:16" ht="15.75" thickBot="1">
      <c r="A754" s="2" t="s">
        <v>922</v>
      </c>
      <c r="B754" s="9">
        <v>17</v>
      </c>
      <c r="C754" s="2" t="s">
        <v>415</v>
      </c>
      <c r="D754" s="2" t="s">
        <v>416</v>
      </c>
      <c r="E754" s="2">
        <f>+IFERROR(VLOOKUP(A754,'2122'!$A$12:$C$389,2,),0)</f>
        <v>0</v>
      </c>
      <c r="F754" s="2">
        <v>0</v>
      </c>
      <c r="G754" s="2">
        <f t="shared" si="44"/>
        <v>0</v>
      </c>
      <c r="H754" s="2">
        <f>+IFERROR(VLOOKUP(A754,'2122'!$A$12:$C$389,3,),0)</f>
        <v>0</v>
      </c>
      <c r="I754" s="2">
        <v>0</v>
      </c>
      <c r="J754" s="2">
        <f t="shared" si="45"/>
        <v>0</v>
      </c>
      <c r="K754" s="2">
        <v>0</v>
      </c>
      <c r="M754" s="2">
        <v>0</v>
      </c>
      <c r="N754" s="2">
        <v>0</v>
      </c>
      <c r="P754" s="2">
        <v>0</v>
      </c>
    </row>
    <row r="755" spans="1:16" ht="15.75" thickBot="1">
      <c r="A755" s="2" t="s">
        <v>923</v>
      </c>
      <c r="B755" s="9">
        <v>19</v>
      </c>
      <c r="C755" s="2" t="s">
        <v>482</v>
      </c>
      <c r="D755" s="2" t="s">
        <v>531</v>
      </c>
      <c r="E755" s="2">
        <f>+IFERROR(VLOOKUP(A755,'2122'!$A$12:$C$389,2,),0)</f>
        <v>0</v>
      </c>
      <c r="F755" s="2">
        <v>0</v>
      </c>
      <c r="G755" s="2">
        <f t="shared" si="44"/>
        <v>0</v>
      </c>
      <c r="H755" s="2">
        <f>+IFERROR(VLOOKUP(A755,'2122'!$A$12:$C$389,3,),0)</f>
        <v>0</v>
      </c>
      <c r="I755" s="2">
        <v>0</v>
      </c>
      <c r="J755" s="2">
        <f t="shared" si="45"/>
        <v>0</v>
      </c>
      <c r="K755" s="2">
        <v>0</v>
      </c>
      <c r="M755" s="2">
        <v>0</v>
      </c>
      <c r="N755" s="2">
        <v>2852087</v>
      </c>
      <c r="P755" s="2">
        <v>2852087</v>
      </c>
    </row>
    <row r="756" spans="1:16" ht="15.75" thickBot="1">
      <c r="A756" s="2" t="s">
        <v>80</v>
      </c>
      <c r="B756" s="9">
        <v>17</v>
      </c>
      <c r="C756" s="2" t="s">
        <v>415</v>
      </c>
      <c r="D756" s="2" t="s">
        <v>416</v>
      </c>
      <c r="E756" s="2">
        <f>+IFERROR(VLOOKUP(A756,'2122'!$A$12:$C$389,2,),0)</f>
        <v>0</v>
      </c>
      <c r="F756" s="2">
        <v>0</v>
      </c>
      <c r="G756" s="2">
        <f t="shared" si="44"/>
        <v>0</v>
      </c>
      <c r="H756" s="2">
        <f>+IFERROR(VLOOKUP(A756,'2122'!$A$12:$C$389,3,),0)</f>
        <v>28004</v>
      </c>
      <c r="I756" s="2">
        <v>0</v>
      </c>
      <c r="J756" s="2">
        <f t="shared" si="45"/>
        <v>28004</v>
      </c>
      <c r="K756" s="2">
        <v>0</v>
      </c>
      <c r="M756" s="2">
        <v>0</v>
      </c>
      <c r="N756" s="2">
        <v>0</v>
      </c>
      <c r="P756" s="2">
        <v>0</v>
      </c>
    </row>
    <row r="757" spans="1:16" ht="15.75" thickBot="1">
      <c r="A757" s="2" t="s">
        <v>924</v>
      </c>
      <c r="B757" s="9">
        <v>17</v>
      </c>
      <c r="C757" s="2" t="s">
        <v>415</v>
      </c>
      <c r="D757" s="2" t="s">
        <v>416</v>
      </c>
      <c r="E757" s="2">
        <f>+IFERROR(VLOOKUP(A757,'2122'!$A$12:$C$389,2,),0)</f>
        <v>0</v>
      </c>
      <c r="F757" s="2">
        <v>0</v>
      </c>
      <c r="G757" s="2">
        <f t="shared" si="44"/>
        <v>0</v>
      </c>
      <c r="H757" s="2">
        <f>+IFERROR(VLOOKUP(A757,'2122'!$A$12:$C$389,3,),0)</f>
        <v>0</v>
      </c>
      <c r="I757" s="2">
        <v>0</v>
      </c>
      <c r="J757" s="2">
        <f t="shared" si="45"/>
        <v>0</v>
      </c>
      <c r="K757" s="2">
        <v>0</v>
      </c>
      <c r="M757" s="2">
        <v>0</v>
      </c>
      <c r="N757" s="2">
        <v>0</v>
      </c>
      <c r="P757" s="2">
        <v>0</v>
      </c>
    </row>
    <row r="758" spans="1:16" ht="15.75" thickBot="1">
      <c r="A758" s="2" t="s">
        <v>925</v>
      </c>
      <c r="B758" s="9">
        <v>17</v>
      </c>
      <c r="C758" s="2" t="s">
        <v>415</v>
      </c>
      <c r="D758" s="2" t="s">
        <v>416</v>
      </c>
      <c r="E758" s="2">
        <f>+IFERROR(VLOOKUP(A758,'2122'!$A$12:$C$389,2,),0)</f>
        <v>0</v>
      </c>
      <c r="F758" s="2">
        <v>0</v>
      </c>
      <c r="G758" s="2">
        <f t="shared" si="44"/>
        <v>0</v>
      </c>
      <c r="H758" s="2">
        <f>+IFERROR(VLOOKUP(A758,'2122'!$A$12:$C$389,3,),0)</f>
        <v>13500</v>
      </c>
      <c r="I758" s="2">
        <v>0</v>
      </c>
      <c r="J758" s="2">
        <f t="shared" si="45"/>
        <v>13500</v>
      </c>
      <c r="K758" s="2">
        <v>0</v>
      </c>
      <c r="M758" s="2">
        <v>0</v>
      </c>
      <c r="N758" s="2">
        <v>0</v>
      </c>
      <c r="P758" s="2">
        <v>0</v>
      </c>
    </row>
    <row r="759" spans="1:16" ht="15.75" thickBot="1">
      <c r="A759" s="2" t="s">
        <v>926</v>
      </c>
      <c r="B759" s="9">
        <v>19</v>
      </c>
      <c r="C759" s="2" t="s">
        <v>482</v>
      </c>
      <c r="D759" s="2" t="s">
        <v>531</v>
      </c>
      <c r="E759" s="2">
        <f>+IFERROR(VLOOKUP(A759,'2122'!$A$12:$C$389,2,),0)</f>
        <v>0</v>
      </c>
      <c r="F759" s="2">
        <v>0</v>
      </c>
      <c r="G759" s="2">
        <f t="shared" si="44"/>
        <v>0</v>
      </c>
      <c r="H759" s="2">
        <f>+IFERROR(VLOOKUP(A759,'2122'!$A$12:$C$389,3,),0)</f>
        <v>0</v>
      </c>
      <c r="I759" s="2">
        <v>0</v>
      </c>
      <c r="J759" s="2">
        <f t="shared" si="45"/>
        <v>0</v>
      </c>
      <c r="K759" s="2">
        <v>0</v>
      </c>
      <c r="M759" s="2">
        <v>0</v>
      </c>
      <c r="N759" s="2">
        <v>446301</v>
      </c>
      <c r="P759" s="2">
        <v>446301</v>
      </c>
    </row>
    <row r="760" spans="1:16" ht="15.75" thickBot="1">
      <c r="A760" s="2" t="s">
        <v>163</v>
      </c>
      <c r="B760" s="9">
        <v>26</v>
      </c>
      <c r="C760" s="2" t="s">
        <v>509</v>
      </c>
      <c r="D760" s="2" t="s">
        <v>693</v>
      </c>
      <c r="E760" s="2">
        <f>+IFERROR(VLOOKUP(A760,'2122'!$A$12:$C$389,2,),0)</f>
        <v>948949</v>
      </c>
      <c r="F760" s="2">
        <v>0</v>
      </c>
      <c r="G760" s="2">
        <f t="shared" si="44"/>
        <v>948949</v>
      </c>
      <c r="H760" s="2">
        <f>+IFERROR(VLOOKUP(A760,'2122'!$A$12:$C$389,3,),0)</f>
        <v>0</v>
      </c>
      <c r="I760" s="2">
        <v>0</v>
      </c>
      <c r="J760" s="2">
        <f t="shared" si="45"/>
        <v>0</v>
      </c>
      <c r="K760" s="2">
        <v>859878</v>
      </c>
      <c r="M760" s="2">
        <v>859878</v>
      </c>
      <c r="N760" s="2">
        <v>0</v>
      </c>
      <c r="P760" s="2">
        <v>0</v>
      </c>
    </row>
    <row r="761" spans="1:16" ht="15.75" thickBot="1">
      <c r="A761" s="2" t="s">
        <v>927</v>
      </c>
      <c r="B761" s="9">
        <v>17</v>
      </c>
      <c r="C761" s="2" t="s">
        <v>415</v>
      </c>
      <c r="D761" s="2" t="s">
        <v>415</v>
      </c>
      <c r="E761" s="2">
        <f>+IFERROR(VLOOKUP(A761,'2122'!$A$12:$C$389,2,),0)</f>
        <v>0</v>
      </c>
      <c r="F761" s="2">
        <v>0</v>
      </c>
      <c r="G761" s="2">
        <f t="shared" si="44"/>
        <v>0</v>
      </c>
      <c r="H761" s="2">
        <f>+IFERROR(VLOOKUP(A761,'2122'!$A$12:$C$389,3,),0)</f>
        <v>0</v>
      </c>
      <c r="I761" s="2">
        <v>0</v>
      </c>
      <c r="J761" s="2">
        <f t="shared" si="45"/>
        <v>0</v>
      </c>
      <c r="K761" s="2">
        <v>0</v>
      </c>
      <c r="M761" s="2">
        <v>0</v>
      </c>
      <c r="N761" s="2">
        <v>71036</v>
      </c>
      <c r="P761" s="2">
        <v>71036</v>
      </c>
    </row>
    <row r="762" spans="1:16" ht="15.75" thickBot="1">
      <c r="A762" s="2" t="s">
        <v>177</v>
      </c>
      <c r="B762" s="9">
        <v>6</v>
      </c>
      <c r="C762" s="2" t="s">
        <v>1074</v>
      </c>
      <c r="D762" s="2" t="s">
        <v>423</v>
      </c>
      <c r="E762" s="2">
        <f>+IFERROR(VLOOKUP(A762,'2122'!$A$12:$C$389,2,),0)</f>
        <v>488208</v>
      </c>
      <c r="F762" s="2">
        <v>0</v>
      </c>
      <c r="G762" s="2">
        <f t="shared" si="44"/>
        <v>488208</v>
      </c>
      <c r="H762" s="2">
        <f>+IFERROR(VLOOKUP(A762,'2122'!$A$12:$C$389,3,),0)</f>
        <v>0</v>
      </c>
      <c r="I762" s="2">
        <v>0</v>
      </c>
      <c r="J762" s="2">
        <f t="shared" si="45"/>
        <v>0</v>
      </c>
      <c r="K762" s="2">
        <v>565401</v>
      </c>
      <c r="M762" s="2">
        <v>565401</v>
      </c>
      <c r="N762" s="2">
        <v>0</v>
      </c>
      <c r="P762" s="2">
        <v>0</v>
      </c>
    </row>
    <row r="763" spans="1:16" ht="15.75" thickBot="1">
      <c r="A763" s="2" t="s">
        <v>928</v>
      </c>
      <c r="B763" s="9">
        <v>17</v>
      </c>
      <c r="C763" s="2" t="s">
        <v>415</v>
      </c>
      <c r="D763" s="2" t="s">
        <v>416</v>
      </c>
      <c r="E763" s="2">
        <f>+IFERROR(VLOOKUP(A763,'2122'!$A$12:$C$389,2,),0)</f>
        <v>0</v>
      </c>
      <c r="F763" s="2">
        <v>0</v>
      </c>
      <c r="G763" s="2">
        <f t="shared" si="44"/>
        <v>0</v>
      </c>
      <c r="H763" s="2">
        <f>+IFERROR(VLOOKUP(A763,'2122'!$A$12:$C$389,3,),0)</f>
        <v>0</v>
      </c>
      <c r="I763" s="2">
        <v>0</v>
      </c>
      <c r="J763" s="2">
        <f t="shared" si="45"/>
        <v>0</v>
      </c>
      <c r="K763" s="2">
        <v>0</v>
      </c>
      <c r="M763" s="2">
        <v>0</v>
      </c>
      <c r="N763" s="2">
        <v>0</v>
      </c>
      <c r="P763" s="2">
        <v>0</v>
      </c>
    </row>
    <row r="764" spans="1:16" ht="15.75" thickBot="1">
      <c r="A764" s="2" t="s">
        <v>929</v>
      </c>
      <c r="B764" s="9">
        <v>17</v>
      </c>
      <c r="C764" s="2" t="s">
        <v>415</v>
      </c>
      <c r="D764" s="2" t="s">
        <v>416</v>
      </c>
      <c r="E764" s="2">
        <f>+IFERROR(VLOOKUP(A764,'2122'!$A$12:$C$389,2,),0)</f>
        <v>0</v>
      </c>
      <c r="F764" s="2">
        <v>0</v>
      </c>
      <c r="G764" s="2">
        <f t="shared" si="44"/>
        <v>0</v>
      </c>
      <c r="H764" s="2">
        <f>+IFERROR(VLOOKUP(A764,'2122'!$A$12:$C$389,3,),0)</f>
        <v>0</v>
      </c>
      <c r="I764" s="2">
        <v>0</v>
      </c>
      <c r="J764" s="2">
        <f t="shared" si="45"/>
        <v>0</v>
      </c>
      <c r="K764" s="2">
        <v>0</v>
      </c>
      <c r="M764" s="2">
        <v>0</v>
      </c>
      <c r="N764" s="2">
        <v>0</v>
      </c>
      <c r="P764" s="2">
        <v>0</v>
      </c>
    </row>
    <row r="765" spans="1:16" ht="15.75" thickBot="1">
      <c r="A765" s="2" t="s">
        <v>930</v>
      </c>
      <c r="B765" s="9">
        <v>6</v>
      </c>
      <c r="C765" s="2" t="s">
        <v>1074</v>
      </c>
      <c r="D765" s="2" t="s">
        <v>423</v>
      </c>
      <c r="E765" s="2">
        <f>+IFERROR(VLOOKUP(A765,'2122'!$A$12:$C$389,2,),0)</f>
        <v>0</v>
      </c>
      <c r="F765" s="2">
        <v>0</v>
      </c>
      <c r="G765" s="2">
        <f t="shared" si="44"/>
        <v>0</v>
      </c>
      <c r="H765" s="2">
        <f>+IFERROR(VLOOKUP(A765,'2122'!$A$12:$C$389,3,),0)</f>
        <v>0</v>
      </c>
      <c r="I765" s="2">
        <v>0</v>
      </c>
      <c r="J765" s="2">
        <f t="shared" si="45"/>
        <v>0</v>
      </c>
      <c r="K765" s="2">
        <v>0</v>
      </c>
      <c r="M765" s="2">
        <v>0</v>
      </c>
      <c r="N765" s="2">
        <v>0</v>
      </c>
      <c r="P765" s="2">
        <v>0</v>
      </c>
    </row>
    <row r="766" spans="1:16" ht="15.75" thickBot="1">
      <c r="A766" s="2" t="s">
        <v>931</v>
      </c>
      <c r="C766" s="2" t="s">
        <v>482</v>
      </c>
      <c r="D766" s="2" t="s">
        <v>483</v>
      </c>
      <c r="E766" s="2">
        <f>+IFERROR(VLOOKUP(A766,'2122'!$A$12:$C$389,2,),0)</f>
        <v>0</v>
      </c>
      <c r="F766" s="2">
        <v>0</v>
      </c>
      <c r="G766" s="2">
        <f t="shared" si="44"/>
        <v>0</v>
      </c>
      <c r="H766" s="2">
        <f>+IFERROR(VLOOKUP(A766,'2122'!$A$12:$C$389,3,),0)</f>
        <v>0</v>
      </c>
      <c r="I766" s="2">
        <v>0</v>
      </c>
      <c r="J766" s="2">
        <f t="shared" si="45"/>
        <v>0</v>
      </c>
      <c r="K766" s="2">
        <v>0</v>
      </c>
      <c r="M766" s="2">
        <v>0</v>
      </c>
      <c r="N766" s="2">
        <v>0</v>
      </c>
      <c r="P766" s="2">
        <v>0</v>
      </c>
    </row>
    <row r="767" spans="1:16" ht="15.75" thickBot="1">
      <c r="A767" s="2" t="s">
        <v>207</v>
      </c>
      <c r="B767" s="9">
        <v>17</v>
      </c>
      <c r="C767" s="2" t="s">
        <v>415</v>
      </c>
      <c r="D767" s="2" t="s">
        <v>416</v>
      </c>
      <c r="E767" s="2">
        <f>+IFERROR(VLOOKUP(A767,'2122'!$A$12:$C$389,2,),0)</f>
        <v>0</v>
      </c>
      <c r="F767" s="2">
        <v>0</v>
      </c>
      <c r="G767" s="2">
        <f t="shared" si="44"/>
        <v>0</v>
      </c>
      <c r="H767" s="2">
        <f>+IFERROR(VLOOKUP(A767,'2122'!$A$12:$C$389,3,),0)</f>
        <v>29358</v>
      </c>
      <c r="I767" s="2">
        <v>0</v>
      </c>
      <c r="J767" s="2">
        <f t="shared" si="45"/>
        <v>29358</v>
      </c>
      <c r="K767" s="2">
        <v>0</v>
      </c>
      <c r="M767" s="2">
        <v>0</v>
      </c>
      <c r="N767" s="2">
        <v>0</v>
      </c>
      <c r="P767" s="2">
        <v>0</v>
      </c>
    </row>
    <row r="768" spans="1:16" ht="15.75" thickBot="1">
      <c r="A768" s="2" t="s">
        <v>932</v>
      </c>
      <c r="B768" s="9">
        <v>11</v>
      </c>
      <c r="C768" s="2" t="s">
        <v>1550</v>
      </c>
      <c r="D768" s="2" t="s">
        <v>440</v>
      </c>
      <c r="E768" s="2">
        <f>+IFERROR(VLOOKUP(A768,'2122'!$A$12:$C$389,2,),0)</f>
        <v>0</v>
      </c>
      <c r="F768" s="2">
        <v>0</v>
      </c>
      <c r="G768" s="2">
        <f t="shared" si="44"/>
        <v>0</v>
      </c>
      <c r="H768" s="2">
        <f>+IFERROR(VLOOKUP(A768,'2122'!$A$12:$C$389,3,),0)</f>
        <v>0</v>
      </c>
      <c r="I768" s="2">
        <v>0</v>
      </c>
      <c r="J768" s="2">
        <f t="shared" si="45"/>
        <v>0</v>
      </c>
      <c r="K768" s="2">
        <v>0</v>
      </c>
      <c r="M768" s="2">
        <v>0</v>
      </c>
      <c r="N768" s="2">
        <v>0</v>
      </c>
      <c r="P768" s="2">
        <v>0</v>
      </c>
    </row>
    <row r="769" spans="1:16" ht="15.75" thickBot="1">
      <c r="A769" s="2" t="s">
        <v>933</v>
      </c>
      <c r="B769" s="9">
        <v>6</v>
      </c>
      <c r="C769" s="2" t="s">
        <v>1074</v>
      </c>
      <c r="D769" s="2" t="s">
        <v>423</v>
      </c>
      <c r="E769" s="2">
        <f>+IFERROR(VLOOKUP(A769,'2122'!$A$12:$C$389,2,),0)</f>
        <v>0</v>
      </c>
      <c r="F769" s="2">
        <v>0</v>
      </c>
      <c r="G769" s="2">
        <f t="shared" si="44"/>
        <v>0</v>
      </c>
      <c r="H769" s="2">
        <f>+IFERROR(VLOOKUP(A769,'2122'!$A$12:$C$389,3,),0)</f>
        <v>0</v>
      </c>
      <c r="I769" s="2">
        <v>0</v>
      </c>
      <c r="J769" s="2">
        <f t="shared" si="45"/>
        <v>0</v>
      </c>
      <c r="K769" s="2">
        <v>0</v>
      </c>
      <c r="M769" s="2">
        <v>0</v>
      </c>
      <c r="N769" s="2">
        <v>0</v>
      </c>
      <c r="P769" s="2">
        <v>0</v>
      </c>
    </row>
    <row r="770" spans="1:16" ht="15.75" thickBot="1">
      <c r="A770" s="2" t="s">
        <v>298</v>
      </c>
      <c r="B770" s="9">
        <v>17</v>
      </c>
      <c r="C770" s="2" t="s">
        <v>415</v>
      </c>
      <c r="D770" s="2" t="s">
        <v>415</v>
      </c>
      <c r="E770" s="2">
        <f>+IFERROR(VLOOKUP(A770,'2122'!$A$12:$C$389,2,),0)</f>
        <v>0</v>
      </c>
      <c r="F770" s="2">
        <v>0</v>
      </c>
      <c r="G770" s="2">
        <f t="shared" si="44"/>
        <v>0</v>
      </c>
      <c r="H770" s="2">
        <f>+IFERROR(VLOOKUP(A770,'2122'!$A$12:$C$389,3,),0)</f>
        <v>30090</v>
      </c>
      <c r="I770" s="2">
        <v>0</v>
      </c>
      <c r="J770" s="2">
        <f t="shared" si="45"/>
        <v>30090</v>
      </c>
      <c r="K770" s="2">
        <v>0</v>
      </c>
      <c r="M770" s="2">
        <v>0</v>
      </c>
      <c r="N770" s="2">
        <v>19934</v>
      </c>
      <c r="P770" s="2">
        <v>19934</v>
      </c>
    </row>
    <row r="771" spans="1:16" ht="15.75" thickBot="1">
      <c r="A771" s="2" t="s">
        <v>934</v>
      </c>
      <c r="B771" s="9">
        <v>6</v>
      </c>
      <c r="C771" s="2" t="s">
        <v>1074</v>
      </c>
      <c r="D771" s="2" t="s">
        <v>423</v>
      </c>
      <c r="E771" s="2">
        <f>+IFERROR(VLOOKUP(A771,'2122'!$A$12:$C$389,2,),0)</f>
        <v>0</v>
      </c>
      <c r="F771" s="2">
        <v>0</v>
      </c>
      <c r="G771" s="2">
        <f t="shared" si="44"/>
        <v>0</v>
      </c>
      <c r="H771" s="2">
        <f>+IFERROR(VLOOKUP(A771,'2122'!$A$12:$C$389,3,),0)</f>
        <v>0</v>
      </c>
      <c r="I771" s="2">
        <v>0</v>
      </c>
      <c r="J771" s="2">
        <f t="shared" si="45"/>
        <v>0</v>
      </c>
      <c r="K771" s="2">
        <v>0</v>
      </c>
      <c r="M771" s="2">
        <v>0</v>
      </c>
      <c r="N771" s="2">
        <v>0</v>
      </c>
      <c r="P771" s="2">
        <v>0</v>
      </c>
    </row>
    <row r="772" spans="1:16" ht="15.75" thickBot="1">
      <c r="A772" s="2" t="s">
        <v>314</v>
      </c>
      <c r="B772" s="9">
        <v>13</v>
      </c>
      <c r="C772" s="2" t="s">
        <v>474</v>
      </c>
      <c r="D772" s="2" t="s">
        <v>835</v>
      </c>
      <c r="E772" s="2">
        <f>+IFERROR(VLOOKUP(A772,'2122'!$A$12:$C$389,2,),0)</f>
        <v>0</v>
      </c>
      <c r="F772" s="2">
        <v>0</v>
      </c>
      <c r="G772" s="2">
        <f t="shared" si="44"/>
        <v>0</v>
      </c>
      <c r="H772" s="2">
        <f>+IFERROR(VLOOKUP(A772,'2122'!$A$12:$C$389,3,),0)</f>
        <v>10481463</v>
      </c>
      <c r="I772" s="2">
        <v>0</v>
      </c>
      <c r="J772" s="2">
        <f t="shared" si="45"/>
        <v>10481463</v>
      </c>
      <c r="K772" s="2">
        <v>0</v>
      </c>
      <c r="M772" s="2">
        <v>0</v>
      </c>
      <c r="N772" s="2">
        <v>14600000</v>
      </c>
      <c r="P772" s="2">
        <v>14600000</v>
      </c>
    </row>
    <row r="773" spans="1:16" ht="15.75" thickBot="1">
      <c r="A773" s="2" t="s">
        <v>935</v>
      </c>
      <c r="B773" s="9">
        <v>19</v>
      </c>
      <c r="C773" s="2" t="s">
        <v>482</v>
      </c>
      <c r="D773" s="2" t="s">
        <v>531</v>
      </c>
      <c r="E773" s="2">
        <f>+IFERROR(VLOOKUP(A773,'2122'!$A$12:$C$389,2,),0)</f>
        <v>0</v>
      </c>
      <c r="F773" s="2">
        <v>0</v>
      </c>
      <c r="G773" s="2">
        <f t="shared" si="44"/>
        <v>0</v>
      </c>
      <c r="H773" s="2">
        <f>+IFERROR(VLOOKUP(A773,'2122'!$A$12:$C$389,3,),0)</f>
        <v>0</v>
      </c>
      <c r="I773" s="2">
        <v>0</v>
      </c>
      <c r="J773" s="2">
        <f t="shared" si="45"/>
        <v>0</v>
      </c>
      <c r="K773" s="2">
        <v>0</v>
      </c>
      <c r="M773" s="2">
        <v>0</v>
      </c>
      <c r="N773" s="2">
        <v>0</v>
      </c>
      <c r="P773" s="2">
        <v>0</v>
      </c>
    </row>
    <row r="774" spans="1:16" ht="15.75" thickBot="1">
      <c r="A774" s="2" t="s">
        <v>936</v>
      </c>
      <c r="B774" s="9">
        <v>19</v>
      </c>
      <c r="C774" s="2" t="s">
        <v>482</v>
      </c>
      <c r="D774" s="2" t="s">
        <v>531</v>
      </c>
      <c r="E774" s="2">
        <f>+IFERROR(VLOOKUP(A774,'2122'!$A$12:$C$389,2,),0)</f>
        <v>0</v>
      </c>
      <c r="F774" s="2">
        <v>0</v>
      </c>
      <c r="G774" s="2">
        <f t="shared" si="44"/>
        <v>0</v>
      </c>
      <c r="H774" s="2">
        <f>+IFERROR(VLOOKUP(A774,'2122'!$A$12:$C$389,3,),0)</f>
        <v>0</v>
      </c>
      <c r="I774" s="2">
        <v>0</v>
      </c>
      <c r="J774" s="2">
        <f t="shared" si="45"/>
        <v>0</v>
      </c>
      <c r="K774" s="2">
        <v>53295.15</v>
      </c>
      <c r="M774" s="2">
        <v>53295.15</v>
      </c>
      <c r="N774" s="2">
        <v>0</v>
      </c>
      <c r="P774" s="2">
        <v>0</v>
      </c>
    </row>
    <row r="775" spans="1:16" ht="15.75" thickBot="1">
      <c r="A775" s="2" t="s">
        <v>937</v>
      </c>
      <c r="B775" s="9">
        <v>19</v>
      </c>
      <c r="C775" s="2" t="s">
        <v>482</v>
      </c>
      <c r="D775" s="2" t="s">
        <v>531</v>
      </c>
      <c r="E775" s="2">
        <f>+IFERROR(VLOOKUP(A775,'2122'!$A$12:$C$389,2,),0)</f>
        <v>0</v>
      </c>
      <c r="F775" s="2">
        <v>0</v>
      </c>
      <c r="G775" s="2">
        <f t="shared" si="44"/>
        <v>0</v>
      </c>
      <c r="H775" s="2">
        <f>+IFERROR(VLOOKUP(A775,'2122'!$A$12:$C$389,3,),0)</f>
        <v>0</v>
      </c>
      <c r="I775" s="2">
        <v>0</v>
      </c>
      <c r="J775" s="2">
        <f t="shared" si="45"/>
        <v>0</v>
      </c>
      <c r="K775" s="2">
        <v>0</v>
      </c>
      <c r="M775" s="2">
        <v>0</v>
      </c>
      <c r="N775" s="2">
        <v>2852634</v>
      </c>
      <c r="P775" s="2">
        <v>2852634</v>
      </c>
    </row>
    <row r="776" spans="1:16" ht="15.75" thickBot="1">
      <c r="A776" s="2" t="s">
        <v>938</v>
      </c>
      <c r="B776" s="9">
        <v>6</v>
      </c>
      <c r="C776" s="2" t="s">
        <v>1074</v>
      </c>
      <c r="D776" s="2" t="s">
        <v>423</v>
      </c>
      <c r="E776" s="2">
        <f>+IFERROR(VLOOKUP(A776,'2122'!$A$12:$C$389,2,),0)</f>
        <v>0</v>
      </c>
      <c r="F776" s="2">
        <v>0</v>
      </c>
      <c r="G776" s="2">
        <f t="shared" si="44"/>
        <v>0</v>
      </c>
      <c r="H776" s="2">
        <f>+IFERROR(VLOOKUP(A776,'2122'!$A$12:$C$389,3,),0)</f>
        <v>0</v>
      </c>
      <c r="I776" s="2">
        <v>0</v>
      </c>
      <c r="J776" s="2">
        <f t="shared" si="45"/>
        <v>0</v>
      </c>
      <c r="K776" s="2">
        <v>0</v>
      </c>
      <c r="M776" s="2">
        <v>0</v>
      </c>
      <c r="N776" s="2">
        <v>0</v>
      </c>
      <c r="P776" s="2">
        <v>0</v>
      </c>
    </row>
    <row r="777" spans="1:16" ht="15.75" thickBot="1">
      <c r="A777" s="2" t="s">
        <v>939</v>
      </c>
      <c r="B777" s="9">
        <v>27</v>
      </c>
      <c r="C777" s="2" t="s">
        <v>1560</v>
      </c>
      <c r="D777" s="2" t="s">
        <v>279</v>
      </c>
      <c r="E777" s="2">
        <f>+IFERROR(VLOOKUP(A777,'2122'!$A$12:$C$389,2,),0)</f>
        <v>0</v>
      </c>
      <c r="F777" s="2">
        <v>0</v>
      </c>
      <c r="G777" s="2">
        <f t="shared" si="44"/>
        <v>0</v>
      </c>
      <c r="H777" s="2">
        <f>+IFERROR(VLOOKUP(A777,'2122'!$A$12:$C$389,3,),0)</f>
        <v>0</v>
      </c>
      <c r="I777" s="2">
        <v>0</v>
      </c>
      <c r="J777" s="2">
        <f t="shared" si="45"/>
        <v>0</v>
      </c>
      <c r="K777" s="2">
        <v>0</v>
      </c>
      <c r="M777" s="2">
        <v>0</v>
      </c>
      <c r="N777" s="2">
        <v>0</v>
      </c>
      <c r="P777" s="2">
        <v>0</v>
      </c>
    </row>
    <row r="778" spans="1:16" ht="15.75" thickBot="1">
      <c r="A778" s="2" t="s">
        <v>940</v>
      </c>
      <c r="B778" s="9">
        <v>4</v>
      </c>
      <c r="C778" s="2" t="s">
        <v>1547</v>
      </c>
      <c r="D778" s="2" t="s">
        <v>590</v>
      </c>
      <c r="E778" s="2">
        <f>+IFERROR(VLOOKUP(A778,'2122'!$A$12:$C$389,2,),0)</f>
        <v>0</v>
      </c>
      <c r="F778" s="2">
        <v>0</v>
      </c>
      <c r="G778" s="2">
        <f t="shared" si="44"/>
        <v>0</v>
      </c>
      <c r="H778" s="2">
        <f>+IFERROR(VLOOKUP(A778,'2122'!$A$12:$C$389,3,),0)</f>
        <v>0</v>
      </c>
      <c r="I778" s="2">
        <v>0</v>
      </c>
      <c r="J778" s="2">
        <f t="shared" si="45"/>
        <v>0</v>
      </c>
      <c r="K778" s="2">
        <v>0</v>
      </c>
      <c r="M778" s="2">
        <v>0</v>
      </c>
      <c r="N778" s="2">
        <v>0</v>
      </c>
      <c r="P778" s="2">
        <v>0</v>
      </c>
    </row>
    <row r="779" spans="1:16" ht="15.75" thickBot="1">
      <c r="A779" s="2" t="s">
        <v>941</v>
      </c>
      <c r="B779" s="9">
        <v>4</v>
      </c>
      <c r="C779" s="2" t="s">
        <v>1547</v>
      </c>
      <c r="D779" s="2" t="s">
        <v>590</v>
      </c>
      <c r="E779" s="2">
        <f>+IFERROR(VLOOKUP(A779,'2122'!$A$12:$C$389,2,),0)</f>
        <v>0</v>
      </c>
      <c r="F779" s="2">
        <v>0</v>
      </c>
      <c r="G779" s="2">
        <f t="shared" si="44"/>
        <v>0</v>
      </c>
      <c r="H779" s="2">
        <f>+IFERROR(VLOOKUP(A779,'2122'!$A$12:$C$389,3,),0)</f>
        <v>0</v>
      </c>
      <c r="I779" s="2">
        <v>0</v>
      </c>
      <c r="J779" s="2">
        <f t="shared" si="45"/>
        <v>0</v>
      </c>
      <c r="K779" s="2">
        <v>0</v>
      </c>
      <c r="M779" s="2">
        <v>0</v>
      </c>
      <c r="N779" s="2">
        <v>0</v>
      </c>
      <c r="P779" s="2">
        <v>0</v>
      </c>
    </row>
    <row r="780" spans="1:16" ht="15.75" thickBot="1">
      <c r="A780" s="2" t="s">
        <v>942</v>
      </c>
      <c r="B780" s="9">
        <v>4</v>
      </c>
      <c r="C780" s="2" t="s">
        <v>1547</v>
      </c>
      <c r="D780" s="2" t="s">
        <v>590</v>
      </c>
      <c r="E780" s="2">
        <f>+IFERROR(VLOOKUP(A780,'2122'!$A$12:$C$389,2,),0)</f>
        <v>0</v>
      </c>
      <c r="F780" s="2">
        <v>0</v>
      </c>
      <c r="G780" s="2">
        <f t="shared" si="44"/>
        <v>0</v>
      </c>
      <c r="H780" s="2">
        <f>+IFERROR(VLOOKUP(A780,'2122'!$A$12:$C$389,3,),0)</f>
        <v>0</v>
      </c>
      <c r="I780" s="2">
        <v>0</v>
      </c>
      <c r="J780" s="2">
        <f t="shared" si="45"/>
        <v>0</v>
      </c>
      <c r="K780" s="2">
        <v>0</v>
      </c>
      <c r="M780" s="2">
        <v>0</v>
      </c>
      <c r="N780" s="2">
        <v>0</v>
      </c>
      <c r="P780" s="2">
        <v>0</v>
      </c>
    </row>
    <row r="781" spans="1:16" ht="15.75" thickBot="1">
      <c r="A781" s="2" t="s">
        <v>943</v>
      </c>
      <c r="B781" s="9">
        <v>6</v>
      </c>
      <c r="C781" s="2" t="s">
        <v>1074</v>
      </c>
      <c r="D781" s="2" t="s">
        <v>423</v>
      </c>
      <c r="E781" s="2">
        <f>+IFERROR(VLOOKUP(A781,'2122'!$A$12:$C$389,2,),0)</f>
        <v>0</v>
      </c>
      <c r="F781" s="2">
        <v>0</v>
      </c>
      <c r="G781" s="2">
        <f t="shared" si="44"/>
        <v>0</v>
      </c>
      <c r="H781" s="2">
        <f>+IFERROR(VLOOKUP(A781,'2122'!$A$12:$C$389,3,),0)</f>
        <v>0</v>
      </c>
      <c r="I781" s="2">
        <v>0</v>
      </c>
      <c r="J781" s="2">
        <f t="shared" si="45"/>
        <v>0</v>
      </c>
      <c r="K781" s="2">
        <v>179827</v>
      </c>
      <c r="M781" s="2">
        <v>179827</v>
      </c>
      <c r="N781" s="2">
        <v>0</v>
      </c>
      <c r="P781" s="2">
        <v>0</v>
      </c>
    </row>
    <row r="782" spans="1:16" ht="15.75" thickBot="1">
      <c r="A782" s="2" t="s">
        <v>384</v>
      </c>
      <c r="B782" s="9">
        <v>2</v>
      </c>
      <c r="C782" s="2" t="s">
        <v>1072</v>
      </c>
      <c r="D782" s="2" t="s">
        <v>522</v>
      </c>
      <c r="E782" s="2">
        <f>+IFERROR(VLOOKUP(A782,'2122'!$A$12:$C$389,2,),0)</f>
        <v>2991111</v>
      </c>
      <c r="F782" s="2">
        <v>0</v>
      </c>
      <c r="G782" s="2">
        <f t="shared" si="44"/>
        <v>2991111</v>
      </c>
      <c r="H782" s="2">
        <f>+IFERROR(VLOOKUP(A782,'2122'!$A$12:$C$389,3,),0)</f>
        <v>0</v>
      </c>
      <c r="I782" s="2">
        <v>0</v>
      </c>
      <c r="J782" s="2">
        <f t="shared" si="45"/>
        <v>0</v>
      </c>
      <c r="K782" s="2">
        <v>2991111</v>
      </c>
      <c r="M782" s="2">
        <v>2991111</v>
      </c>
      <c r="N782" s="2">
        <v>0</v>
      </c>
      <c r="P782" s="2">
        <v>0</v>
      </c>
    </row>
    <row r="783" spans="1:16" ht="15.75" thickBot="1">
      <c r="A783" s="2" t="s">
        <v>944</v>
      </c>
      <c r="B783" s="9">
        <v>27</v>
      </c>
      <c r="C783" s="2" t="s">
        <v>1560</v>
      </c>
      <c r="D783" s="2" t="s">
        <v>1564</v>
      </c>
      <c r="E783" s="2">
        <f>+IFERROR(VLOOKUP(A783,'2122'!$A$12:$C$389,2,),0)</f>
        <v>677742</v>
      </c>
      <c r="F783" s="2">
        <v>0</v>
      </c>
      <c r="G783" s="2">
        <f t="shared" si="44"/>
        <v>677742</v>
      </c>
      <c r="H783" s="2">
        <f>+IFERROR(VLOOKUP(A783,'2122'!$A$12:$C$389,3,),0)</f>
        <v>0</v>
      </c>
      <c r="I783" s="2">
        <v>0</v>
      </c>
      <c r="J783" s="2">
        <f t="shared" si="45"/>
        <v>0</v>
      </c>
      <c r="K783" s="2">
        <v>521794</v>
      </c>
      <c r="M783" s="2">
        <v>521794</v>
      </c>
      <c r="N783" s="2">
        <v>0</v>
      </c>
      <c r="P783" s="2">
        <v>0</v>
      </c>
    </row>
    <row r="784" spans="1:16" ht="15.75" thickBot="1">
      <c r="A784" s="2" t="s">
        <v>386</v>
      </c>
      <c r="B784" s="9">
        <v>27</v>
      </c>
      <c r="C784" s="2" t="s">
        <v>1560</v>
      </c>
      <c r="D784" s="2" t="s">
        <v>1564</v>
      </c>
      <c r="E784" s="2">
        <f>+IFERROR(VLOOKUP(A784,'2122'!$A$12:$C$389,2,),0)</f>
        <v>295158.12</v>
      </c>
      <c r="F784" s="2">
        <v>0</v>
      </c>
      <c r="G784" s="2">
        <f t="shared" si="44"/>
        <v>295158.12</v>
      </c>
      <c r="H784" s="2">
        <f>+IFERROR(VLOOKUP(A784,'2122'!$A$12:$C$389,3,),0)</f>
        <v>0</v>
      </c>
      <c r="I784" s="2">
        <v>0</v>
      </c>
      <c r="J784" s="2">
        <f t="shared" si="45"/>
        <v>0</v>
      </c>
      <c r="K784" s="2">
        <v>271912.74</v>
      </c>
      <c r="M784" s="2">
        <v>271912.74</v>
      </c>
      <c r="N784" s="2">
        <v>0</v>
      </c>
      <c r="P784" s="2">
        <v>0</v>
      </c>
    </row>
    <row r="785" spans="1:16" ht="15.75" thickBot="1">
      <c r="A785" s="2" t="s">
        <v>945</v>
      </c>
      <c r="B785" s="9">
        <v>17</v>
      </c>
      <c r="C785" s="2" t="s">
        <v>415</v>
      </c>
      <c r="D785" s="2" t="s">
        <v>415</v>
      </c>
      <c r="E785" s="2">
        <f>+IFERROR(VLOOKUP(A785,'2122'!$A$12:$C$389,2,),0)</f>
        <v>0</v>
      </c>
      <c r="F785" s="2">
        <v>0</v>
      </c>
      <c r="G785" s="2">
        <f t="shared" si="44"/>
        <v>0</v>
      </c>
      <c r="H785" s="2">
        <f>+IFERROR(VLOOKUP(A785,'2122'!$A$12:$C$389,3,),0)</f>
        <v>0</v>
      </c>
      <c r="I785" s="2">
        <v>0</v>
      </c>
      <c r="J785" s="2">
        <f t="shared" si="45"/>
        <v>0</v>
      </c>
      <c r="K785" s="2">
        <v>0</v>
      </c>
      <c r="M785" s="2">
        <v>0</v>
      </c>
      <c r="N785" s="2">
        <v>0</v>
      </c>
      <c r="P785" s="2">
        <v>0</v>
      </c>
    </row>
    <row r="786" spans="1:16" ht="15.75" thickBot="1">
      <c r="A786" s="2" t="s">
        <v>946</v>
      </c>
      <c r="B786" s="9">
        <v>17</v>
      </c>
      <c r="C786" s="2" t="s">
        <v>415</v>
      </c>
      <c r="D786" s="2" t="s">
        <v>415</v>
      </c>
      <c r="E786" s="2">
        <f>+IFERROR(VLOOKUP(A786,'2122'!$A$12:$C$389,2,),0)</f>
        <v>0</v>
      </c>
      <c r="F786" s="2">
        <v>0</v>
      </c>
      <c r="G786" s="2">
        <f t="shared" si="44"/>
        <v>0</v>
      </c>
      <c r="H786" s="2">
        <f>+IFERROR(VLOOKUP(A786,'2122'!$A$12:$C$389,3,),0)</f>
        <v>0</v>
      </c>
      <c r="I786" s="2">
        <v>0</v>
      </c>
      <c r="J786" s="2">
        <f t="shared" si="45"/>
        <v>0</v>
      </c>
      <c r="K786" s="2">
        <v>0</v>
      </c>
      <c r="M786" s="2">
        <v>0</v>
      </c>
      <c r="N786" s="2">
        <v>29906</v>
      </c>
      <c r="P786" s="2">
        <v>29906</v>
      </c>
    </row>
    <row r="787" spans="1:16" ht="15.75" thickBot="1">
      <c r="A787" s="2" t="s">
        <v>387</v>
      </c>
      <c r="B787" s="9">
        <v>17</v>
      </c>
      <c r="C787" s="2" t="s">
        <v>415</v>
      </c>
      <c r="D787" s="2" t="s">
        <v>415</v>
      </c>
      <c r="E787" s="2">
        <f>+IFERROR(VLOOKUP(A787,'2122'!$A$12:$C$389,2,),0)</f>
        <v>0</v>
      </c>
      <c r="F787" s="2">
        <v>0</v>
      </c>
      <c r="G787" s="2">
        <f t="shared" si="44"/>
        <v>0</v>
      </c>
      <c r="H787" s="2">
        <f>+IFERROR(VLOOKUP(A787,'2122'!$A$12:$C$389,3,),0)</f>
        <v>6011326</v>
      </c>
      <c r="I787" s="2">
        <v>0</v>
      </c>
      <c r="J787" s="2">
        <f t="shared" si="45"/>
        <v>6011326</v>
      </c>
      <c r="K787" s="2">
        <v>0</v>
      </c>
      <c r="M787" s="2">
        <v>0</v>
      </c>
      <c r="N787" s="2">
        <v>1429369</v>
      </c>
      <c r="P787" s="2">
        <v>1429369</v>
      </c>
    </row>
    <row r="788" spans="1:16" ht="15.75" thickBot="1">
      <c r="A788" s="2" t="s">
        <v>947</v>
      </c>
      <c r="B788" s="9">
        <v>17</v>
      </c>
      <c r="C788" s="2" t="s">
        <v>415</v>
      </c>
      <c r="D788" s="2" t="s">
        <v>415</v>
      </c>
      <c r="E788" s="2">
        <f>+IFERROR(VLOOKUP(A788,'2122'!$A$12:$C$389,2,),0)</f>
        <v>0</v>
      </c>
      <c r="F788" s="2">
        <v>0</v>
      </c>
      <c r="G788" s="2">
        <f t="shared" si="44"/>
        <v>0</v>
      </c>
      <c r="H788" s="2">
        <f>+IFERROR(VLOOKUP(A788,'2122'!$A$12:$C$389,3,),0)</f>
        <v>0</v>
      </c>
      <c r="I788" s="2">
        <v>0</v>
      </c>
      <c r="J788" s="2">
        <f t="shared" si="45"/>
        <v>0</v>
      </c>
      <c r="K788" s="2">
        <v>0</v>
      </c>
      <c r="M788" s="2">
        <v>0</v>
      </c>
      <c r="N788" s="2">
        <v>12900</v>
      </c>
      <c r="P788" s="2">
        <v>12900</v>
      </c>
    </row>
    <row r="789" spans="1:16" ht="15.75" thickBot="1">
      <c r="A789" s="2" t="s">
        <v>948</v>
      </c>
      <c r="B789" s="9">
        <v>17</v>
      </c>
      <c r="C789" s="2" t="s">
        <v>415</v>
      </c>
      <c r="D789" s="2" t="s">
        <v>415</v>
      </c>
      <c r="E789" s="2">
        <f>+IFERROR(VLOOKUP(A789,'2122'!$A$12:$C$389,2,),0)</f>
        <v>0</v>
      </c>
      <c r="F789" s="2">
        <v>0</v>
      </c>
      <c r="G789" s="2">
        <f t="shared" si="44"/>
        <v>0</v>
      </c>
      <c r="H789" s="2">
        <f>+IFERROR(VLOOKUP(A789,'2122'!$A$12:$C$389,3,),0)</f>
        <v>0</v>
      </c>
      <c r="I789" s="2">
        <v>0</v>
      </c>
      <c r="J789" s="2">
        <f t="shared" si="45"/>
        <v>0</v>
      </c>
      <c r="K789" s="2">
        <v>0</v>
      </c>
      <c r="M789" s="2">
        <v>0</v>
      </c>
      <c r="N789" s="2">
        <v>0</v>
      </c>
      <c r="P789" s="2">
        <v>0</v>
      </c>
    </row>
    <row r="790" spans="1:16" ht="15.75" thickBot="1">
      <c r="A790" s="2" t="s">
        <v>949</v>
      </c>
      <c r="B790" s="9">
        <v>17</v>
      </c>
      <c r="C790" s="2" t="s">
        <v>415</v>
      </c>
      <c r="D790" s="2" t="s">
        <v>415</v>
      </c>
      <c r="E790" s="2">
        <f>+IFERROR(VLOOKUP(A790,'2122'!$A$12:$C$389,2,),0)</f>
        <v>0</v>
      </c>
      <c r="F790" s="2">
        <v>0</v>
      </c>
      <c r="G790" s="2">
        <f t="shared" si="44"/>
        <v>0</v>
      </c>
      <c r="H790" s="2">
        <f>+IFERROR(VLOOKUP(A790,'2122'!$A$12:$C$389,3,),0)</f>
        <v>0</v>
      </c>
      <c r="I790" s="2">
        <v>0</v>
      </c>
      <c r="J790" s="2">
        <f t="shared" si="45"/>
        <v>0</v>
      </c>
      <c r="K790" s="2">
        <v>0</v>
      </c>
      <c r="M790" s="2">
        <v>0</v>
      </c>
      <c r="N790" s="2">
        <v>0</v>
      </c>
      <c r="P790" s="2">
        <v>0</v>
      </c>
    </row>
    <row r="791" spans="1:16" ht="15.75" thickBot="1">
      <c r="A791" s="2" t="s">
        <v>950</v>
      </c>
      <c r="B791" s="9">
        <v>6</v>
      </c>
      <c r="C791" s="2" t="s">
        <v>1074</v>
      </c>
      <c r="D791" s="2" t="s">
        <v>423</v>
      </c>
      <c r="E791" s="2">
        <f>+IFERROR(VLOOKUP(A791,'2122'!$A$12:$C$389,2,),0)</f>
        <v>0</v>
      </c>
      <c r="F791" s="2">
        <v>0</v>
      </c>
      <c r="G791" s="2">
        <f t="shared" si="44"/>
        <v>0</v>
      </c>
      <c r="H791" s="2">
        <f>+IFERROR(VLOOKUP(A791,'2122'!$A$12:$C$389,3,),0)</f>
        <v>0</v>
      </c>
      <c r="I791" s="2">
        <v>0</v>
      </c>
      <c r="J791" s="2">
        <f t="shared" si="45"/>
        <v>0</v>
      </c>
      <c r="K791" s="2">
        <v>0</v>
      </c>
      <c r="M791" s="2">
        <v>0</v>
      </c>
      <c r="N791" s="2">
        <v>0</v>
      </c>
      <c r="P791" s="2">
        <v>0</v>
      </c>
    </row>
    <row r="792" spans="1:16" ht="15.75" thickBot="1">
      <c r="A792" s="2" t="s">
        <v>951</v>
      </c>
      <c r="B792" s="9">
        <v>17</v>
      </c>
      <c r="C792" s="2" t="s">
        <v>415</v>
      </c>
      <c r="D792" s="2" t="s">
        <v>415</v>
      </c>
      <c r="E792" s="2">
        <f>+IFERROR(VLOOKUP(A792,'2122'!$A$12:$C$389,2,),0)</f>
        <v>0</v>
      </c>
      <c r="F792" s="2">
        <v>0</v>
      </c>
      <c r="G792" s="2">
        <f t="shared" ref="G792:G808" si="54">+E792+F792</f>
        <v>0</v>
      </c>
      <c r="H792" s="2">
        <f>+IFERROR(VLOOKUP(A792,'2122'!$A$12:$C$389,3,),0)</f>
        <v>226800</v>
      </c>
      <c r="I792" s="2">
        <v>0</v>
      </c>
      <c r="J792" s="2">
        <f t="shared" ref="J792:J808" si="55">+H792+I792</f>
        <v>226800</v>
      </c>
      <c r="K792" s="2">
        <v>0</v>
      </c>
      <c r="M792" s="2">
        <v>0</v>
      </c>
      <c r="N792" s="2">
        <v>232050</v>
      </c>
      <c r="P792" s="2">
        <v>232050</v>
      </c>
    </row>
    <row r="793" spans="1:16" ht="15.75" thickBot="1">
      <c r="A793" s="2" t="s">
        <v>952</v>
      </c>
      <c r="B793" s="9">
        <v>27</v>
      </c>
      <c r="C793" s="2" t="s">
        <v>1555</v>
      </c>
      <c r="D793" s="2" t="s">
        <v>1294</v>
      </c>
      <c r="E793" s="2">
        <f>+IFERROR(VLOOKUP(A793,'2122'!$A$12:$C$389,2,),0)</f>
        <v>0</v>
      </c>
      <c r="F793" s="2">
        <v>0</v>
      </c>
      <c r="G793" s="2">
        <f t="shared" si="54"/>
        <v>0</v>
      </c>
      <c r="H793" s="2">
        <f>+IFERROR(VLOOKUP(A793,'2122'!$A$12:$C$389,3,),0)</f>
        <v>0</v>
      </c>
      <c r="I793" s="2">
        <v>0</v>
      </c>
      <c r="J793" s="2">
        <f t="shared" si="55"/>
        <v>0</v>
      </c>
      <c r="K793" s="2">
        <v>0</v>
      </c>
      <c r="M793" s="2">
        <v>0</v>
      </c>
      <c r="N793" s="2">
        <v>0</v>
      </c>
      <c r="P793" s="2">
        <v>0</v>
      </c>
    </row>
    <row r="794" spans="1:16" ht="15.75" thickBot="1">
      <c r="A794" s="2" t="s">
        <v>391</v>
      </c>
      <c r="B794" s="9">
        <v>27</v>
      </c>
      <c r="C794" s="2" t="s">
        <v>1555</v>
      </c>
      <c r="D794" s="2" t="s">
        <v>1294</v>
      </c>
      <c r="E794" s="2">
        <f>+IFERROR(VLOOKUP(A794,'2122'!$A$12:$C$389,2,),0)</f>
        <v>170365</v>
      </c>
      <c r="F794" s="2">
        <v>0</v>
      </c>
      <c r="G794" s="2">
        <f t="shared" si="54"/>
        <v>170365</v>
      </c>
      <c r="H794" s="2">
        <f>+IFERROR(VLOOKUP(A794,'2122'!$A$12:$C$389,3,),0)</f>
        <v>0</v>
      </c>
      <c r="I794" s="2">
        <v>0</v>
      </c>
      <c r="J794" s="2">
        <f t="shared" si="55"/>
        <v>0</v>
      </c>
      <c r="K794" s="2">
        <v>290915</v>
      </c>
      <c r="M794" s="2">
        <v>290915</v>
      </c>
      <c r="N794" s="2">
        <v>0</v>
      </c>
      <c r="P794" s="2">
        <v>0</v>
      </c>
    </row>
    <row r="795" spans="1:16" ht="15.75" thickBot="1">
      <c r="A795" s="2" t="s">
        <v>392</v>
      </c>
      <c r="B795" s="9">
        <v>27</v>
      </c>
      <c r="C795" s="2" t="s">
        <v>1555</v>
      </c>
      <c r="D795" s="2" t="s">
        <v>1559</v>
      </c>
      <c r="E795" s="2">
        <f>+IFERROR(VLOOKUP(A795,'2122'!$A$12:$C$389,2,),0)</f>
        <v>6303933</v>
      </c>
      <c r="F795" s="2">
        <v>0</v>
      </c>
      <c r="G795" s="2">
        <f t="shared" si="54"/>
        <v>6303933</v>
      </c>
      <c r="H795" s="2">
        <f>+IFERROR(VLOOKUP(A795,'2122'!$A$12:$C$389,3,),0)</f>
        <v>0</v>
      </c>
      <c r="I795" s="2">
        <v>0</v>
      </c>
      <c r="J795" s="2">
        <f t="shared" si="55"/>
        <v>0</v>
      </c>
      <c r="K795" s="2">
        <v>6129998</v>
      </c>
      <c r="M795" s="2">
        <v>6129998</v>
      </c>
      <c r="N795" s="2">
        <v>0</v>
      </c>
      <c r="P795" s="2">
        <v>0</v>
      </c>
    </row>
    <row r="796" spans="1:16" ht="15.75" thickBot="1">
      <c r="A796" s="2" t="s">
        <v>393</v>
      </c>
      <c r="B796" s="9">
        <v>23</v>
      </c>
      <c r="C796" s="2" t="s">
        <v>573</v>
      </c>
      <c r="D796" s="2" t="s">
        <v>574</v>
      </c>
      <c r="E796" s="2">
        <f>+IFERROR(VLOOKUP(A796,'2122'!$A$12:$C$389,2,),0)</f>
        <v>637901422.5</v>
      </c>
      <c r="F796" s="2">
        <v>0</v>
      </c>
      <c r="G796" s="2">
        <f t="shared" si="54"/>
        <v>637901422.5</v>
      </c>
      <c r="H796" s="2">
        <f>+IFERROR(VLOOKUP(A796,'2122'!$A$12:$C$389,3,),0)</f>
        <v>0</v>
      </c>
      <c r="I796" s="2">
        <v>0</v>
      </c>
      <c r="J796" s="2">
        <f t="shared" si="55"/>
        <v>0</v>
      </c>
      <c r="K796" s="2">
        <v>384685059</v>
      </c>
      <c r="M796" s="2">
        <v>384685059</v>
      </c>
      <c r="N796" s="2">
        <v>0</v>
      </c>
      <c r="P796" s="2">
        <v>0</v>
      </c>
    </row>
    <row r="797" spans="1:16" ht="15.75" thickBot="1">
      <c r="A797" s="2" t="s">
        <v>394</v>
      </c>
      <c r="B797" s="9">
        <v>10</v>
      </c>
      <c r="C797" s="2" t="s">
        <v>598</v>
      </c>
      <c r="D797" s="2" t="s">
        <v>445</v>
      </c>
      <c r="E797" s="2">
        <f>+IFERROR(VLOOKUP(A797,'2122'!$A$12:$C$389,2,),0)</f>
        <v>4265067.0199999996</v>
      </c>
      <c r="F797" s="2">
        <v>0</v>
      </c>
      <c r="G797" s="2">
        <f t="shared" si="54"/>
        <v>4265067.0199999996</v>
      </c>
      <c r="H797" s="2">
        <f>+IFERROR(VLOOKUP(A797,'2122'!$A$12:$C$389,3,),0)</f>
        <v>0</v>
      </c>
      <c r="I797" s="2">
        <v>0</v>
      </c>
      <c r="J797" s="2">
        <f t="shared" si="55"/>
        <v>0</v>
      </c>
      <c r="K797" s="2">
        <v>1371677.02</v>
      </c>
      <c r="M797" s="2">
        <v>1371677.02</v>
      </c>
      <c r="N797" s="2">
        <v>0</v>
      </c>
      <c r="P797" s="2">
        <v>0</v>
      </c>
    </row>
    <row r="798" spans="1:16" ht="15.75" thickBot="1">
      <c r="A798" s="2" t="s">
        <v>395</v>
      </c>
      <c r="B798" s="9">
        <v>2</v>
      </c>
      <c r="C798" s="2" t="s">
        <v>1072</v>
      </c>
      <c r="D798" s="2" t="s">
        <v>953</v>
      </c>
      <c r="E798" s="2">
        <f>+IFERROR(VLOOKUP(A798,'2122'!$A$12:$C$389,2,),0)</f>
        <v>1138497.31</v>
      </c>
      <c r="F798" s="2">
        <v>0</v>
      </c>
      <c r="G798" s="2">
        <f t="shared" si="54"/>
        <v>1138497.31</v>
      </c>
      <c r="H798" s="2">
        <f>+IFERROR(VLOOKUP(A798,'2122'!$A$12:$C$389,3,),0)</f>
        <v>0</v>
      </c>
      <c r="I798" s="2">
        <v>0</v>
      </c>
      <c r="J798" s="2">
        <f t="shared" si="55"/>
        <v>0</v>
      </c>
      <c r="K798" s="2">
        <v>133008</v>
      </c>
      <c r="M798" s="2">
        <v>133008</v>
      </c>
      <c r="N798" s="2">
        <v>0</v>
      </c>
      <c r="P798" s="2">
        <v>0</v>
      </c>
    </row>
    <row r="799" spans="1:16" ht="15.75" thickBot="1">
      <c r="A799" s="2" t="s">
        <v>397</v>
      </c>
      <c r="B799" s="9">
        <v>2</v>
      </c>
      <c r="C799" s="2" t="s">
        <v>1072</v>
      </c>
      <c r="D799" s="2" t="s">
        <v>953</v>
      </c>
      <c r="E799" s="2">
        <f>+IFERROR(VLOOKUP(A799,'2122'!$A$12:$C$389,2,),0)</f>
        <v>15442705.91</v>
      </c>
      <c r="F799" s="2">
        <v>0</v>
      </c>
      <c r="G799" s="2">
        <f t="shared" si="54"/>
        <v>15442705.91</v>
      </c>
      <c r="H799" s="2">
        <f>+IFERROR(VLOOKUP(A799,'2122'!$A$12:$C$389,3,),0)</f>
        <v>0</v>
      </c>
      <c r="I799" s="2">
        <v>0</v>
      </c>
      <c r="J799" s="2">
        <f t="shared" si="55"/>
        <v>0</v>
      </c>
      <c r="K799" s="2">
        <v>180000</v>
      </c>
      <c r="M799" s="2">
        <v>180000</v>
      </c>
      <c r="N799" s="2">
        <v>0</v>
      </c>
      <c r="P799" s="2">
        <v>0</v>
      </c>
    </row>
    <row r="800" spans="1:16" ht="15.75" thickBot="1">
      <c r="A800" s="2" t="s">
        <v>954</v>
      </c>
      <c r="B800" s="9">
        <v>17</v>
      </c>
      <c r="C800" s="2" t="s">
        <v>415</v>
      </c>
      <c r="D800" s="2" t="s">
        <v>416</v>
      </c>
      <c r="E800" s="2">
        <f>+IFERROR(VLOOKUP(A800,'2122'!$A$12:$C$389,2,),0)</f>
        <v>0</v>
      </c>
      <c r="F800" s="2">
        <v>0</v>
      </c>
      <c r="G800" s="2">
        <f t="shared" si="54"/>
        <v>0</v>
      </c>
      <c r="H800" s="2">
        <f>+IFERROR(VLOOKUP(A800,'2122'!$A$12:$C$389,3,),0)</f>
        <v>0</v>
      </c>
      <c r="I800" s="2">
        <v>0</v>
      </c>
      <c r="J800" s="2">
        <f t="shared" si="55"/>
        <v>0</v>
      </c>
      <c r="K800" s="2">
        <v>0</v>
      </c>
      <c r="M800" s="2">
        <v>0</v>
      </c>
      <c r="N800" s="2">
        <v>0</v>
      </c>
      <c r="P800" s="2">
        <v>0</v>
      </c>
    </row>
    <row r="801" spans="1:16" ht="15.75" thickBot="1">
      <c r="A801" s="2" t="s">
        <v>955</v>
      </c>
      <c r="B801" s="9">
        <v>27</v>
      </c>
      <c r="C801" s="2" t="s">
        <v>1560</v>
      </c>
      <c r="D801" s="2" t="s">
        <v>1312</v>
      </c>
      <c r="E801" s="2">
        <f>+IFERROR(VLOOKUP(A801,'2122'!$A$12:$C$389,2,),0)</f>
        <v>24987</v>
      </c>
      <c r="F801" s="2">
        <v>0</v>
      </c>
      <c r="G801" s="2">
        <f t="shared" si="54"/>
        <v>24987</v>
      </c>
      <c r="H801" s="2">
        <f>+IFERROR(VLOOKUP(A801,'2122'!$A$12:$C$389,3,),0)</f>
        <v>0</v>
      </c>
      <c r="I801" s="2">
        <v>0</v>
      </c>
      <c r="J801" s="2">
        <f t="shared" si="55"/>
        <v>0</v>
      </c>
      <c r="K801" s="2">
        <v>7547</v>
      </c>
      <c r="M801" s="2">
        <v>7547</v>
      </c>
      <c r="N801" s="2">
        <v>0</v>
      </c>
      <c r="P801" s="2">
        <v>0</v>
      </c>
    </row>
    <row r="802" spans="1:16" ht="15.75" thickBot="1">
      <c r="A802" s="2" t="s">
        <v>956</v>
      </c>
      <c r="B802" s="9">
        <v>17</v>
      </c>
      <c r="C802" s="2" t="s">
        <v>415</v>
      </c>
      <c r="D802" s="2" t="s">
        <v>415</v>
      </c>
      <c r="E802" s="2">
        <f>+IFERROR(VLOOKUP(A802,'2122'!$A$12:$C$389,2,),0)</f>
        <v>0</v>
      </c>
      <c r="F802" s="2">
        <v>0</v>
      </c>
      <c r="G802" s="2">
        <f t="shared" si="54"/>
        <v>0</v>
      </c>
      <c r="H802" s="2">
        <f>+IFERROR(VLOOKUP(A802,'2122'!$A$12:$C$389,3,),0)</f>
        <v>0</v>
      </c>
      <c r="I802" s="2">
        <v>0</v>
      </c>
      <c r="J802" s="2">
        <f t="shared" si="55"/>
        <v>0</v>
      </c>
      <c r="K802" s="2">
        <v>0</v>
      </c>
      <c r="M802" s="2">
        <v>0</v>
      </c>
      <c r="N802" s="2">
        <v>0</v>
      </c>
      <c r="P802" s="2">
        <v>0</v>
      </c>
    </row>
    <row r="803" spans="1:16" ht="15.75" thickBot="1">
      <c r="A803" s="2" t="s">
        <v>957</v>
      </c>
      <c r="B803" s="9">
        <v>17</v>
      </c>
      <c r="C803" s="2" t="s">
        <v>415</v>
      </c>
      <c r="D803" s="2" t="s">
        <v>415</v>
      </c>
      <c r="E803" s="2">
        <f>+IFERROR(VLOOKUP(A803,'2122'!$A$12:$C$389,2,),0)</f>
        <v>0</v>
      </c>
      <c r="F803" s="2">
        <v>0</v>
      </c>
      <c r="G803" s="2">
        <f t="shared" si="54"/>
        <v>0</v>
      </c>
      <c r="H803" s="2">
        <f>+IFERROR(VLOOKUP(A803,'2122'!$A$12:$C$389,3,),0)</f>
        <v>0</v>
      </c>
      <c r="I803" s="2">
        <v>0</v>
      </c>
      <c r="J803" s="2">
        <f t="shared" si="55"/>
        <v>0</v>
      </c>
      <c r="K803" s="2">
        <v>0</v>
      </c>
      <c r="M803" s="2">
        <v>0</v>
      </c>
      <c r="N803" s="2">
        <v>0</v>
      </c>
      <c r="P803" s="2">
        <v>0</v>
      </c>
    </row>
    <row r="804" spans="1:16" ht="15.75" thickBot="1">
      <c r="A804" s="2" t="s">
        <v>400</v>
      </c>
      <c r="B804" s="9">
        <v>6</v>
      </c>
      <c r="C804" s="2" t="s">
        <v>1074</v>
      </c>
      <c r="D804" s="2" t="s">
        <v>423</v>
      </c>
      <c r="E804" s="2">
        <f>+IFERROR(VLOOKUP(A804,'2122'!$A$12:$C$389,2,),0)</f>
        <v>43044826</v>
      </c>
      <c r="F804" s="2">
        <v>0</v>
      </c>
      <c r="G804" s="2">
        <f t="shared" si="54"/>
        <v>43044826</v>
      </c>
      <c r="H804" s="2">
        <f>+IFERROR(VLOOKUP(A804,'2122'!$A$12:$C$389,3,),0)</f>
        <v>0</v>
      </c>
      <c r="I804" s="2">
        <v>0</v>
      </c>
      <c r="J804" s="2">
        <f t="shared" si="55"/>
        <v>0</v>
      </c>
      <c r="K804" s="2">
        <v>31034983</v>
      </c>
      <c r="M804" s="2">
        <v>31034983</v>
      </c>
      <c r="N804" s="2">
        <v>0</v>
      </c>
      <c r="P804" s="2">
        <v>0</v>
      </c>
    </row>
    <row r="805" spans="1:16" ht="15.75" thickBot="1">
      <c r="A805" s="2" t="s">
        <v>184</v>
      </c>
      <c r="B805" s="9">
        <v>4</v>
      </c>
      <c r="C805" s="2" t="s">
        <v>1547</v>
      </c>
      <c r="D805" s="2" t="s">
        <v>958</v>
      </c>
      <c r="E805" s="2">
        <f>+IFERROR(VLOOKUP(A805,'2122'!$A$12:$C$389,2,),0)</f>
        <v>4945556</v>
      </c>
      <c r="F805" s="2">
        <v>0</v>
      </c>
      <c r="G805" s="2">
        <f t="shared" si="54"/>
        <v>4945556</v>
      </c>
      <c r="H805" s="2">
        <f>+IFERROR(VLOOKUP(A805,'2122'!$A$12:$C$389,3,),0)</f>
        <v>0</v>
      </c>
      <c r="I805" s="2">
        <v>0</v>
      </c>
      <c r="J805" s="2">
        <f t="shared" si="55"/>
        <v>0</v>
      </c>
      <c r="K805" s="2">
        <v>2745000</v>
      </c>
      <c r="M805" s="2">
        <v>2745000</v>
      </c>
      <c r="N805" s="2">
        <v>0</v>
      </c>
      <c r="P805" s="2">
        <v>0</v>
      </c>
    </row>
    <row r="806" spans="1:16" ht="15.75" thickBot="1">
      <c r="A806" s="2" t="s">
        <v>14</v>
      </c>
      <c r="B806" s="9">
        <v>4</v>
      </c>
      <c r="C806" s="2" t="s">
        <v>1547</v>
      </c>
      <c r="D806" s="2" t="s">
        <v>958</v>
      </c>
      <c r="E806" s="2">
        <f>+IFERROR(VLOOKUP(A806,'2122'!$A$12:$C$389,2,),0)</f>
        <v>1000000</v>
      </c>
      <c r="F806" s="2">
        <v>0</v>
      </c>
      <c r="G806" s="2">
        <f t="shared" ref="G806" si="56">+E806+F806</f>
        <v>1000000</v>
      </c>
      <c r="H806" s="2">
        <f>+IFERROR(VLOOKUP(A806,'2122'!$A$12:$C$389,3,),0)</f>
        <v>0</v>
      </c>
      <c r="I806" s="2">
        <v>0</v>
      </c>
      <c r="J806" s="2">
        <f t="shared" ref="J806" si="57">+H806+I806</f>
        <v>0</v>
      </c>
      <c r="K806" s="2">
        <v>2745000</v>
      </c>
    </row>
    <row r="807" spans="1:16" ht="15.75" thickBot="1">
      <c r="A807" s="2" t="s">
        <v>959</v>
      </c>
      <c r="B807" s="9">
        <v>17</v>
      </c>
      <c r="C807" s="2" t="s">
        <v>415</v>
      </c>
      <c r="D807" s="2" t="s">
        <v>416</v>
      </c>
      <c r="E807" s="2">
        <f>+IFERROR(VLOOKUP(A807,'2122'!$A$12:$C$389,2,),0)</f>
        <v>0</v>
      </c>
      <c r="F807" s="2">
        <v>0</v>
      </c>
      <c r="G807" s="2">
        <f t="shared" si="54"/>
        <v>0</v>
      </c>
      <c r="H807" s="2">
        <f>+IFERROR(VLOOKUP(A807,'2122'!$A$12:$C$389,3,),0)</f>
        <v>0</v>
      </c>
      <c r="I807" s="2">
        <v>0</v>
      </c>
      <c r="J807" s="2">
        <f t="shared" si="55"/>
        <v>0</v>
      </c>
      <c r="K807" s="2">
        <v>0</v>
      </c>
      <c r="M807" s="2">
        <v>0</v>
      </c>
      <c r="N807" s="2">
        <v>19017</v>
      </c>
      <c r="P807" s="2">
        <v>19017</v>
      </c>
    </row>
    <row r="808" spans="1:16" ht="15.75" thickBot="1">
      <c r="A808" s="2" t="s">
        <v>960</v>
      </c>
      <c r="B808" s="9">
        <v>4</v>
      </c>
      <c r="C808" s="2" t="s">
        <v>1547</v>
      </c>
      <c r="D808" s="2" t="s">
        <v>958</v>
      </c>
      <c r="E808" s="2">
        <f>+IFERROR(VLOOKUP(A808,'2122'!$A$12:$C$389,2,),0)</f>
        <v>0</v>
      </c>
      <c r="F808" s="2">
        <v>0</v>
      </c>
      <c r="G808" s="2">
        <f t="shared" si="54"/>
        <v>0</v>
      </c>
      <c r="H808" s="2">
        <f>+IFERROR(VLOOKUP(A808,'2122'!$A$12:$C$389,3,),0)</f>
        <v>0</v>
      </c>
      <c r="I808" s="2">
        <v>0</v>
      </c>
      <c r="J808" s="2">
        <f t="shared" si="55"/>
        <v>0</v>
      </c>
      <c r="K808" s="2">
        <v>0</v>
      </c>
      <c r="M808" s="2">
        <v>0</v>
      </c>
      <c r="N808" s="2">
        <v>0</v>
      </c>
      <c r="P808" s="2">
        <v>0</v>
      </c>
    </row>
    <row r="809" spans="1:16" s="5" customFormat="1" ht="15.75" thickBot="1">
      <c r="A809" s="4"/>
      <c r="B809" s="10"/>
      <c r="E809" s="6">
        <f t="shared" ref="E809:P809" si="58">+SUM(E4:E808)</f>
        <v>1825195884.8299999</v>
      </c>
      <c r="F809" s="6">
        <f t="shared" si="58"/>
        <v>0</v>
      </c>
      <c r="G809" s="6">
        <f t="shared" si="58"/>
        <v>1825195884.8299999</v>
      </c>
      <c r="H809" s="6">
        <f t="shared" si="58"/>
        <v>1825195884.8300002</v>
      </c>
      <c r="I809" s="6">
        <f t="shared" si="58"/>
        <v>0</v>
      </c>
      <c r="J809" s="6">
        <f t="shared" si="58"/>
        <v>1825195884.8300002</v>
      </c>
      <c r="K809" s="6">
        <f t="shared" si="58"/>
        <v>1421157561.77</v>
      </c>
      <c r="L809" s="6">
        <f t="shared" si="58"/>
        <v>-974703</v>
      </c>
      <c r="M809" s="6">
        <f t="shared" si="58"/>
        <v>1413567548.77</v>
      </c>
      <c r="N809" s="6">
        <f t="shared" si="58"/>
        <v>1414542251.55</v>
      </c>
      <c r="O809" s="6">
        <f t="shared" si="58"/>
        <v>-974703</v>
      </c>
      <c r="P809" s="6">
        <f t="shared" si="58"/>
        <v>1413567548.55</v>
      </c>
    </row>
    <row r="811" spans="1:16">
      <c r="G811" s="2">
        <f>+G809-J809</f>
        <v>0</v>
      </c>
      <c r="M811" s="2">
        <f>+M809-P809</f>
        <v>0.22000002861022949</v>
      </c>
    </row>
  </sheetData>
  <autoFilter ref="A3:P809"/>
  <mergeCells count="2">
    <mergeCell ref="E2:J2"/>
    <mergeCell ref="K2:P2"/>
  </mergeCells>
  <conditionalFormatting sqref="A3">
    <cfRule type="duplicateValues" dxfId="1" priority="2"/>
  </conditionalFormatting>
  <conditionalFormatting sqref="A2:A3">
    <cfRule type="duplicateValues" dxfId="0" priority="1"/>
  </conditionalFormatting>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389"/>
  <sheetViews>
    <sheetView topLeftCell="A373" workbookViewId="0">
      <selection sqref="A1:C389"/>
    </sheetView>
  </sheetViews>
  <sheetFormatPr defaultRowHeight="15"/>
  <cols>
    <col min="1" max="1" width="44.7109375" bestFit="1" customWidth="1"/>
    <col min="2" max="3" width="13.5703125" bestFit="1" customWidth="1"/>
    <col min="5" max="6" width="12" bestFit="1" customWidth="1"/>
    <col min="7" max="7" width="3.85546875" bestFit="1" customWidth="1"/>
    <col min="8" max="10" width="16.28515625" style="2" bestFit="1" customWidth="1"/>
  </cols>
  <sheetData>
    <row r="1" spans="1:10" ht="15.75">
      <c r="A1" s="2420" t="s">
        <v>0</v>
      </c>
      <c r="B1" s="2420"/>
      <c r="C1" s="2420"/>
    </row>
    <row r="2" spans="1:10">
      <c r="A2" s="2421" t="s">
        <v>1</v>
      </c>
      <c r="B2" s="2421"/>
      <c r="C2" s="2421"/>
    </row>
    <row r="3" spans="1:10">
      <c r="A3" s="2421" t="s">
        <v>2</v>
      </c>
      <c r="B3" s="2421"/>
      <c r="C3" s="2421"/>
    </row>
    <row r="4" spans="1:10">
      <c r="A4" s="2421" t="s">
        <v>3</v>
      </c>
      <c r="B4" s="2421"/>
      <c r="C4" s="2421"/>
    </row>
    <row r="5" spans="1:10">
      <c r="A5" s="2422" t="s">
        <v>4</v>
      </c>
      <c r="B5" s="2422"/>
      <c r="C5" s="2422"/>
    </row>
    <row r="6" spans="1:10" ht="15.75">
      <c r="A6" s="2423" t="s">
        <v>5</v>
      </c>
      <c r="B6" s="2423"/>
      <c r="C6" s="2423"/>
    </row>
    <row r="7" spans="1:10">
      <c r="A7" s="2421" t="s">
        <v>6</v>
      </c>
      <c r="B7" s="2421"/>
      <c r="C7" s="2421"/>
    </row>
    <row r="8" spans="1:10" ht="14.45" customHeight="1">
      <c r="A8" s="389" t="s">
        <v>7</v>
      </c>
      <c r="B8" s="2414" t="s">
        <v>8</v>
      </c>
      <c r="C8" s="2415"/>
    </row>
    <row r="9" spans="1:10" ht="14.45" customHeight="1">
      <c r="A9" s="390" t="s">
        <v>9</v>
      </c>
      <c r="B9" s="2416" t="s">
        <v>6</v>
      </c>
      <c r="C9" s="2417"/>
    </row>
    <row r="10" spans="1:10">
      <c r="A10" s="390" t="s">
        <v>7</v>
      </c>
      <c r="B10" s="2418" t="s">
        <v>10</v>
      </c>
      <c r="C10" s="2419"/>
    </row>
    <row r="11" spans="1:10">
      <c r="A11" s="391" t="s">
        <v>7</v>
      </c>
      <c r="B11" s="231" t="s">
        <v>11</v>
      </c>
      <c r="C11" s="231" t="s">
        <v>12</v>
      </c>
      <c r="E11" t="s">
        <v>962</v>
      </c>
      <c r="F11" t="s">
        <v>961</v>
      </c>
      <c r="H11" s="2" t="s">
        <v>963</v>
      </c>
      <c r="I11" s="2" t="s">
        <v>964</v>
      </c>
      <c r="J11" s="2" t="s">
        <v>965</v>
      </c>
    </row>
    <row r="12" spans="1:10">
      <c r="A12" s="232" t="s">
        <v>13</v>
      </c>
      <c r="B12" s="233">
        <v>63133700</v>
      </c>
      <c r="C12" s="234"/>
      <c r="E12">
        <f>+IFERROR(VLOOKUP(A12,'TB final'!$A$4:$J$808,7,),0)</f>
        <v>63133700</v>
      </c>
      <c r="F12">
        <f>+IFERROR(VLOOKUP(A12,'TB final'!$A$4:$J$808,10,),0)</f>
        <v>0</v>
      </c>
      <c r="H12" s="2">
        <f>+B12-E12</f>
        <v>0</v>
      </c>
      <c r="I12" s="2">
        <f>+C12-F12</f>
        <v>0</v>
      </c>
      <c r="J12" s="2">
        <f>+H12+I12</f>
        <v>0</v>
      </c>
    </row>
    <row r="13" spans="1:10">
      <c r="A13" s="235" t="s">
        <v>14</v>
      </c>
      <c r="B13" s="236">
        <v>1000000</v>
      </c>
      <c r="C13" s="237"/>
      <c r="E13">
        <f>+IFERROR(VLOOKUP(A13,'TB final'!$A$4:$J$808,7,),0)</f>
        <v>1000000</v>
      </c>
      <c r="F13">
        <f>+IFERROR(VLOOKUP(A13,'TB final'!$A$4:$J$808,10,),0)</f>
        <v>0</v>
      </c>
      <c r="H13" s="2">
        <f t="shared" ref="H13:H76" si="0">+B13-E13</f>
        <v>0</v>
      </c>
      <c r="I13" s="2">
        <f t="shared" ref="I13:I76" si="1">+C13-F13</f>
        <v>0</v>
      </c>
      <c r="J13" s="2">
        <f t="shared" ref="J13:J76" si="2">+H13+I13</f>
        <v>0</v>
      </c>
    </row>
    <row r="14" spans="1:10">
      <c r="A14" s="235" t="s">
        <v>15</v>
      </c>
      <c r="B14" s="236">
        <v>451631</v>
      </c>
      <c r="C14" s="237"/>
      <c r="E14">
        <f>+IFERROR(VLOOKUP(A14,'TB final'!$A$4:$J$808,7,),0)</f>
        <v>451631</v>
      </c>
      <c r="F14">
        <f>+IFERROR(VLOOKUP(A14,'TB final'!$A$4:$J$808,10,),0)</f>
        <v>0</v>
      </c>
      <c r="H14" s="2">
        <f t="shared" si="0"/>
        <v>0</v>
      </c>
      <c r="I14" s="2">
        <f t="shared" si="1"/>
        <v>0</v>
      </c>
      <c r="J14" s="2">
        <f t="shared" si="2"/>
        <v>0</v>
      </c>
    </row>
    <row r="15" spans="1:10">
      <c r="A15" s="235" t="s">
        <v>17</v>
      </c>
      <c r="B15" s="236">
        <v>3500000</v>
      </c>
      <c r="C15" s="237"/>
      <c r="E15">
        <f>+IFERROR(VLOOKUP(A15,'TB final'!$A$4:$J$808,7,),0)</f>
        <v>3500000</v>
      </c>
      <c r="F15">
        <f>+IFERROR(VLOOKUP(A15,'TB final'!$A$4:$J$808,10,),0)</f>
        <v>0</v>
      </c>
      <c r="H15" s="2">
        <f t="shared" si="0"/>
        <v>0</v>
      </c>
      <c r="I15" s="2">
        <f t="shared" si="1"/>
        <v>0</v>
      </c>
      <c r="J15" s="2">
        <f t="shared" si="2"/>
        <v>0</v>
      </c>
    </row>
    <row r="16" spans="1:10">
      <c r="A16" s="235" t="s">
        <v>18</v>
      </c>
      <c r="B16" s="236">
        <v>125580</v>
      </c>
      <c r="C16" s="237"/>
      <c r="E16">
        <f>+IFERROR(VLOOKUP(A16,'TB final'!$A$4:$J$808,7,),0)</f>
        <v>125580</v>
      </c>
      <c r="F16">
        <f>+IFERROR(VLOOKUP(A16,'TB final'!$A$4:$J$808,10,),0)</f>
        <v>0</v>
      </c>
      <c r="H16" s="2">
        <f t="shared" si="0"/>
        <v>0</v>
      </c>
      <c r="I16" s="2">
        <f t="shared" si="1"/>
        <v>0</v>
      </c>
      <c r="J16" s="2">
        <f t="shared" si="2"/>
        <v>0</v>
      </c>
    </row>
    <row r="17" spans="1:10">
      <c r="A17" s="235" t="s">
        <v>19</v>
      </c>
      <c r="B17" s="237"/>
      <c r="C17" s="236">
        <v>68453</v>
      </c>
      <c r="E17">
        <f>+IFERROR(VLOOKUP(A17,'TB final'!$A$4:$J$808,7,),0)</f>
        <v>0</v>
      </c>
      <c r="F17">
        <f>+IFERROR(VLOOKUP(A17,'TB final'!$A$4:$J$808,10,),0)</f>
        <v>68453</v>
      </c>
      <c r="H17" s="2">
        <f t="shared" si="0"/>
        <v>0</v>
      </c>
      <c r="I17" s="2">
        <f t="shared" si="1"/>
        <v>0</v>
      </c>
      <c r="J17" s="2">
        <f t="shared" si="2"/>
        <v>0</v>
      </c>
    </row>
    <row r="18" spans="1:10">
      <c r="A18" s="235" t="s">
        <v>20</v>
      </c>
      <c r="B18" s="236">
        <v>1519590</v>
      </c>
      <c r="C18" s="237"/>
      <c r="E18">
        <f>+IFERROR(VLOOKUP(A18,'TB final'!$A$4:$J$808,7,),0)</f>
        <v>1519590</v>
      </c>
      <c r="F18">
        <f>+IFERROR(VLOOKUP(A18,'TB final'!$A$4:$J$808,10,),0)</f>
        <v>0</v>
      </c>
      <c r="H18" s="2">
        <f t="shared" si="0"/>
        <v>0</v>
      </c>
      <c r="I18" s="2">
        <f t="shared" si="1"/>
        <v>0</v>
      </c>
      <c r="J18" s="2">
        <f t="shared" si="2"/>
        <v>0</v>
      </c>
    </row>
    <row r="19" spans="1:10">
      <c r="A19" s="235" t="s">
        <v>21</v>
      </c>
      <c r="B19" s="237"/>
      <c r="C19" s="236">
        <v>63720</v>
      </c>
      <c r="E19">
        <f>+IFERROR(VLOOKUP(A19,'TB final'!$A$4:$J$808,7,),0)</f>
        <v>0</v>
      </c>
      <c r="F19">
        <f>+IFERROR(VLOOKUP(A19,'TB final'!$A$4:$J$808,10,),0)</f>
        <v>63720</v>
      </c>
      <c r="H19" s="2">
        <f t="shared" si="0"/>
        <v>0</v>
      </c>
      <c r="I19" s="2">
        <f t="shared" si="1"/>
        <v>0</v>
      </c>
      <c r="J19" s="2">
        <f t="shared" si="2"/>
        <v>0</v>
      </c>
    </row>
    <row r="20" spans="1:10">
      <c r="A20" s="235" t="s">
        <v>22</v>
      </c>
      <c r="B20" s="236">
        <v>5363383.43</v>
      </c>
      <c r="C20" s="237"/>
      <c r="E20">
        <f>+IFERROR(VLOOKUP(A20,'TB final'!$A$4:$J$808,7,),0)</f>
        <v>5363383.43</v>
      </c>
      <c r="F20">
        <f>+IFERROR(VLOOKUP(A20,'TB final'!$A$4:$J$808,10,),0)</f>
        <v>0</v>
      </c>
      <c r="H20" s="2">
        <f t="shared" si="0"/>
        <v>0</v>
      </c>
      <c r="I20" s="2">
        <f t="shared" si="1"/>
        <v>0</v>
      </c>
      <c r="J20" s="2">
        <f t="shared" si="2"/>
        <v>0</v>
      </c>
    </row>
    <row r="21" spans="1:10">
      <c r="A21" s="235" t="s">
        <v>23</v>
      </c>
      <c r="B21" s="237"/>
      <c r="C21" s="236">
        <v>141516</v>
      </c>
      <c r="E21">
        <f>+IFERROR(VLOOKUP(A21,'TB final'!$A$4:$J$808,7,),0)</f>
        <v>0</v>
      </c>
      <c r="F21">
        <f>+IFERROR(VLOOKUP(A21,'TB final'!$A$4:$J$808,10,),0)</f>
        <v>141516</v>
      </c>
      <c r="H21" s="2">
        <f t="shared" si="0"/>
        <v>0</v>
      </c>
      <c r="I21" s="2">
        <f t="shared" si="1"/>
        <v>0</v>
      </c>
      <c r="J21" s="2">
        <f t="shared" si="2"/>
        <v>0</v>
      </c>
    </row>
    <row r="22" spans="1:10">
      <c r="A22" s="235" t="s">
        <v>24</v>
      </c>
      <c r="B22" s="236">
        <v>10176297</v>
      </c>
      <c r="C22" s="237"/>
      <c r="E22">
        <f>+IFERROR(VLOOKUP(A22,'TB final'!$A$4:$J$808,7,),0)</f>
        <v>10176297</v>
      </c>
      <c r="F22">
        <f>+IFERROR(VLOOKUP(A22,'TB final'!$A$4:$J$808,10,),0)</f>
        <v>0</v>
      </c>
      <c r="H22" s="2">
        <f t="shared" si="0"/>
        <v>0</v>
      </c>
      <c r="I22" s="2">
        <f t="shared" si="1"/>
        <v>0</v>
      </c>
      <c r="J22" s="2">
        <f t="shared" si="2"/>
        <v>0</v>
      </c>
    </row>
    <row r="23" spans="1:10">
      <c r="A23" s="235" t="s">
        <v>25</v>
      </c>
      <c r="B23" s="237"/>
      <c r="C23" s="236">
        <v>782311</v>
      </c>
      <c r="E23">
        <f>+IFERROR(VLOOKUP(A23,'TB final'!$A$4:$J$808,7,),0)</f>
        <v>0</v>
      </c>
      <c r="F23">
        <f>+IFERROR(VLOOKUP(A23,'TB final'!$A$4:$J$808,10,),0)</f>
        <v>782311</v>
      </c>
      <c r="H23" s="2">
        <f t="shared" si="0"/>
        <v>0</v>
      </c>
      <c r="I23" s="2">
        <f t="shared" si="1"/>
        <v>0</v>
      </c>
      <c r="J23" s="2">
        <f t="shared" si="2"/>
        <v>0</v>
      </c>
    </row>
    <row r="24" spans="1:10">
      <c r="A24" s="235" t="s">
        <v>26</v>
      </c>
      <c r="B24" s="236">
        <v>2902069</v>
      </c>
      <c r="C24" s="237"/>
      <c r="E24">
        <f>+IFERROR(VLOOKUP(A24,'TB final'!$A$4:$J$808,7,),0)</f>
        <v>2902069</v>
      </c>
      <c r="F24">
        <f>+IFERROR(VLOOKUP(A24,'TB final'!$A$4:$J$808,10,),0)</f>
        <v>0</v>
      </c>
      <c r="H24" s="2">
        <f t="shared" si="0"/>
        <v>0</v>
      </c>
      <c r="I24" s="2">
        <f t="shared" si="1"/>
        <v>0</v>
      </c>
      <c r="J24" s="2">
        <f t="shared" si="2"/>
        <v>0</v>
      </c>
    </row>
    <row r="25" spans="1:10">
      <c r="A25" s="235" t="s">
        <v>27</v>
      </c>
      <c r="B25" s="237"/>
      <c r="C25" s="236">
        <v>2535850</v>
      </c>
      <c r="E25">
        <f>+IFERROR(VLOOKUP(A25,'TB final'!$A$4:$J$808,7,),0)</f>
        <v>0</v>
      </c>
      <c r="F25">
        <f>+IFERROR(VLOOKUP(A25,'TB final'!$A$4:$J$808,10,),0)</f>
        <v>2535850</v>
      </c>
      <c r="H25" s="2">
        <f t="shared" si="0"/>
        <v>0</v>
      </c>
      <c r="I25" s="2">
        <f t="shared" si="1"/>
        <v>0</v>
      </c>
      <c r="J25" s="2">
        <f t="shared" si="2"/>
        <v>0</v>
      </c>
    </row>
    <row r="26" spans="1:10">
      <c r="A26" s="235" t="s">
        <v>28</v>
      </c>
      <c r="B26" s="237"/>
      <c r="C26" s="236">
        <v>1010842</v>
      </c>
      <c r="E26">
        <f>+IFERROR(VLOOKUP(A26,'TB final'!$A$4:$J$808,7,),0)</f>
        <v>0</v>
      </c>
      <c r="F26">
        <f>+IFERROR(VLOOKUP(A26,'TB final'!$A$4:$J$808,10,),0)</f>
        <v>1010842</v>
      </c>
      <c r="H26" s="2">
        <f t="shared" si="0"/>
        <v>0</v>
      </c>
      <c r="I26" s="2">
        <f t="shared" si="1"/>
        <v>0</v>
      </c>
      <c r="J26" s="2">
        <f t="shared" si="2"/>
        <v>0</v>
      </c>
    </row>
    <row r="27" spans="1:10">
      <c r="A27" s="235" t="s">
        <v>29</v>
      </c>
      <c r="B27" s="236">
        <v>12424</v>
      </c>
      <c r="C27" s="237"/>
      <c r="E27">
        <f>+IFERROR(VLOOKUP(A27,'TB final'!$A$4:$J$808,7,),0)</f>
        <v>12424</v>
      </c>
      <c r="F27">
        <f>+IFERROR(VLOOKUP(A27,'TB final'!$A$4:$J$808,10,),0)</f>
        <v>0</v>
      </c>
      <c r="H27" s="2">
        <f t="shared" si="0"/>
        <v>0</v>
      </c>
      <c r="I27" s="2">
        <f t="shared" si="1"/>
        <v>0</v>
      </c>
      <c r="J27" s="2">
        <f t="shared" si="2"/>
        <v>0</v>
      </c>
    </row>
    <row r="28" spans="1:10">
      <c r="A28" s="235" t="s">
        <v>30</v>
      </c>
      <c r="B28" s="236">
        <v>55000</v>
      </c>
      <c r="C28" s="237"/>
      <c r="E28">
        <f>+IFERROR(VLOOKUP(A28,'TB final'!$A$4:$J$808,7,),0)</f>
        <v>55000</v>
      </c>
      <c r="F28">
        <f>+IFERROR(VLOOKUP(A28,'TB final'!$A$4:$J$808,10,),0)</f>
        <v>0</v>
      </c>
      <c r="H28" s="2">
        <f t="shared" si="0"/>
        <v>0</v>
      </c>
      <c r="I28" s="2">
        <f t="shared" si="1"/>
        <v>0</v>
      </c>
      <c r="J28" s="2">
        <f t="shared" si="2"/>
        <v>0</v>
      </c>
    </row>
    <row r="29" spans="1:10">
      <c r="A29" s="235" t="s">
        <v>31</v>
      </c>
      <c r="B29" s="236">
        <v>56700</v>
      </c>
      <c r="C29" s="237"/>
      <c r="E29">
        <f>+IFERROR(VLOOKUP(A29,'TB final'!$A$4:$J$808,7,),0)</f>
        <v>56700</v>
      </c>
      <c r="F29">
        <f>+IFERROR(VLOOKUP(A29,'TB final'!$A$4:$J$808,10,),0)</f>
        <v>0</v>
      </c>
      <c r="H29" s="2">
        <f t="shared" si="0"/>
        <v>0</v>
      </c>
      <c r="I29" s="2">
        <f t="shared" si="1"/>
        <v>0</v>
      </c>
      <c r="J29" s="2">
        <f t="shared" si="2"/>
        <v>0</v>
      </c>
    </row>
    <row r="30" spans="1:10">
      <c r="A30" s="235" t="s">
        <v>32</v>
      </c>
      <c r="B30" s="236">
        <v>876095</v>
      </c>
      <c r="C30" s="237"/>
      <c r="E30">
        <f>+IFERROR(VLOOKUP(A30,'TB final'!$A$4:$J$808,7,),0)</f>
        <v>876095</v>
      </c>
      <c r="F30">
        <f>+IFERROR(VLOOKUP(A30,'TB final'!$A$4:$J$808,10,),0)</f>
        <v>0</v>
      </c>
      <c r="H30" s="2">
        <f t="shared" si="0"/>
        <v>0</v>
      </c>
      <c r="I30" s="2">
        <f t="shared" si="1"/>
        <v>0</v>
      </c>
      <c r="J30" s="2">
        <f t="shared" si="2"/>
        <v>0</v>
      </c>
    </row>
    <row r="31" spans="1:10">
      <c r="A31" s="235" t="s">
        <v>33</v>
      </c>
      <c r="B31" s="236">
        <v>762</v>
      </c>
      <c r="C31" s="237"/>
      <c r="E31">
        <f>+IFERROR(VLOOKUP(A31,'TB final'!$A$4:$J$808,7,),0)</f>
        <v>762</v>
      </c>
      <c r="F31">
        <f>+IFERROR(VLOOKUP(A31,'TB final'!$A$4:$J$808,10,),0)</f>
        <v>0</v>
      </c>
      <c r="H31" s="2">
        <f t="shared" si="0"/>
        <v>0</v>
      </c>
      <c r="I31" s="2">
        <f t="shared" si="1"/>
        <v>0</v>
      </c>
      <c r="J31" s="2">
        <f t="shared" si="2"/>
        <v>0</v>
      </c>
    </row>
    <row r="32" spans="1:10">
      <c r="A32" s="235" t="s">
        <v>34</v>
      </c>
      <c r="B32" s="237"/>
      <c r="C32" s="236">
        <v>247500</v>
      </c>
      <c r="E32">
        <f>+IFERROR(VLOOKUP(A32,'TB final'!$A$4:$J$808,7,),0)</f>
        <v>0</v>
      </c>
      <c r="F32">
        <f>+IFERROR(VLOOKUP(A32,'TB final'!$A$4:$J$808,10,),0)</f>
        <v>247500</v>
      </c>
      <c r="H32" s="2">
        <f t="shared" si="0"/>
        <v>0</v>
      </c>
      <c r="I32" s="2">
        <f t="shared" si="1"/>
        <v>0</v>
      </c>
      <c r="J32" s="2">
        <f t="shared" si="2"/>
        <v>0</v>
      </c>
    </row>
    <row r="33" spans="1:10">
      <c r="A33" s="235" t="s">
        <v>35</v>
      </c>
      <c r="B33" s="236">
        <v>6461</v>
      </c>
      <c r="C33" s="237"/>
      <c r="E33">
        <f>+IFERROR(VLOOKUP(A33,'TB final'!$A$4:$J$808,7,),0)</f>
        <v>6461</v>
      </c>
      <c r="F33">
        <f>+IFERROR(VLOOKUP(A33,'TB final'!$A$4:$J$808,10,),0)</f>
        <v>0</v>
      </c>
      <c r="H33" s="2">
        <f t="shared" si="0"/>
        <v>0</v>
      </c>
      <c r="I33" s="2">
        <f t="shared" si="1"/>
        <v>0</v>
      </c>
      <c r="J33" s="2">
        <f t="shared" si="2"/>
        <v>0</v>
      </c>
    </row>
    <row r="34" spans="1:10">
      <c r="A34" s="235" t="s">
        <v>36</v>
      </c>
      <c r="B34" s="237"/>
      <c r="C34" s="236">
        <v>96676.08</v>
      </c>
      <c r="E34">
        <f>+IFERROR(VLOOKUP(A34,'TB final'!$A$4:$J$808,7,),0)</f>
        <v>0</v>
      </c>
      <c r="F34">
        <f>+IFERROR(VLOOKUP(A34,'TB final'!$A$4:$J$808,10,),0)</f>
        <v>96676.08</v>
      </c>
      <c r="H34" s="2">
        <f t="shared" si="0"/>
        <v>0</v>
      </c>
      <c r="I34" s="2">
        <f t="shared" si="1"/>
        <v>0</v>
      </c>
      <c r="J34" s="2">
        <f t="shared" si="2"/>
        <v>0</v>
      </c>
    </row>
    <row r="35" spans="1:10">
      <c r="A35" s="235" t="s">
        <v>37</v>
      </c>
      <c r="B35" s="237"/>
      <c r="C35" s="236">
        <v>28252</v>
      </c>
      <c r="E35">
        <f>+IFERROR(VLOOKUP(A35,'TB final'!$A$4:$J$808,7,),0)</f>
        <v>0</v>
      </c>
      <c r="F35">
        <f>+IFERROR(VLOOKUP(A35,'TB final'!$A$4:$J$808,10,),0)</f>
        <v>28252</v>
      </c>
      <c r="H35" s="2">
        <f t="shared" si="0"/>
        <v>0</v>
      </c>
      <c r="I35" s="2">
        <f t="shared" si="1"/>
        <v>0</v>
      </c>
      <c r="J35" s="2">
        <f t="shared" si="2"/>
        <v>0</v>
      </c>
    </row>
    <row r="36" spans="1:10">
      <c r="A36" s="235" t="s">
        <v>38</v>
      </c>
      <c r="B36" s="237"/>
      <c r="C36" s="236">
        <v>1263552</v>
      </c>
      <c r="E36">
        <f>+IFERROR(VLOOKUP(A36,'TB final'!$A$4:$J$808,7,),0)</f>
        <v>0</v>
      </c>
      <c r="F36">
        <f>+IFERROR(VLOOKUP(A36,'TB final'!$A$4:$J$808,10,),0)</f>
        <v>1263552</v>
      </c>
      <c r="H36" s="2">
        <f t="shared" si="0"/>
        <v>0</v>
      </c>
      <c r="I36" s="2">
        <f t="shared" si="1"/>
        <v>0</v>
      </c>
      <c r="J36" s="2">
        <f t="shared" si="2"/>
        <v>0</v>
      </c>
    </row>
    <row r="37" spans="1:10">
      <c r="A37" s="235" t="s">
        <v>39</v>
      </c>
      <c r="B37" s="236">
        <v>458584.8</v>
      </c>
      <c r="C37" s="237"/>
      <c r="E37">
        <f>+IFERROR(VLOOKUP(A37,'TB final'!$A$4:$J$808,7,),0)</f>
        <v>458584.8</v>
      </c>
      <c r="F37">
        <f>+IFERROR(VLOOKUP(A37,'TB final'!$A$4:$J$808,10,),0)</f>
        <v>0</v>
      </c>
      <c r="H37" s="2">
        <f t="shared" si="0"/>
        <v>0</v>
      </c>
      <c r="I37" s="2">
        <f t="shared" si="1"/>
        <v>0</v>
      </c>
      <c r="J37" s="2">
        <f t="shared" si="2"/>
        <v>0</v>
      </c>
    </row>
    <row r="38" spans="1:10">
      <c r="A38" s="235" t="s">
        <v>40</v>
      </c>
      <c r="B38" s="236">
        <v>56000</v>
      </c>
      <c r="C38" s="237"/>
      <c r="E38">
        <f>+IFERROR(VLOOKUP(A38,'TB final'!$A$4:$J$808,7,),0)</f>
        <v>56000</v>
      </c>
      <c r="F38">
        <f>+IFERROR(VLOOKUP(A38,'TB final'!$A$4:$J$808,10,),0)</f>
        <v>0</v>
      </c>
      <c r="H38" s="2">
        <f t="shared" si="0"/>
        <v>0</v>
      </c>
      <c r="I38" s="2">
        <f t="shared" si="1"/>
        <v>0</v>
      </c>
      <c r="J38" s="2">
        <f t="shared" si="2"/>
        <v>0</v>
      </c>
    </row>
    <row r="39" spans="1:10">
      <c r="A39" s="235" t="s">
        <v>41</v>
      </c>
      <c r="B39" s="236">
        <v>243852</v>
      </c>
      <c r="C39" s="237"/>
      <c r="E39">
        <f>+IFERROR(VLOOKUP(A39,'TB final'!$A$4:$J$808,7,),0)</f>
        <v>243852</v>
      </c>
      <c r="F39">
        <f>+IFERROR(VLOOKUP(A39,'TB final'!$A$4:$J$808,10,),0)</f>
        <v>0</v>
      </c>
      <c r="H39" s="2">
        <f t="shared" si="0"/>
        <v>0</v>
      </c>
      <c r="I39" s="2">
        <f t="shared" si="1"/>
        <v>0</v>
      </c>
      <c r="J39" s="2">
        <f t="shared" si="2"/>
        <v>0</v>
      </c>
    </row>
    <row r="40" spans="1:10">
      <c r="A40" s="235" t="s">
        <v>42</v>
      </c>
      <c r="B40" s="237"/>
      <c r="C40" s="236">
        <v>57396</v>
      </c>
      <c r="E40">
        <f>+IFERROR(VLOOKUP(A40,'TB final'!$A$4:$J$808,7,),0)</f>
        <v>0</v>
      </c>
      <c r="F40">
        <f>+IFERROR(VLOOKUP(A40,'TB final'!$A$4:$J$808,10,),0)</f>
        <v>57396</v>
      </c>
      <c r="H40" s="2">
        <f t="shared" si="0"/>
        <v>0</v>
      </c>
      <c r="I40" s="2">
        <f t="shared" si="1"/>
        <v>0</v>
      </c>
      <c r="J40" s="2">
        <f t="shared" si="2"/>
        <v>0</v>
      </c>
    </row>
    <row r="41" spans="1:10">
      <c r="A41" s="235" t="s">
        <v>43</v>
      </c>
      <c r="B41" s="236">
        <v>5000</v>
      </c>
      <c r="C41" s="237"/>
      <c r="E41">
        <f>+IFERROR(VLOOKUP(A41,'TB final'!$A$4:$J$808,7,),0)</f>
        <v>5000</v>
      </c>
      <c r="F41">
        <f>+IFERROR(VLOOKUP(A41,'TB final'!$A$4:$J$808,10,),0)</f>
        <v>0</v>
      </c>
      <c r="H41" s="2">
        <f t="shared" si="0"/>
        <v>0</v>
      </c>
      <c r="I41" s="2">
        <f t="shared" si="1"/>
        <v>0</v>
      </c>
      <c r="J41" s="2">
        <f t="shared" si="2"/>
        <v>0</v>
      </c>
    </row>
    <row r="42" spans="1:10">
      <c r="A42" s="235" t="s">
        <v>44</v>
      </c>
      <c r="B42" s="236">
        <v>3807870</v>
      </c>
      <c r="C42" s="237"/>
      <c r="E42">
        <f>+IFERROR(VLOOKUP(A42,'TB final'!$A$4:$J$808,7,),0)</f>
        <v>3807870</v>
      </c>
      <c r="F42">
        <f>+IFERROR(VLOOKUP(A42,'TB final'!$A$4:$J$808,10,),0)</f>
        <v>0</v>
      </c>
      <c r="H42" s="2">
        <f t="shared" si="0"/>
        <v>0</v>
      </c>
      <c r="I42" s="2">
        <f t="shared" si="1"/>
        <v>0</v>
      </c>
      <c r="J42" s="2">
        <f t="shared" si="2"/>
        <v>0</v>
      </c>
    </row>
    <row r="43" spans="1:10">
      <c r="A43" s="235" t="s">
        <v>45</v>
      </c>
      <c r="B43" s="236">
        <v>3293</v>
      </c>
      <c r="C43" s="237"/>
      <c r="E43">
        <f>+IFERROR(VLOOKUP(A43,'TB final'!$A$4:$J$808,7,),0)</f>
        <v>3293</v>
      </c>
      <c r="F43">
        <f>+IFERROR(VLOOKUP(A43,'TB final'!$A$4:$J$808,10,),0)</f>
        <v>0</v>
      </c>
      <c r="H43" s="2">
        <f t="shared" si="0"/>
        <v>0</v>
      </c>
      <c r="I43" s="2">
        <f t="shared" si="1"/>
        <v>0</v>
      </c>
      <c r="J43" s="2">
        <f t="shared" si="2"/>
        <v>0</v>
      </c>
    </row>
    <row r="44" spans="1:10">
      <c r="A44" s="235" t="s">
        <v>46</v>
      </c>
      <c r="B44" s="236">
        <v>61286378.619999997</v>
      </c>
      <c r="C44" s="237"/>
      <c r="E44">
        <f>+IFERROR(VLOOKUP(A44,'TB final'!$A$4:$J$808,7,),0)</f>
        <v>61286378.619999997</v>
      </c>
      <c r="F44">
        <f>+IFERROR(VLOOKUP(A44,'TB final'!$A$4:$J$808,10,),0)</f>
        <v>0</v>
      </c>
      <c r="H44" s="2">
        <f t="shared" si="0"/>
        <v>0</v>
      </c>
      <c r="I44" s="2">
        <f t="shared" si="1"/>
        <v>0</v>
      </c>
      <c r="J44" s="2">
        <f t="shared" si="2"/>
        <v>0</v>
      </c>
    </row>
    <row r="45" spans="1:10">
      <c r="A45" s="235" t="s">
        <v>47</v>
      </c>
      <c r="B45" s="237"/>
      <c r="C45" s="236">
        <v>20413989</v>
      </c>
      <c r="E45">
        <f>+IFERROR(VLOOKUP(A45,'TB final'!$A$4:$J$808,7,),0)</f>
        <v>0</v>
      </c>
      <c r="F45">
        <f>+IFERROR(VLOOKUP(A45,'TB final'!$A$4:$J$808,10,),0)</f>
        <v>20413989</v>
      </c>
      <c r="H45" s="2">
        <f t="shared" si="0"/>
        <v>0</v>
      </c>
      <c r="I45" s="2">
        <f t="shared" si="1"/>
        <v>0</v>
      </c>
      <c r="J45" s="2">
        <f t="shared" si="2"/>
        <v>0</v>
      </c>
    </row>
    <row r="46" spans="1:10">
      <c r="A46" s="235" t="s">
        <v>48</v>
      </c>
      <c r="B46" s="236">
        <v>545036</v>
      </c>
      <c r="C46" s="237"/>
      <c r="E46">
        <f>+IFERROR(VLOOKUP(A46,'TB final'!$A$4:$J$808,7,),0)</f>
        <v>545036</v>
      </c>
      <c r="F46">
        <f>+IFERROR(VLOOKUP(A46,'TB final'!$A$4:$J$808,10,),0)</f>
        <v>0</v>
      </c>
      <c r="H46" s="2">
        <f t="shared" si="0"/>
        <v>0</v>
      </c>
      <c r="I46" s="2">
        <f t="shared" si="1"/>
        <v>0</v>
      </c>
      <c r="J46" s="2">
        <f t="shared" si="2"/>
        <v>0</v>
      </c>
    </row>
    <row r="47" spans="1:10">
      <c r="A47" s="235" t="s">
        <v>49</v>
      </c>
      <c r="B47" s="236">
        <v>264579</v>
      </c>
      <c r="C47" s="237"/>
      <c r="E47">
        <f>+IFERROR(VLOOKUP(A47,'TB final'!$A$4:$J$808,7,),0)</f>
        <v>264579</v>
      </c>
      <c r="F47">
        <f>+IFERROR(VLOOKUP(A47,'TB final'!$A$4:$J$808,10,),0)</f>
        <v>0</v>
      </c>
      <c r="H47" s="2">
        <f t="shared" si="0"/>
        <v>0</v>
      </c>
      <c r="I47" s="2">
        <f t="shared" si="1"/>
        <v>0</v>
      </c>
      <c r="J47" s="2">
        <f t="shared" si="2"/>
        <v>0</v>
      </c>
    </row>
    <row r="48" spans="1:10">
      <c r="A48" s="235" t="s">
        <v>51</v>
      </c>
      <c r="B48" s="236">
        <v>198250</v>
      </c>
      <c r="C48" s="237"/>
      <c r="E48">
        <f>+IFERROR(VLOOKUP(A48,'TB final'!$A$4:$J$808,7,),0)</f>
        <v>198250</v>
      </c>
      <c r="F48">
        <f>+IFERROR(VLOOKUP(A48,'TB final'!$A$4:$J$808,10,),0)</f>
        <v>0</v>
      </c>
      <c r="H48" s="2">
        <f t="shared" si="0"/>
        <v>0</v>
      </c>
      <c r="I48" s="2">
        <f t="shared" si="1"/>
        <v>0</v>
      </c>
      <c r="J48" s="2">
        <f t="shared" si="2"/>
        <v>0</v>
      </c>
    </row>
    <row r="49" spans="1:10">
      <c r="A49" s="235" t="s">
        <v>52</v>
      </c>
      <c r="B49" s="236">
        <v>154050</v>
      </c>
      <c r="C49" s="237"/>
      <c r="E49">
        <f>+IFERROR(VLOOKUP(A49,'TB final'!$A$4:$J$808,7,),0)</f>
        <v>154050</v>
      </c>
      <c r="F49">
        <f>+IFERROR(VLOOKUP(A49,'TB final'!$A$4:$J$808,10,),0)</f>
        <v>0</v>
      </c>
      <c r="H49" s="2">
        <f t="shared" si="0"/>
        <v>0</v>
      </c>
      <c r="I49" s="2">
        <f t="shared" si="1"/>
        <v>0</v>
      </c>
      <c r="J49" s="2">
        <f t="shared" si="2"/>
        <v>0</v>
      </c>
    </row>
    <row r="50" spans="1:10">
      <c r="A50" s="235" t="s">
        <v>53</v>
      </c>
      <c r="B50" s="236">
        <v>68389</v>
      </c>
      <c r="C50" s="237"/>
      <c r="E50">
        <f>+IFERROR(VLOOKUP(A50,'TB final'!$A$4:$J$808,7,),0)</f>
        <v>68389</v>
      </c>
      <c r="F50">
        <f>+IFERROR(VLOOKUP(A50,'TB final'!$A$4:$J$808,10,),0)</f>
        <v>0</v>
      </c>
      <c r="H50" s="2">
        <f t="shared" si="0"/>
        <v>0</v>
      </c>
      <c r="I50" s="2">
        <f t="shared" si="1"/>
        <v>0</v>
      </c>
      <c r="J50" s="2">
        <f t="shared" si="2"/>
        <v>0</v>
      </c>
    </row>
    <row r="51" spans="1:10">
      <c r="A51" s="235" t="s">
        <v>58</v>
      </c>
      <c r="B51" s="237"/>
      <c r="C51" s="236">
        <v>2903011.18</v>
      </c>
      <c r="E51">
        <f>+IFERROR(VLOOKUP(A51,'TB final'!$A$4:$J$808,7,),0)</f>
        <v>0</v>
      </c>
      <c r="F51">
        <f>+IFERROR(VLOOKUP(A51,'TB final'!$A$4:$J$808,10,),0)</f>
        <v>2903011.18</v>
      </c>
      <c r="H51" s="2">
        <f t="shared" si="0"/>
        <v>0</v>
      </c>
      <c r="I51" s="2">
        <f t="shared" si="1"/>
        <v>0</v>
      </c>
      <c r="J51" s="2">
        <f t="shared" si="2"/>
        <v>0</v>
      </c>
    </row>
    <row r="52" spans="1:10">
      <c r="A52" s="235" t="s">
        <v>60</v>
      </c>
      <c r="B52" s="236">
        <v>1031300</v>
      </c>
      <c r="C52" s="237"/>
      <c r="E52">
        <f>+IFERROR(VLOOKUP(A52,'TB final'!$A$4:$J$808,7,),0)</f>
        <v>1031300</v>
      </c>
      <c r="F52">
        <f>+IFERROR(VLOOKUP(A52,'TB final'!$A$4:$J$808,10,),0)</f>
        <v>0</v>
      </c>
      <c r="H52" s="2">
        <f t="shared" si="0"/>
        <v>0</v>
      </c>
      <c r="I52" s="2">
        <f t="shared" si="1"/>
        <v>0</v>
      </c>
      <c r="J52" s="2">
        <f t="shared" si="2"/>
        <v>0</v>
      </c>
    </row>
    <row r="53" spans="1:10">
      <c r="A53" s="235" t="s">
        <v>61</v>
      </c>
      <c r="B53" s="236">
        <v>9482492</v>
      </c>
      <c r="C53" s="237"/>
      <c r="E53">
        <f>+IFERROR(VLOOKUP(A53,'TB final'!$A$4:$J$808,7,),0)</f>
        <v>9482492</v>
      </c>
      <c r="F53">
        <f>+IFERROR(VLOOKUP(A53,'TB final'!$A$4:$J$808,10,),0)</f>
        <v>0</v>
      </c>
      <c r="H53" s="2">
        <f t="shared" si="0"/>
        <v>0</v>
      </c>
      <c r="I53" s="2">
        <f t="shared" si="1"/>
        <v>0</v>
      </c>
      <c r="J53" s="2">
        <f t="shared" si="2"/>
        <v>0</v>
      </c>
    </row>
    <row r="54" spans="1:10">
      <c r="A54" s="235" t="s">
        <v>62</v>
      </c>
      <c r="B54" s="236">
        <v>48786325</v>
      </c>
      <c r="C54" s="237"/>
      <c r="E54">
        <f>+IFERROR(VLOOKUP(A54,'TB final'!$A$4:$J$808,7,),0)</f>
        <v>48786325</v>
      </c>
      <c r="F54">
        <f>+IFERROR(VLOOKUP(A54,'TB final'!$A$4:$J$808,10,),0)</f>
        <v>0</v>
      </c>
      <c r="H54" s="2">
        <f t="shared" si="0"/>
        <v>0</v>
      </c>
      <c r="I54" s="2">
        <f t="shared" si="1"/>
        <v>0</v>
      </c>
      <c r="J54" s="2">
        <f t="shared" si="2"/>
        <v>0</v>
      </c>
    </row>
    <row r="55" spans="1:10">
      <c r="A55" s="235" t="s">
        <v>63</v>
      </c>
      <c r="B55" s="237"/>
      <c r="C55" s="236">
        <v>244960</v>
      </c>
      <c r="E55">
        <f>+IFERROR(VLOOKUP(A55,'TB final'!$A$4:$J$808,7,),0)</f>
        <v>0</v>
      </c>
      <c r="F55">
        <f>+IFERROR(VLOOKUP(A55,'TB final'!$A$4:$J$808,10,),0)</f>
        <v>244960</v>
      </c>
      <c r="H55" s="2">
        <f t="shared" si="0"/>
        <v>0</v>
      </c>
      <c r="I55" s="2">
        <f t="shared" si="1"/>
        <v>0</v>
      </c>
      <c r="J55" s="2">
        <f t="shared" si="2"/>
        <v>0</v>
      </c>
    </row>
    <row r="56" spans="1:10">
      <c r="A56" s="235" t="s">
        <v>64</v>
      </c>
      <c r="B56" s="236">
        <v>21589538</v>
      </c>
      <c r="C56" s="237"/>
      <c r="E56">
        <f>+IFERROR(VLOOKUP(A56,'TB final'!$A$4:$J$808,7,),0)</f>
        <v>21589538</v>
      </c>
      <c r="F56">
        <f>+IFERROR(VLOOKUP(A56,'TB final'!$A$4:$J$808,10,),0)</f>
        <v>0</v>
      </c>
      <c r="H56" s="2">
        <f t="shared" si="0"/>
        <v>0</v>
      </c>
      <c r="I56" s="2">
        <f t="shared" si="1"/>
        <v>0</v>
      </c>
      <c r="J56" s="2">
        <f t="shared" si="2"/>
        <v>0</v>
      </c>
    </row>
    <row r="57" spans="1:10">
      <c r="A57" s="235" t="s">
        <v>65</v>
      </c>
      <c r="B57" s="236">
        <v>39844498.340000004</v>
      </c>
      <c r="C57" s="237"/>
      <c r="E57">
        <f>+IFERROR(VLOOKUP(A57,'TB final'!$A$4:$J$808,7,),0)</f>
        <v>39844498.340000004</v>
      </c>
      <c r="F57">
        <f>+IFERROR(VLOOKUP(A57,'TB final'!$A$4:$J$808,10,),0)</f>
        <v>0</v>
      </c>
      <c r="H57" s="2">
        <f t="shared" si="0"/>
        <v>0</v>
      </c>
      <c r="I57" s="2">
        <f t="shared" si="1"/>
        <v>0</v>
      </c>
      <c r="J57" s="2">
        <f t="shared" si="2"/>
        <v>0</v>
      </c>
    </row>
    <row r="58" spans="1:10">
      <c r="A58" s="235" t="s">
        <v>66</v>
      </c>
      <c r="B58" s="236">
        <v>1397360</v>
      </c>
      <c r="C58" s="237"/>
      <c r="E58">
        <f>+IFERROR(VLOOKUP(A58,'TB final'!$A$4:$J$808,7,),0)</f>
        <v>1397360</v>
      </c>
      <c r="F58">
        <f>+IFERROR(VLOOKUP(A58,'TB final'!$A$4:$J$808,10,),0)</f>
        <v>0</v>
      </c>
      <c r="H58" s="2">
        <f t="shared" si="0"/>
        <v>0</v>
      </c>
      <c r="I58" s="2">
        <f t="shared" si="1"/>
        <v>0</v>
      </c>
      <c r="J58" s="2">
        <f t="shared" si="2"/>
        <v>0</v>
      </c>
    </row>
    <row r="59" spans="1:10">
      <c r="A59" s="235" t="s">
        <v>67</v>
      </c>
      <c r="B59" s="236">
        <v>868635.7</v>
      </c>
      <c r="C59" s="237"/>
      <c r="E59">
        <f>+IFERROR(VLOOKUP(A59,'TB final'!$A$4:$J$808,7,),0)</f>
        <v>868635.7</v>
      </c>
      <c r="F59">
        <f>+IFERROR(VLOOKUP(A59,'TB final'!$A$4:$J$808,10,),0)</f>
        <v>0</v>
      </c>
      <c r="H59" s="2">
        <f t="shared" si="0"/>
        <v>0</v>
      </c>
      <c r="I59" s="2">
        <f t="shared" si="1"/>
        <v>0</v>
      </c>
      <c r="J59" s="2">
        <f t="shared" si="2"/>
        <v>0</v>
      </c>
    </row>
    <row r="60" spans="1:10">
      <c r="A60" s="235" t="s">
        <v>68</v>
      </c>
      <c r="B60" s="237"/>
      <c r="C60" s="236">
        <v>29986</v>
      </c>
      <c r="E60">
        <f>+IFERROR(VLOOKUP(A60,'TB final'!$A$4:$J$808,7,),0)</f>
        <v>0</v>
      </c>
      <c r="F60">
        <f>+IFERROR(VLOOKUP(A60,'TB final'!$A$4:$J$808,10,),0)</f>
        <v>29986</v>
      </c>
      <c r="H60" s="2">
        <f t="shared" si="0"/>
        <v>0</v>
      </c>
      <c r="I60" s="2">
        <f t="shared" si="1"/>
        <v>0</v>
      </c>
      <c r="J60" s="2">
        <f t="shared" si="2"/>
        <v>0</v>
      </c>
    </row>
    <row r="61" spans="1:10">
      <c r="A61" s="235" t="s">
        <v>69</v>
      </c>
      <c r="B61" s="236">
        <v>14524</v>
      </c>
      <c r="C61" s="237"/>
      <c r="E61">
        <f>+IFERROR(VLOOKUP(A61,'TB final'!$A$4:$J$808,7,),0)</f>
        <v>14524</v>
      </c>
      <c r="F61">
        <f>+IFERROR(VLOOKUP(A61,'TB final'!$A$4:$J$808,10,),0)</f>
        <v>0</v>
      </c>
      <c r="H61" s="2">
        <f t="shared" si="0"/>
        <v>0</v>
      </c>
      <c r="I61" s="2">
        <f t="shared" si="1"/>
        <v>0</v>
      </c>
      <c r="J61" s="2">
        <f t="shared" si="2"/>
        <v>0</v>
      </c>
    </row>
    <row r="62" spans="1:10">
      <c r="A62" s="235" t="s">
        <v>70</v>
      </c>
      <c r="B62" s="237"/>
      <c r="C62" s="236">
        <v>22944</v>
      </c>
      <c r="E62">
        <f>+IFERROR(VLOOKUP(A62,'TB final'!$A$4:$J$808,7,),0)</f>
        <v>0</v>
      </c>
      <c r="F62">
        <f>+IFERROR(VLOOKUP(A62,'TB final'!$A$4:$J$808,10,),0)</f>
        <v>22944</v>
      </c>
      <c r="H62" s="2">
        <f t="shared" si="0"/>
        <v>0</v>
      </c>
      <c r="I62" s="2">
        <f t="shared" si="1"/>
        <v>0</v>
      </c>
      <c r="J62" s="2">
        <f t="shared" si="2"/>
        <v>0</v>
      </c>
    </row>
    <row r="63" spans="1:10">
      <c r="A63" s="235" t="s">
        <v>71</v>
      </c>
      <c r="B63" s="237"/>
      <c r="C63" s="236">
        <v>198784</v>
      </c>
      <c r="E63">
        <f>+IFERROR(VLOOKUP(A63,'TB final'!$A$4:$J$808,7,),0)</f>
        <v>0</v>
      </c>
      <c r="F63">
        <f>+IFERROR(VLOOKUP(A63,'TB final'!$A$4:$J$808,10,),0)</f>
        <v>198784</v>
      </c>
      <c r="H63" s="2">
        <f t="shared" si="0"/>
        <v>0</v>
      </c>
      <c r="I63" s="2">
        <f t="shared" si="1"/>
        <v>0</v>
      </c>
      <c r="J63" s="2">
        <f t="shared" si="2"/>
        <v>0</v>
      </c>
    </row>
    <row r="64" spans="1:10">
      <c r="A64" s="235" t="s">
        <v>72</v>
      </c>
      <c r="B64" s="236">
        <v>29522</v>
      </c>
      <c r="C64" s="237"/>
      <c r="E64">
        <f>+IFERROR(VLOOKUP(A64,'TB final'!$A$4:$J$808,7,),0)</f>
        <v>29522</v>
      </c>
      <c r="F64">
        <f>+IFERROR(VLOOKUP(A64,'TB final'!$A$4:$J$808,10,),0)</f>
        <v>0</v>
      </c>
      <c r="H64" s="2">
        <f t="shared" si="0"/>
        <v>0</v>
      </c>
      <c r="I64" s="2">
        <f t="shared" si="1"/>
        <v>0</v>
      </c>
      <c r="J64" s="2">
        <f t="shared" si="2"/>
        <v>0</v>
      </c>
    </row>
    <row r="65" spans="1:10">
      <c r="A65" s="235" t="s">
        <v>73</v>
      </c>
      <c r="B65" s="236">
        <v>21062</v>
      </c>
      <c r="C65" s="237"/>
      <c r="E65">
        <f>+IFERROR(VLOOKUP(A65,'TB final'!$A$4:$J$808,7,),0)</f>
        <v>21062</v>
      </c>
      <c r="F65">
        <f>+IFERROR(VLOOKUP(A65,'TB final'!$A$4:$J$808,10,),0)</f>
        <v>0</v>
      </c>
      <c r="H65" s="2">
        <f t="shared" si="0"/>
        <v>0</v>
      </c>
      <c r="I65" s="2">
        <f t="shared" si="1"/>
        <v>0</v>
      </c>
      <c r="J65" s="2">
        <f t="shared" si="2"/>
        <v>0</v>
      </c>
    </row>
    <row r="66" spans="1:10">
      <c r="A66" s="235" t="s">
        <v>74</v>
      </c>
      <c r="B66" s="236">
        <v>344368</v>
      </c>
      <c r="C66" s="237"/>
      <c r="E66">
        <f>+IFERROR(VLOOKUP(A66,'TB final'!$A$4:$J$808,7,),0)</f>
        <v>344368</v>
      </c>
      <c r="F66">
        <f>+IFERROR(VLOOKUP(A66,'TB final'!$A$4:$J$808,10,),0)</f>
        <v>0</v>
      </c>
      <c r="H66" s="2">
        <f t="shared" si="0"/>
        <v>0</v>
      </c>
      <c r="I66" s="2">
        <f t="shared" si="1"/>
        <v>0</v>
      </c>
      <c r="J66" s="2">
        <f t="shared" si="2"/>
        <v>0</v>
      </c>
    </row>
    <row r="67" spans="1:10">
      <c r="A67" s="235" t="s">
        <v>75</v>
      </c>
      <c r="B67" s="236">
        <v>72553</v>
      </c>
      <c r="C67" s="237"/>
      <c r="E67">
        <f>+IFERROR(VLOOKUP(A67,'TB final'!$A$4:$J$808,7,),0)</f>
        <v>72553</v>
      </c>
      <c r="F67">
        <f>+IFERROR(VLOOKUP(A67,'TB final'!$A$4:$J$808,10,),0)</f>
        <v>0</v>
      </c>
      <c r="H67" s="2">
        <f t="shared" si="0"/>
        <v>0</v>
      </c>
      <c r="I67" s="2">
        <f t="shared" si="1"/>
        <v>0</v>
      </c>
      <c r="J67" s="2">
        <f t="shared" si="2"/>
        <v>0</v>
      </c>
    </row>
    <row r="68" spans="1:10">
      <c r="A68" s="235" t="s">
        <v>76</v>
      </c>
      <c r="B68" s="236">
        <v>178418</v>
      </c>
      <c r="C68" s="237"/>
      <c r="E68">
        <f>+IFERROR(VLOOKUP(A68,'TB final'!$A$4:$J$808,7,),0)</f>
        <v>178418</v>
      </c>
      <c r="F68">
        <f>+IFERROR(VLOOKUP(A68,'TB final'!$A$4:$J$808,10,),0)</f>
        <v>0</v>
      </c>
      <c r="H68" s="2">
        <f t="shared" si="0"/>
        <v>0</v>
      </c>
      <c r="I68" s="2">
        <f t="shared" si="1"/>
        <v>0</v>
      </c>
      <c r="J68" s="2">
        <f t="shared" si="2"/>
        <v>0</v>
      </c>
    </row>
    <row r="69" spans="1:10">
      <c r="A69" s="235" t="s">
        <v>77</v>
      </c>
      <c r="B69" s="236">
        <v>956688</v>
      </c>
      <c r="C69" s="237"/>
      <c r="E69">
        <f>+IFERROR(VLOOKUP(A69,'TB final'!$A$4:$J$808,7,),0)</f>
        <v>956688</v>
      </c>
      <c r="F69">
        <f>+IFERROR(VLOOKUP(A69,'TB final'!$A$4:$J$808,10,),0)</f>
        <v>0</v>
      </c>
      <c r="H69" s="2">
        <f t="shared" si="0"/>
        <v>0</v>
      </c>
      <c r="I69" s="2">
        <f t="shared" si="1"/>
        <v>0</v>
      </c>
      <c r="J69" s="2">
        <f t="shared" si="2"/>
        <v>0</v>
      </c>
    </row>
    <row r="70" spans="1:10">
      <c r="A70" s="235" t="s">
        <v>78</v>
      </c>
      <c r="B70" s="236">
        <v>351972</v>
      </c>
      <c r="C70" s="237"/>
      <c r="E70">
        <f>+IFERROR(VLOOKUP(A70,'TB final'!$A$4:$J$808,7,),0)</f>
        <v>351972</v>
      </c>
      <c r="F70">
        <f>+IFERROR(VLOOKUP(A70,'TB final'!$A$4:$J$808,10,),0)</f>
        <v>0</v>
      </c>
      <c r="H70" s="2">
        <f t="shared" si="0"/>
        <v>0</v>
      </c>
      <c r="I70" s="2">
        <f t="shared" si="1"/>
        <v>0</v>
      </c>
      <c r="J70" s="2">
        <f t="shared" si="2"/>
        <v>0</v>
      </c>
    </row>
    <row r="71" spans="1:10">
      <c r="A71" s="235" t="s">
        <v>79</v>
      </c>
      <c r="B71" s="236">
        <v>826334</v>
      </c>
      <c r="C71" s="237"/>
      <c r="E71">
        <f>+IFERROR(VLOOKUP(A71,'TB final'!$A$4:$J$808,7,),0)</f>
        <v>826334</v>
      </c>
      <c r="F71">
        <f>+IFERROR(VLOOKUP(A71,'TB final'!$A$4:$J$808,10,),0)</f>
        <v>0</v>
      </c>
      <c r="H71" s="2">
        <f t="shared" si="0"/>
        <v>0</v>
      </c>
      <c r="I71" s="2">
        <f t="shared" si="1"/>
        <v>0</v>
      </c>
      <c r="J71" s="2">
        <f t="shared" si="2"/>
        <v>0</v>
      </c>
    </row>
    <row r="72" spans="1:10">
      <c r="A72" s="235" t="s">
        <v>80</v>
      </c>
      <c r="B72" s="237"/>
      <c r="C72" s="236">
        <v>28004</v>
      </c>
      <c r="E72">
        <f>+IFERROR(VLOOKUP(A72,'TB final'!$A$4:$J$808,7,),0)</f>
        <v>0</v>
      </c>
      <c r="F72">
        <f>+IFERROR(VLOOKUP(A72,'TB final'!$A$4:$J$808,10,),0)</f>
        <v>28004</v>
      </c>
      <c r="H72" s="2">
        <f t="shared" si="0"/>
        <v>0</v>
      </c>
      <c r="I72" s="2">
        <f t="shared" si="1"/>
        <v>0</v>
      </c>
      <c r="J72" s="2">
        <f t="shared" si="2"/>
        <v>0</v>
      </c>
    </row>
    <row r="73" spans="1:10">
      <c r="A73" s="235" t="s">
        <v>81</v>
      </c>
      <c r="B73" s="237"/>
      <c r="C73" s="236">
        <v>19475121</v>
      </c>
      <c r="E73">
        <f>+IFERROR(VLOOKUP(A73,'TB final'!$A$4:$J$808,7,),0)</f>
        <v>0</v>
      </c>
      <c r="F73">
        <f>+IFERROR(VLOOKUP(A73,'TB final'!$A$4:$J$808,10,),0)</f>
        <v>19475121</v>
      </c>
      <c r="H73" s="2">
        <f t="shared" si="0"/>
        <v>0</v>
      </c>
      <c r="I73" s="2">
        <f t="shared" si="1"/>
        <v>0</v>
      </c>
      <c r="J73" s="2">
        <f t="shared" si="2"/>
        <v>0</v>
      </c>
    </row>
    <row r="74" spans="1:10">
      <c r="A74" s="235" t="s">
        <v>82</v>
      </c>
      <c r="B74" s="236">
        <v>6800</v>
      </c>
      <c r="C74" s="237"/>
      <c r="E74">
        <f>+IFERROR(VLOOKUP(A74,'TB final'!$A$4:$J$808,7,),0)</f>
        <v>6800</v>
      </c>
      <c r="F74">
        <f>+IFERROR(VLOOKUP(A74,'TB final'!$A$4:$J$808,10,),0)</f>
        <v>0</v>
      </c>
      <c r="H74" s="2">
        <f t="shared" si="0"/>
        <v>0</v>
      </c>
      <c r="I74" s="2">
        <f t="shared" si="1"/>
        <v>0</v>
      </c>
      <c r="J74" s="2">
        <f t="shared" si="2"/>
        <v>0</v>
      </c>
    </row>
    <row r="75" spans="1:10">
      <c r="A75" s="235" t="s">
        <v>83</v>
      </c>
      <c r="B75" s="236">
        <v>200000</v>
      </c>
      <c r="C75" s="237"/>
      <c r="E75">
        <f>+IFERROR(VLOOKUP(A75,'TB final'!$A$4:$J$808,7,),0)</f>
        <v>200000</v>
      </c>
      <c r="F75">
        <f>+IFERROR(VLOOKUP(A75,'TB final'!$A$4:$J$808,10,),0)</f>
        <v>0</v>
      </c>
      <c r="H75" s="2">
        <f t="shared" si="0"/>
        <v>0</v>
      </c>
      <c r="I75" s="2">
        <f t="shared" si="1"/>
        <v>0</v>
      </c>
      <c r="J75" s="2">
        <f t="shared" si="2"/>
        <v>0</v>
      </c>
    </row>
    <row r="76" spans="1:10">
      <c r="A76" s="235" t="s">
        <v>84</v>
      </c>
      <c r="B76" s="236">
        <v>10777</v>
      </c>
      <c r="C76" s="237"/>
      <c r="E76">
        <f>+IFERROR(VLOOKUP(A76,'TB final'!$A$4:$J$808,7,),0)</f>
        <v>10777</v>
      </c>
      <c r="F76">
        <f>+IFERROR(VLOOKUP(A76,'TB final'!$A$4:$J$808,10,),0)</f>
        <v>0</v>
      </c>
      <c r="H76" s="2">
        <f t="shared" si="0"/>
        <v>0</v>
      </c>
      <c r="I76" s="2">
        <f t="shared" si="1"/>
        <v>0</v>
      </c>
      <c r="J76" s="2">
        <f t="shared" si="2"/>
        <v>0</v>
      </c>
    </row>
    <row r="77" spans="1:10">
      <c r="A77" s="235" t="s">
        <v>1664</v>
      </c>
      <c r="B77" s="236">
        <v>277472</v>
      </c>
      <c r="C77" s="237"/>
      <c r="E77">
        <f>+IFERROR(VLOOKUP(A77,'TB final'!$A$4:$J$808,7,),0)</f>
        <v>277472</v>
      </c>
      <c r="F77">
        <f>+IFERROR(VLOOKUP(A77,'TB final'!$A$4:$J$808,10,),0)</f>
        <v>0</v>
      </c>
      <c r="H77" s="2">
        <f t="shared" ref="H77:H140" si="3">+B77-E77</f>
        <v>0</v>
      </c>
      <c r="I77" s="2">
        <f t="shared" ref="I77:I140" si="4">+C77-F77</f>
        <v>0</v>
      </c>
      <c r="J77" s="2">
        <f t="shared" ref="J77:J140" si="5">+H77+I77</f>
        <v>0</v>
      </c>
    </row>
    <row r="78" spans="1:10">
      <c r="A78" s="235" t="s">
        <v>1665</v>
      </c>
      <c r="B78" s="236">
        <v>4984821</v>
      </c>
      <c r="C78" s="237"/>
      <c r="E78">
        <f>+IFERROR(VLOOKUP(A78,'TB final'!$A$4:$J$808,7,),0)</f>
        <v>4984821</v>
      </c>
      <c r="F78">
        <f>+IFERROR(VLOOKUP(A78,'TB final'!$A$4:$J$808,10,),0)</f>
        <v>0</v>
      </c>
      <c r="H78" s="2">
        <f t="shared" si="3"/>
        <v>0</v>
      </c>
      <c r="I78" s="2">
        <f t="shared" si="4"/>
        <v>0</v>
      </c>
      <c r="J78" s="2">
        <f t="shared" si="5"/>
        <v>0</v>
      </c>
    </row>
    <row r="79" spans="1:10">
      <c r="A79" s="235" t="s">
        <v>86</v>
      </c>
      <c r="B79" s="236">
        <v>50000</v>
      </c>
      <c r="C79" s="237"/>
      <c r="E79">
        <f>+IFERROR(VLOOKUP(A79,'TB final'!$A$4:$J$808,7,),0)</f>
        <v>50000</v>
      </c>
      <c r="F79">
        <f>+IFERROR(VLOOKUP(A79,'TB final'!$A$4:$J$808,10,),0)</f>
        <v>0</v>
      </c>
      <c r="H79" s="2">
        <f t="shared" si="3"/>
        <v>0</v>
      </c>
      <c r="I79" s="2">
        <f t="shared" si="4"/>
        <v>0</v>
      </c>
      <c r="J79" s="2">
        <f t="shared" si="5"/>
        <v>0</v>
      </c>
    </row>
    <row r="80" spans="1:10">
      <c r="A80" s="235" t="s">
        <v>87</v>
      </c>
      <c r="B80" s="236">
        <v>322100</v>
      </c>
      <c r="C80" s="237"/>
      <c r="E80">
        <f>+IFERROR(VLOOKUP(A80,'TB final'!$A$4:$J$808,7,),0)</f>
        <v>322100</v>
      </c>
      <c r="F80">
        <f>+IFERROR(VLOOKUP(A80,'TB final'!$A$4:$J$808,10,),0)</f>
        <v>0</v>
      </c>
      <c r="H80" s="2">
        <f t="shared" si="3"/>
        <v>0</v>
      </c>
      <c r="I80" s="2">
        <f t="shared" si="4"/>
        <v>0</v>
      </c>
      <c r="J80" s="2">
        <f t="shared" si="5"/>
        <v>0</v>
      </c>
    </row>
    <row r="81" spans="1:10">
      <c r="A81" s="235" t="s">
        <v>88</v>
      </c>
      <c r="B81" s="236">
        <v>215314.61</v>
      </c>
      <c r="C81" s="237"/>
      <c r="E81">
        <f>+IFERROR(VLOOKUP(A81,'TB final'!$A$4:$J$808,7,),0)</f>
        <v>215314.61</v>
      </c>
      <c r="F81">
        <f>+IFERROR(VLOOKUP(A81,'TB final'!$A$4:$J$808,10,),0)</f>
        <v>0</v>
      </c>
      <c r="H81" s="2">
        <f t="shared" si="3"/>
        <v>0</v>
      </c>
      <c r="I81" s="2">
        <f t="shared" si="4"/>
        <v>0</v>
      </c>
      <c r="J81" s="2">
        <f t="shared" si="5"/>
        <v>0</v>
      </c>
    </row>
    <row r="82" spans="1:10">
      <c r="A82" s="235" t="s">
        <v>89</v>
      </c>
      <c r="B82" s="236">
        <v>150294</v>
      </c>
      <c r="C82" s="237"/>
      <c r="E82">
        <f>+IFERROR(VLOOKUP(A82,'TB final'!$A$4:$J$808,7,),0)</f>
        <v>150294</v>
      </c>
      <c r="F82">
        <f>+IFERROR(VLOOKUP(A82,'TB final'!$A$4:$J$808,10,),0)</f>
        <v>0</v>
      </c>
      <c r="H82" s="2">
        <f t="shared" si="3"/>
        <v>0</v>
      </c>
      <c r="I82" s="2">
        <f t="shared" si="4"/>
        <v>0</v>
      </c>
      <c r="J82" s="2">
        <f t="shared" si="5"/>
        <v>0</v>
      </c>
    </row>
    <row r="83" spans="1:10">
      <c r="A83" s="235" t="s">
        <v>90</v>
      </c>
      <c r="B83" s="236">
        <v>1850243</v>
      </c>
      <c r="C83" s="237"/>
      <c r="E83">
        <f>+IFERROR(VLOOKUP(A83,'TB final'!$A$4:$J$808,7,),0)</f>
        <v>1850243</v>
      </c>
      <c r="F83">
        <f>+IFERROR(VLOOKUP(A83,'TB final'!$A$4:$J$808,10,),0)</f>
        <v>0</v>
      </c>
      <c r="H83" s="2">
        <f t="shared" si="3"/>
        <v>0</v>
      </c>
      <c r="I83" s="2">
        <f t="shared" si="4"/>
        <v>0</v>
      </c>
      <c r="J83" s="2">
        <f t="shared" si="5"/>
        <v>0</v>
      </c>
    </row>
    <row r="84" spans="1:10">
      <c r="A84" s="235" t="s">
        <v>91</v>
      </c>
      <c r="B84" s="236">
        <v>1908584</v>
      </c>
      <c r="C84" s="237"/>
      <c r="E84">
        <f>+IFERROR(VLOOKUP(A84,'TB final'!$A$4:$J$808,7,),0)</f>
        <v>1908584</v>
      </c>
      <c r="F84">
        <f>+IFERROR(VLOOKUP(A84,'TB final'!$A$4:$J$808,10,),0)</f>
        <v>0</v>
      </c>
      <c r="H84" s="2">
        <f t="shared" si="3"/>
        <v>0</v>
      </c>
      <c r="I84" s="2">
        <f t="shared" si="4"/>
        <v>0</v>
      </c>
      <c r="J84" s="2">
        <f t="shared" si="5"/>
        <v>0</v>
      </c>
    </row>
    <row r="85" spans="1:10">
      <c r="A85" s="235" t="s">
        <v>92</v>
      </c>
      <c r="B85" s="236">
        <v>41543</v>
      </c>
      <c r="C85" s="237"/>
      <c r="E85">
        <f>+IFERROR(VLOOKUP(A85,'TB final'!$A$4:$J$808,7,),0)</f>
        <v>41543</v>
      </c>
      <c r="F85">
        <f>+IFERROR(VLOOKUP(A85,'TB final'!$A$4:$J$808,10,),0)</f>
        <v>0</v>
      </c>
      <c r="H85" s="2">
        <f t="shared" si="3"/>
        <v>0</v>
      </c>
      <c r="I85" s="2">
        <f t="shared" si="4"/>
        <v>0</v>
      </c>
      <c r="J85" s="2">
        <f t="shared" si="5"/>
        <v>0</v>
      </c>
    </row>
    <row r="86" spans="1:10">
      <c r="A86" s="235" t="s">
        <v>93</v>
      </c>
      <c r="B86" s="236">
        <v>48716</v>
      </c>
      <c r="C86" s="237"/>
      <c r="E86">
        <f>+IFERROR(VLOOKUP(A86,'TB final'!$A$4:$J$808,7,),0)</f>
        <v>48716</v>
      </c>
      <c r="F86">
        <f>+IFERROR(VLOOKUP(A86,'TB final'!$A$4:$J$808,10,),0)</f>
        <v>0</v>
      </c>
      <c r="H86" s="2">
        <f t="shared" si="3"/>
        <v>0</v>
      </c>
      <c r="I86" s="2">
        <f t="shared" si="4"/>
        <v>0</v>
      </c>
      <c r="J86" s="2">
        <f t="shared" si="5"/>
        <v>0</v>
      </c>
    </row>
    <row r="87" spans="1:10">
      <c r="A87" s="235" t="s">
        <v>94</v>
      </c>
      <c r="B87" s="236">
        <v>113997</v>
      </c>
      <c r="C87" s="237"/>
      <c r="E87">
        <f>+IFERROR(VLOOKUP(A87,'TB final'!$A$4:$J$808,7,),0)</f>
        <v>113997</v>
      </c>
      <c r="F87">
        <f>+IFERROR(VLOOKUP(A87,'TB final'!$A$4:$J$808,10,),0)</f>
        <v>0</v>
      </c>
      <c r="H87" s="2">
        <f t="shared" si="3"/>
        <v>0</v>
      </c>
      <c r="I87" s="2">
        <f t="shared" si="4"/>
        <v>0</v>
      </c>
      <c r="J87" s="2">
        <f t="shared" si="5"/>
        <v>0</v>
      </c>
    </row>
    <row r="88" spans="1:10">
      <c r="A88" s="235" t="s">
        <v>95</v>
      </c>
      <c r="B88" s="236">
        <v>13628774</v>
      </c>
      <c r="C88" s="237"/>
      <c r="E88">
        <f>+IFERROR(VLOOKUP(A88,'TB final'!$A$4:$J$808,7,),0)</f>
        <v>13628774</v>
      </c>
      <c r="F88">
        <f>+IFERROR(VLOOKUP(A88,'TB final'!$A$4:$J$808,10,),0)</f>
        <v>0</v>
      </c>
      <c r="H88" s="2">
        <f t="shared" si="3"/>
        <v>0</v>
      </c>
      <c r="I88" s="2">
        <f t="shared" si="4"/>
        <v>0</v>
      </c>
      <c r="J88" s="2">
        <f t="shared" si="5"/>
        <v>0</v>
      </c>
    </row>
    <row r="89" spans="1:10">
      <c r="A89" s="235" t="s">
        <v>96</v>
      </c>
      <c r="B89" s="236">
        <v>369149</v>
      </c>
      <c r="C89" s="237"/>
      <c r="E89">
        <f>+IFERROR(VLOOKUP(A89,'TB final'!$A$4:$J$808,7,),0)</f>
        <v>369149</v>
      </c>
      <c r="F89">
        <f>+IFERROR(VLOOKUP(A89,'TB final'!$A$4:$J$808,10,),0)</f>
        <v>0</v>
      </c>
      <c r="H89" s="2">
        <f t="shared" si="3"/>
        <v>0</v>
      </c>
      <c r="I89" s="2">
        <f t="shared" si="4"/>
        <v>0</v>
      </c>
      <c r="J89" s="2">
        <f t="shared" si="5"/>
        <v>0</v>
      </c>
    </row>
    <row r="90" spans="1:10">
      <c r="A90" s="235" t="s">
        <v>97</v>
      </c>
      <c r="B90" s="236">
        <v>54000</v>
      </c>
      <c r="C90" s="237"/>
      <c r="E90">
        <f>+IFERROR(VLOOKUP(A90,'TB final'!$A$4:$J$808,7,),0)</f>
        <v>54000</v>
      </c>
      <c r="F90">
        <f>+IFERROR(VLOOKUP(A90,'TB final'!$A$4:$J$808,10,),0)</f>
        <v>0</v>
      </c>
      <c r="H90" s="2">
        <f t="shared" si="3"/>
        <v>0</v>
      </c>
      <c r="I90" s="2">
        <f t="shared" si="4"/>
        <v>0</v>
      </c>
      <c r="J90" s="2">
        <f t="shared" si="5"/>
        <v>0</v>
      </c>
    </row>
    <row r="91" spans="1:10">
      <c r="A91" s="235" t="s">
        <v>98</v>
      </c>
      <c r="B91" s="236">
        <v>46500</v>
      </c>
      <c r="C91" s="237"/>
      <c r="E91">
        <f>+IFERROR(VLOOKUP(A91,'TB final'!$A$4:$J$808,7,),0)</f>
        <v>46500</v>
      </c>
      <c r="F91">
        <f>+IFERROR(VLOOKUP(A91,'TB final'!$A$4:$J$808,10,),0)</f>
        <v>0</v>
      </c>
      <c r="H91" s="2">
        <f t="shared" si="3"/>
        <v>0</v>
      </c>
      <c r="I91" s="2">
        <f t="shared" si="4"/>
        <v>0</v>
      </c>
      <c r="J91" s="2">
        <f t="shared" si="5"/>
        <v>0</v>
      </c>
    </row>
    <row r="92" spans="1:10">
      <c r="A92" s="235" t="s">
        <v>99</v>
      </c>
      <c r="B92" s="236">
        <v>3692009</v>
      </c>
      <c r="C92" s="237"/>
      <c r="E92">
        <f>+IFERROR(VLOOKUP(A92,'TB final'!$A$4:$J$808,7,),0)</f>
        <v>3692009</v>
      </c>
      <c r="F92">
        <f>+IFERROR(VLOOKUP(A92,'TB final'!$A$4:$J$808,10,),0)</f>
        <v>0</v>
      </c>
      <c r="H92" s="2">
        <f t="shared" si="3"/>
        <v>0</v>
      </c>
      <c r="I92" s="2">
        <f t="shared" si="4"/>
        <v>0</v>
      </c>
      <c r="J92" s="2">
        <f t="shared" si="5"/>
        <v>0</v>
      </c>
    </row>
    <row r="93" spans="1:10">
      <c r="A93" s="235" t="s">
        <v>100</v>
      </c>
      <c r="B93" s="236">
        <v>39401489</v>
      </c>
      <c r="C93" s="237"/>
      <c r="E93">
        <f>+IFERROR(VLOOKUP(A93,'TB final'!$A$4:$J$808,7,),0)</f>
        <v>39401489</v>
      </c>
      <c r="F93">
        <f>+IFERROR(VLOOKUP(A93,'TB final'!$A$4:$J$808,10,),0)</f>
        <v>0</v>
      </c>
      <c r="H93" s="2">
        <f t="shared" si="3"/>
        <v>0</v>
      </c>
      <c r="I93" s="2">
        <f t="shared" si="4"/>
        <v>0</v>
      </c>
      <c r="J93" s="2">
        <f t="shared" si="5"/>
        <v>0</v>
      </c>
    </row>
    <row r="94" spans="1:10">
      <c r="A94" s="235" t="s">
        <v>101</v>
      </c>
      <c r="B94" s="237"/>
      <c r="C94" s="236">
        <v>101425.16</v>
      </c>
      <c r="E94">
        <f>+IFERROR(VLOOKUP(A94,'TB final'!$A$4:$J$808,7,),0)</f>
        <v>0</v>
      </c>
      <c r="F94">
        <f>+IFERROR(VLOOKUP(A94,'TB final'!$A$4:$J$808,10,),0)</f>
        <v>101425.16</v>
      </c>
      <c r="H94" s="2">
        <f t="shared" si="3"/>
        <v>0</v>
      </c>
      <c r="I94" s="2">
        <f t="shared" si="4"/>
        <v>0</v>
      </c>
      <c r="J94" s="2">
        <f t="shared" si="5"/>
        <v>0</v>
      </c>
    </row>
    <row r="95" spans="1:10">
      <c r="A95" s="235" t="s">
        <v>102</v>
      </c>
      <c r="B95" s="236">
        <v>26700</v>
      </c>
      <c r="C95" s="237"/>
      <c r="E95">
        <f>+IFERROR(VLOOKUP(A95,'TB final'!$A$4:$J$808,7,),0)</f>
        <v>26700</v>
      </c>
      <c r="F95">
        <f>+IFERROR(VLOOKUP(A95,'TB final'!$A$4:$J$808,10,),0)</f>
        <v>0</v>
      </c>
      <c r="H95" s="2">
        <f t="shared" si="3"/>
        <v>0</v>
      </c>
      <c r="I95" s="2">
        <f t="shared" si="4"/>
        <v>0</v>
      </c>
      <c r="J95" s="2">
        <f t="shared" si="5"/>
        <v>0</v>
      </c>
    </row>
    <row r="96" spans="1:10">
      <c r="A96" s="235" t="s">
        <v>103</v>
      </c>
      <c r="B96" s="237"/>
      <c r="C96" s="236">
        <v>78588</v>
      </c>
      <c r="E96">
        <f>+IFERROR(VLOOKUP(A96,'TB final'!$A$4:$J$808,7,),0)</f>
        <v>0</v>
      </c>
      <c r="F96">
        <f>+IFERROR(VLOOKUP(A96,'TB final'!$A$4:$J$808,10,),0)</f>
        <v>78588</v>
      </c>
      <c r="H96" s="2">
        <f t="shared" si="3"/>
        <v>0</v>
      </c>
      <c r="I96" s="2">
        <f t="shared" si="4"/>
        <v>0</v>
      </c>
      <c r="J96" s="2">
        <f t="shared" si="5"/>
        <v>0</v>
      </c>
    </row>
    <row r="97" spans="1:10">
      <c r="A97" s="235" t="s">
        <v>104</v>
      </c>
      <c r="B97" s="237"/>
      <c r="C97" s="236">
        <v>41913</v>
      </c>
      <c r="E97">
        <f>+IFERROR(VLOOKUP(A97,'TB final'!$A$4:$J$808,7,),0)</f>
        <v>0</v>
      </c>
      <c r="F97">
        <f>+IFERROR(VLOOKUP(A97,'TB final'!$A$4:$J$808,10,),0)</f>
        <v>41913</v>
      </c>
      <c r="H97" s="2">
        <f t="shared" si="3"/>
        <v>0</v>
      </c>
      <c r="I97" s="2">
        <f t="shared" si="4"/>
        <v>0</v>
      </c>
      <c r="J97" s="2">
        <f t="shared" si="5"/>
        <v>0</v>
      </c>
    </row>
    <row r="98" spans="1:10">
      <c r="A98" s="235" t="s">
        <v>105</v>
      </c>
      <c r="B98" s="237"/>
      <c r="C98" s="236">
        <v>66506</v>
      </c>
      <c r="E98">
        <f>+IFERROR(VLOOKUP(A98,'TB final'!$A$4:$J$808,7,),0)</f>
        <v>0</v>
      </c>
      <c r="F98">
        <f>+IFERROR(VLOOKUP(A98,'TB final'!$A$4:$J$808,10,),0)</f>
        <v>66506</v>
      </c>
      <c r="H98" s="2">
        <f t="shared" si="3"/>
        <v>0</v>
      </c>
      <c r="I98" s="2">
        <f t="shared" si="4"/>
        <v>0</v>
      </c>
      <c r="J98" s="2">
        <f t="shared" si="5"/>
        <v>0</v>
      </c>
    </row>
    <row r="99" spans="1:10">
      <c r="A99" s="235" t="s">
        <v>106</v>
      </c>
      <c r="B99" s="237"/>
      <c r="C99" s="236">
        <v>4625753</v>
      </c>
      <c r="E99">
        <f>+IFERROR(VLOOKUP(A99,'TB final'!$A$4:$J$808,7,),0)</f>
        <v>0</v>
      </c>
      <c r="F99">
        <f>+IFERROR(VLOOKUP(A99,'TB final'!$A$4:$J$808,10,),0)</f>
        <v>4625753</v>
      </c>
      <c r="H99" s="2">
        <f t="shared" si="3"/>
        <v>0</v>
      </c>
      <c r="I99" s="2">
        <f t="shared" si="4"/>
        <v>0</v>
      </c>
      <c r="J99" s="2">
        <f t="shared" si="5"/>
        <v>0</v>
      </c>
    </row>
    <row r="100" spans="1:10">
      <c r="A100" s="235" t="s">
        <v>107</v>
      </c>
      <c r="B100" s="236">
        <v>896</v>
      </c>
      <c r="C100" s="237"/>
      <c r="E100">
        <f>+IFERROR(VLOOKUP(A100,'TB final'!$A$4:$J$808,7,),0)</f>
        <v>896</v>
      </c>
      <c r="F100">
        <f>+IFERROR(VLOOKUP(A100,'TB final'!$A$4:$J$808,10,),0)</f>
        <v>0</v>
      </c>
      <c r="H100" s="2">
        <f t="shared" si="3"/>
        <v>0</v>
      </c>
      <c r="I100" s="2">
        <f t="shared" si="4"/>
        <v>0</v>
      </c>
      <c r="J100" s="2">
        <f t="shared" si="5"/>
        <v>0</v>
      </c>
    </row>
    <row r="101" spans="1:10">
      <c r="A101" s="235" t="s">
        <v>108</v>
      </c>
      <c r="B101" s="236">
        <v>26458587.010000002</v>
      </c>
      <c r="C101" s="237"/>
      <c r="E101">
        <f>+IFERROR(VLOOKUP(A101,'TB final'!$A$4:$J$808,7,),0)</f>
        <v>26458587.010000002</v>
      </c>
      <c r="F101">
        <f>+IFERROR(VLOOKUP(A101,'TB final'!$A$4:$J$808,10,),0)</f>
        <v>0</v>
      </c>
      <c r="H101" s="2">
        <f t="shared" si="3"/>
        <v>0</v>
      </c>
      <c r="I101" s="2">
        <f t="shared" si="4"/>
        <v>0</v>
      </c>
      <c r="J101" s="2">
        <f t="shared" si="5"/>
        <v>0</v>
      </c>
    </row>
    <row r="102" spans="1:10">
      <c r="A102" s="235" t="s">
        <v>109</v>
      </c>
      <c r="B102" s="237"/>
      <c r="C102" s="236">
        <v>227278</v>
      </c>
      <c r="E102">
        <f>+IFERROR(VLOOKUP(A102,'TB final'!$A$4:$J$808,7,),0)</f>
        <v>0</v>
      </c>
      <c r="F102">
        <f>+IFERROR(VLOOKUP(A102,'TB final'!$A$4:$J$808,10,),0)</f>
        <v>227278</v>
      </c>
      <c r="H102" s="2">
        <f t="shared" si="3"/>
        <v>0</v>
      </c>
      <c r="I102" s="2">
        <f t="shared" si="4"/>
        <v>0</v>
      </c>
      <c r="J102" s="2">
        <f t="shared" si="5"/>
        <v>0</v>
      </c>
    </row>
    <row r="103" spans="1:10">
      <c r="A103" s="235" t="s">
        <v>110</v>
      </c>
      <c r="B103" s="237"/>
      <c r="C103" s="236">
        <v>26922650</v>
      </c>
      <c r="E103">
        <f>+IFERROR(VLOOKUP(A103,'TB final'!$A$4:$J$808,7,),0)</f>
        <v>0</v>
      </c>
      <c r="F103">
        <f>+IFERROR(VLOOKUP(A103,'TB final'!$A$4:$J$808,10,),0)</f>
        <v>26922650</v>
      </c>
      <c r="H103" s="2">
        <f t="shared" si="3"/>
        <v>0</v>
      </c>
      <c r="I103" s="2">
        <f t="shared" si="4"/>
        <v>0</v>
      </c>
      <c r="J103" s="2">
        <f t="shared" si="5"/>
        <v>0</v>
      </c>
    </row>
    <row r="104" spans="1:10">
      <c r="A104" s="235" t="s">
        <v>111</v>
      </c>
      <c r="B104" s="236">
        <v>234882</v>
      </c>
      <c r="C104" s="237"/>
      <c r="E104">
        <f>+IFERROR(VLOOKUP(A104,'TB final'!$A$4:$J$808,7,),0)</f>
        <v>234882</v>
      </c>
      <c r="F104">
        <f>+IFERROR(VLOOKUP(A104,'TB final'!$A$4:$J$808,10,),0)</f>
        <v>0</v>
      </c>
      <c r="H104" s="2">
        <f t="shared" si="3"/>
        <v>0</v>
      </c>
      <c r="I104" s="2">
        <f t="shared" si="4"/>
        <v>0</v>
      </c>
      <c r="J104" s="2">
        <f t="shared" si="5"/>
        <v>0</v>
      </c>
    </row>
    <row r="105" spans="1:10">
      <c r="A105" s="235" t="s">
        <v>112</v>
      </c>
      <c r="B105" s="236">
        <v>18000</v>
      </c>
      <c r="C105" s="237"/>
      <c r="E105">
        <f>+IFERROR(VLOOKUP(A105,'TB final'!$A$4:$J$808,7,),0)</f>
        <v>18000</v>
      </c>
      <c r="F105">
        <f>+IFERROR(VLOOKUP(A105,'TB final'!$A$4:$J$808,10,),0)</f>
        <v>0</v>
      </c>
      <c r="H105" s="2">
        <f t="shared" si="3"/>
        <v>0</v>
      </c>
      <c r="I105" s="2">
        <f t="shared" si="4"/>
        <v>0</v>
      </c>
      <c r="J105" s="2">
        <f t="shared" si="5"/>
        <v>0</v>
      </c>
    </row>
    <row r="106" spans="1:10">
      <c r="A106" s="235" t="s">
        <v>113</v>
      </c>
      <c r="B106" s="236">
        <v>5916</v>
      </c>
      <c r="C106" s="237"/>
      <c r="E106">
        <f>+IFERROR(VLOOKUP(A106,'TB final'!$A$4:$J$808,7,),0)</f>
        <v>5916</v>
      </c>
      <c r="F106">
        <f>+IFERROR(VLOOKUP(A106,'TB final'!$A$4:$J$808,10,),0)</f>
        <v>0</v>
      </c>
      <c r="H106" s="2">
        <f t="shared" si="3"/>
        <v>0</v>
      </c>
      <c r="I106" s="2">
        <f t="shared" si="4"/>
        <v>0</v>
      </c>
      <c r="J106" s="2">
        <f t="shared" si="5"/>
        <v>0</v>
      </c>
    </row>
    <row r="107" spans="1:10">
      <c r="A107" s="235" t="s">
        <v>114</v>
      </c>
      <c r="B107" s="236">
        <v>1570177</v>
      </c>
      <c r="C107" s="237"/>
      <c r="E107">
        <f>+IFERROR(VLOOKUP(A107,'TB final'!$A$4:$J$808,7,),0)</f>
        <v>1570177</v>
      </c>
      <c r="F107">
        <f>+IFERROR(VLOOKUP(A107,'TB final'!$A$4:$J$808,10,),0)</f>
        <v>0</v>
      </c>
      <c r="H107" s="2">
        <f t="shared" si="3"/>
        <v>0</v>
      </c>
      <c r="I107" s="2">
        <f t="shared" si="4"/>
        <v>0</v>
      </c>
      <c r="J107" s="2">
        <f t="shared" si="5"/>
        <v>0</v>
      </c>
    </row>
    <row r="108" spans="1:10">
      <c r="A108" s="235" t="s">
        <v>115</v>
      </c>
      <c r="B108" s="237"/>
      <c r="C108" s="236">
        <v>15060978</v>
      </c>
      <c r="E108">
        <f>+IFERROR(VLOOKUP(A108,'TB final'!$A$4:$J$808,7,),0)</f>
        <v>0</v>
      </c>
      <c r="F108">
        <f>+IFERROR(VLOOKUP(A108,'TB final'!$A$4:$J$808,10,),0)</f>
        <v>15060978</v>
      </c>
      <c r="H108" s="2">
        <f t="shared" si="3"/>
        <v>0</v>
      </c>
      <c r="I108" s="2">
        <f t="shared" si="4"/>
        <v>0</v>
      </c>
      <c r="J108" s="2">
        <f t="shared" si="5"/>
        <v>0</v>
      </c>
    </row>
    <row r="109" spans="1:10">
      <c r="A109" s="235" t="s">
        <v>116</v>
      </c>
      <c r="B109" s="236">
        <v>72000</v>
      </c>
      <c r="C109" s="237"/>
      <c r="E109">
        <f>+IFERROR(VLOOKUP(A109,'TB final'!$A$4:$J$808,7,),0)</f>
        <v>72000</v>
      </c>
      <c r="F109">
        <f>+IFERROR(VLOOKUP(A109,'TB final'!$A$4:$J$808,10,),0)</f>
        <v>0</v>
      </c>
      <c r="H109" s="2">
        <f t="shared" si="3"/>
        <v>0</v>
      </c>
      <c r="I109" s="2">
        <f t="shared" si="4"/>
        <v>0</v>
      </c>
      <c r="J109" s="2">
        <f t="shared" si="5"/>
        <v>0</v>
      </c>
    </row>
    <row r="110" spans="1:10">
      <c r="A110" s="235" t="s">
        <v>117</v>
      </c>
      <c r="B110" s="236">
        <v>262736</v>
      </c>
      <c r="C110" s="237"/>
      <c r="E110">
        <f>+IFERROR(VLOOKUP(A110,'TB final'!$A$4:$J$808,7,),0)</f>
        <v>262736</v>
      </c>
      <c r="F110">
        <f>+IFERROR(VLOOKUP(A110,'TB final'!$A$4:$J$808,10,),0)</f>
        <v>0</v>
      </c>
      <c r="H110" s="2">
        <f t="shared" si="3"/>
        <v>0</v>
      </c>
      <c r="I110" s="2">
        <f t="shared" si="4"/>
        <v>0</v>
      </c>
      <c r="J110" s="2">
        <f t="shared" si="5"/>
        <v>0</v>
      </c>
    </row>
    <row r="111" spans="1:10">
      <c r="A111" s="235" t="s">
        <v>118</v>
      </c>
      <c r="B111" s="236">
        <v>69613175</v>
      </c>
      <c r="C111" s="237"/>
      <c r="E111">
        <f>+IFERROR(VLOOKUP(A111,'TB final'!$A$4:$J$808,7,),0)</f>
        <v>69613175</v>
      </c>
      <c r="F111">
        <f>+IFERROR(VLOOKUP(A111,'TB final'!$A$4:$J$808,10,),0)</f>
        <v>0</v>
      </c>
      <c r="H111" s="2">
        <f t="shared" si="3"/>
        <v>0</v>
      </c>
      <c r="I111" s="2">
        <f t="shared" si="4"/>
        <v>0</v>
      </c>
      <c r="J111" s="2">
        <f t="shared" si="5"/>
        <v>0</v>
      </c>
    </row>
    <row r="112" spans="1:10">
      <c r="A112" s="235" t="s">
        <v>119</v>
      </c>
      <c r="B112" s="236">
        <v>240223</v>
      </c>
      <c r="C112" s="237"/>
      <c r="E112">
        <f>+IFERROR(VLOOKUP(A112,'TB final'!$A$4:$J$808,7,),0)</f>
        <v>240223</v>
      </c>
      <c r="F112">
        <f>+IFERROR(VLOOKUP(A112,'TB final'!$A$4:$J$808,10,),0)</f>
        <v>0</v>
      </c>
      <c r="H112" s="2">
        <f t="shared" si="3"/>
        <v>0</v>
      </c>
      <c r="I112" s="2">
        <f t="shared" si="4"/>
        <v>0</v>
      </c>
      <c r="J112" s="2">
        <f t="shared" si="5"/>
        <v>0</v>
      </c>
    </row>
    <row r="113" spans="1:10">
      <c r="A113" s="235" t="s">
        <v>120</v>
      </c>
      <c r="B113" s="236">
        <v>50000</v>
      </c>
      <c r="C113" s="237"/>
      <c r="E113">
        <f>+IFERROR(VLOOKUP(A113,'TB final'!$A$4:$J$808,7,),0)</f>
        <v>50000</v>
      </c>
      <c r="F113">
        <f>+IFERROR(VLOOKUP(A113,'TB final'!$A$4:$J$808,10,),0)</f>
        <v>0</v>
      </c>
      <c r="H113" s="2">
        <f t="shared" si="3"/>
        <v>0</v>
      </c>
      <c r="I113" s="2">
        <f t="shared" si="4"/>
        <v>0</v>
      </c>
      <c r="J113" s="2">
        <f t="shared" si="5"/>
        <v>0</v>
      </c>
    </row>
    <row r="114" spans="1:10">
      <c r="A114" s="235" t="s">
        <v>121</v>
      </c>
      <c r="B114" s="236">
        <v>148357</v>
      </c>
      <c r="C114" s="237"/>
      <c r="E114">
        <f>+IFERROR(VLOOKUP(A114,'TB final'!$A$4:$J$808,7,),0)</f>
        <v>148357</v>
      </c>
      <c r="F114">
        <f>+IFERROR(VLOOKUP(A114,'TB final'!$A$4:$J$808,10,),0)</f>
        <v>0</v>
      </c>
      <c r="H114" s="2">
        <f t="shared" si="3"/>
        <v>0</v>
      </c>
      <c r="I114" s="2">
        <f t="shared" si="4"/>
        <v>0</v>
      </c>
      <c r="J114" s="2">
        <f t="shared" si="5"/>
        <v>0</v>
      </c>
    </row>
    <row r="115" spans="1:10">
      <c r="A115" s="235" t="s">
        <v>122</v>
      </c>
      <c r="B115" s="236">
        <v>3282001</v>
      </c>
      <c r="C115" s="237"/>
      <c r="E115">
        <f>+IFERROR(VLOOKUP(A115,'TB final'!$A$4:$J$808,7,),0)</f>
        <v>3282001</v>
      </c>
      <c r="F115">
        <f>+IFERROR(VLOOKUP(A115,'TB final'!$A$4:$J$808,10,),0)</f>
        <v>0</v>
      </c>
      <c r="H115" s="2">
        <f t="shared" si="3"/>
        <v>0</v>
      </c>
      <c r="I115" s="2">
        <f t="shared" si="4"/>
        <v>0</v>
      </c>
      <c r="J115" s="2">
        <f t="shared" si="5"/>
        <v>0</v>
      </c>
    </row>
    <row r="116" spans="1:10">
      <c r="A116" s="235" t="s">
        <v>123</v>
      </c>
      <c r="B116" s="237"/>
      <c r="C116" s="236">
        <v>387409</v>
      </c>
      <c r="E116">
        <f>+IFERROR(VLOOKUP(A116,'TB final'!$A$4:$J$808,7,),0)</f>
        <v>0</v>
      </c>
      <c r="F116">
        <f>+IFERROR(VLOOKUP(A116,'TB final'!$A$4:$J$808,10,),0)</f>
        <v>387409</v>
      </c>
      <c r="H116" s="2">
        <f t="shared" si="3"/>
        <v>0</v>
      </c>
      <c r="I116" s="2">
        <f t="shared" si="4"/>
        <v>0</v>
      </c>
      <c r="J116" s="2">
        <f t="shared" si="5"/>
        <v>0</v>
      </c>
    </row>
    <row r="117" spans="1:10">
      <c r="A117" s="235" t="s">
        <v>124</v>
      </c>
      <c r="B117" s="236">
        <v>250000</v>
      </c>
      <c r="C117" s="237"/>
      <c r="E117">
        <f>+IFERROR(VLOOKUP(A117,'TB final'!$A$4:$J$808,7,),0)</f>
        <v>250000</v>
      </c>
      <c r="F117">
        <f>+IFERROR(VLOOKUP(A117,'TB final'!$A$4:$J$808,10,),0)</f>
        <v>0</v>
      </c>
      <c r="H117" s="2">
        <f t="shared" si="3"/>
        <v>0</v>
      </c>
      <c r="I117" s="2">
        <f t="shared" si="4"/>
        <v>0</v>
      </c>
      <c r="J117" s="2">
        <f t="shared" si="5"/>
        <v>0</v>
      </c>
    </row>
    <row r="118" spans="1:10">
      <c r="A118" s="235" t="s">
        <v>125</v>
      </c>
      <c r="B118" s="236">
        <v>1767870</v>
      </c>
      <c r="C118" s="237"/>
      <c r="E118">
        <f>+IFERROR(VLOOKUP(A118,'TB final'!$A$4:$J$808,7,),0)</f>
        <v>1767870</v>
      </c>
      <c r="F118">
        <f>+IFERROR(VLOOKUP(A118,'TB final'!$A$4:$J$808,10,),0)</f>
        <v>0</v>
      </c>
      <c r="H118" s="2">
        <f t="shared" si="3"/>
        <v>0</v>
      </c>
      <c r="I118" s="2">
        <f t="shared" si="4"/>
        <v>0</v>
      </c>
      <c r="J118" s="2">
        <f t="shared" si="5"/>
        <v>0</v>
      </c>
    </row>
    <row r="119" spans="1:10">
      <c r="A119" s="235" t="s">
        <v>126</v>
      </c>
      <c r="B119" s="237"/>
      <c r="C119" s="236">
        <v>1231216</v>
      </c>
      <c r="E119">
        <f>+IFERROR(VLOOKUP(A119,'TB final'!$A$4:$J$808,7,),0)</f>
        <v>0</v>
      </c>
      <c r="F119">
        <f>+IFERROR(VLOOKUP(A119,'TB final'!$A$4:$J$808,10,),0)</f>
        <v>1231216</v>
      </c>
      <c r="H119" s="2">
        <f t="shared" si="3"/>
        <v>0</v>
      </c>
      <c r="I119" s="2">
        <f t="shared" si="4"/>
        <v>0</v>
      </c>
      <c r="J119" s="2">
        <f t="shared" si="5"/>
        <v>0</v>
      </c>
    </row>
    <row r="120" spans="1:10">
      <c r="A120" s="235" t="s">
        <v>127</v>
      </c>
      <c r="B120" s="236">
        <v>150805</v>
      </c>
      <c r="C120" s="237"/>
      <c r="E120">
        <f>+IFERROR(VLOOKUP(A120,'TB final'!$A$4:$J$808,7,),0)</f>
        <v>150805</v>
      </c>
      <c r="F120">
        <f>+IFERROR(VLOOKUP(A120,'TB final'!$A$4:$J$808,10,),0)</f>
        <v>0</v>
      </c>
      <c r="H120" s="2">
        <f t="shared" si="3"/>
        <v>0</v>
      </c>
      <c r="I120" s="2">
        <f t="shared" si="4"/>
        <v>0</v>
      </c>
      <c r="J120" s="2">
        <f t="shared" si="5"/>
        <v>0</v>
      </c>
    </row>
    <row r="121" spans="1:10">
      <c r="A121" s="235" t="s">
        <v>128</v>
      </c>
      <c r="B121" s="236">
        <v>33965000</v>
      </c>
      <c r="C121" s="237"/>
      <c r="E121">
        <f>+IFERROR(VLOOKUP(A121,'TB final'!$A$4:$J$808,7,),0)</f>
        <v>33965000</v>
      </c>
      <c r="F121">
        <f>+IFERROR(VLOOKUP(A121,'TB final'!$A$4:$J$808,10,),0)</f>
        <v>0</v>
      </c>
      <c r="H121" s="2">
        <f t="shared" si="3"/>
        <v>0</v>
      </c>
      <c r="I121" s="2">
        <f t="shared" si="4"/>
        <v>0</v>
      </c>
      <c r="J121" s="2">
        <f t="shared" si="5"/>
        <v>0</v>
      </c>
    </row>
    <row r="122" spans="1:10">
      <c r="A122" s="235" t="s">
        <v>129</v>
      </c>
      <c r="B122" s="236">
        <v>60</v>
      </c>
      <c r="C122" s="237"/>
      <c r="E122">
        <f>+IFERROR(VLOOKUP(A122,'TB final'!$A$4:$J$808,7,),0)</f>
        <v>60</v>
      </c>
      <c r="F122">
        <f>+IFERROR(VLOOKUP(A122,'TB final'!$A$4:$J$808,10,),0)</f>
        <v>0</v>
      </c>
      <c r="H122" s="2">
        <f t="shared" si="3"/>
        <v>0</v>
      </c>
      <c r="I122" s="2">
        <f t="shared" si="4"/>
        <v>0</v>
      </c>
      <c r="J122" s="2">
        <f t="shared" si="5"/>
        <v>0</v>
      </c>
    </row>
    <row r="123" spans="1:10">
      <c r="A123" s="235" t="s">
        <v>130</v>
      </c>
      <c r="B123" s="236">
        <v>1344196.03</v>
      </c>
      <c r="C123" s="237"/>
      <c r="E123">
        <f>+IFERROR(VLOOKUP(A123,'TB final'!$A$4:$J$808,7,),0)</f>
        <v>1344196.03</v>
      </c>
      <c r="F123">
        <f>+IFERROR(VLOOKUP(A123,'TB final'!$A$4:$J$808,10,),0)</f>
        <v>0</v>
      </c>
      <c r="H123" s="2">
        <f t="shared" si="3"/>
        <v>0</v>
      </c>
      <c r="I123" s="2">
        <f t="shared" si="4"/>
        <v>0</v>
      </c>
      <c r="J123" s="2">
        <f t="shared" si="5"/>
        <v>0</v>
      </c>
    </row>
    <row r="124" spans="1:10">
      <c r="A124" s="235" t="s">
        <v>131</v>
      </c>
      <c r="B124" s="237"/>
      <c r="C124" s="236">
        <v>2165420</v>
      </c>
      <c r="E124">
        <f>+IFERROR(VLOOKUP(A124,'TB final'!$A$4:$J$808,7,),0)</f>
        <v>0</v>
      </c>
      <c r="F124">
        <f>+IFERROR(VLOOKUP(A124,'TB final'!$A$4:$J$808,10,),0)</f>
        <v>2165420</v>
      </c>
      <c r="H124" s="2">
        <f t="shared" si="3"/>
        <v>0</v>
      </c>
      <c r="I124" s="2">
        <f t="shared" si="4"/>
        <v>0</v>
      </c>
      <c r="J124" s="2">
        <f t="shared" si="5"/>
        <v>0</v>
      </c>
    </row>
    <row r="125" spans="1:10">
      <c r="A125" s="235" t="s">
        <v>132</v>
      </c>
      <c r="B125" s="237"/>
      <c r="C125" s="236">
        <v>1800000</v>
      </c>
      <c r="E125">
        <f>+IFERROR(VLOOKUP(A125,'TB final'!$A$4:$J$808,7,),0)</f>
        <v>0</v>
      </c>
      <c r="F125">
        <f>+IFERROR(VLOOKUP(A125,'TB final'!$A$4:$J$808,10,),0)</f>
        <v>1800000</v>
      </c>
      <c r="H125" s="2">
        <f t="shared" si="3"/>
        <v>0</v>
      </c>
      <c r="I125" s="2">
        <f t="shared" si="4"/>
        <v>0</v>
      </c>
      <c r="J125" s="2">
        <f t="shared" si="5"/>
        <v>0</v>
      </c>
    </row>
    <row r="126" spans="1:10">
      <c r="A126" s="235" t="s">
        <v>925</v>
      </c>
      <c r="B126" s="237"/>
      <c r="C126" s="236">
        <v>13500</v>
      </c>
      <c r="E126">
        <f>+IFERROR(VLOOKUP(A126,'TB final'!$A$4:$J$808,7,),0)</f>
        <v>0</v>
      </c>
      <c r="F126">
        <f>+IFERROR(VLOOKUP(A126,'TB final'!$A$4:$J$808,10,),0)</f>
        <v>13500</v>
      </c>
      <c r="H126" s="2">
        <f t="shared" si="3"/>
        <v>0</v>
      </c>
      <c r="I126" s="2">
        <f t="shared" si="4"/>
        <v>0</v>
      </c>
      <c r="J126" s="2">
        <f t="shared" si="5"/>
        <v>0</v>
      </c>
    </row>
    <row r="127" spans="1:10">
      <c r="A127" s="235" t="s">
        <v>133</v>
      </c>
      <c r="B127" s="236">
        <v>927610</v>
      </c>
      <c r="C127" s="237"/>
      <c r="E127">
        <f>+IFERROR(VLOOKUP(A127,'TB final'!$A$4:$J$808,7,),0)</f>
        <v>927610</v>
      </c>
      <c r="F127">
        <f>+IFERROR(VLOOKUP(A127,'TB final'!$A$4:$J$808,10,),0)</f>
        <v>0</v>
      </c>
      <c r="H127" s="2">
        <f t="shared" si="3"/>
        <v>0</v>
      </c>
      <c r="I127" s="2">
        <f t="shared" si="4"/>
        <v>0</v>
      </c>
      <c r="J127" s="2">
        <f t="shared" si="5"/>
        <v>0</v>
      </c>
    </row>
    <row r="128" spans="1:10">
      <c r="A128" s="235" t="s">
        <v>134</v>
      </c>
      <c r="B128" s="236">
        <v>912232</v>
      </c>
      <c r="C128" s="237"/>
      <c r="E128">
        <f>+IFERROR(VLOOKUP(A128,'TB final'!$A$4:$J$808,7,),0)</f>
        <v>912232</v>
      </c>
      <c r="F128">
        <f>+IFERROR(VLOOKUP(A128,'TB final'!$A$4:$J$808,10,),0)</f>
        <v>0</v>
      </c>
      <c r="H128" s="2">
        <f t="shared" si="3"/>
        <v>0</v>
      </c>
      <c r="I128" s="2">
        <f t="shared" si="4"/>
        <v>0</v>
      </c>
      <c r="J128" s="2">
        <f t="shared" si="5"/>
        <v>0</v>
      </c>
    </row>
    <row r="129" spans="1:10">
      <c r="A129" s="235" t="s">
        <v>1826</v>
      </c>
      <c r="B129" s="236">
        <v>30000</v>
      </c>
      <c r="C129" s="237"/>
      <c r="E129">
        <f>+IFERROR(VLOOKUP(A129,'TB final'!$A$4:$J$808,7,),0)</f>
        <v>30000</v>
      </c>
      <c r="F129">
        <f>+IFERROR(VLOOKUP(A129,'TB final'!$A$4:$J$808,10,),0)</f>
        <v>0</v>
      </c>
      <c r="H129" s="2">
        <f t="shared" si="3"/>
        <v>0</v>
      </c>
      <c r="I129" s="2">
        <f t="shared" si="4"/>
        <v>0</v>
      </c>
      <c r="J129" s="2">
        <f t="shared" si="5"/>
        <v>0</v>
      </c>
    </row>
    <row r="130" spans="1:10">
      <c r="A130" s="235" t="s">
        <v>135</v>
      </c>
      <c r="B130" s="236">
        <v>18000</v>
      </c>
      <c r="C130" s="237"/>
      <c r="E130">
        <f>+IFERROR(VLOOKUP(A130,'TB final'!$A$4:$J$808,7,),0)</f>
        <v>18000</v>
      </c>
      <c r="F130">
        <f>+IFERROR(VLOOKUP(A130,'TB final'!$A$4:$J$808,10,),0)</f>
        <v>0</v>
      </c>
      <c r="H130" s="2">
        <f t="shared" si="3"/>
        <v>0</v>
      </c>
      <c r="I130" s="2">
        <f t="shared" si="4"/>
        <v>0</v>
      </c>
      <c r="J130" s="2">
        <f t="shared" si="5"/>
        <v>0</v>
      </c>
    </row>
    <row r="131" spans="1:10">
      <c r="A131" s="235" t="s">
        <v>136</v>
      </c>
      <c r="B131" s="237"/>
      <c r="C131" s="236">
        <v>1320768</v>
      </c>
      <c r="E131">
        <f>+IFERROR(VLOOKUP(A131,'TB final'!$A$4:$J$808,7,),0)</f>
        <v>0</v>
      </c>
      <c r="F131">
        <f>+IFERROR(VLOOKUP(A131,'TB final'!$A$4:$J$808,10,),0)</f>
        <v>1320768</v>
      </c>
      <c r="H131" s="2">
        <f t="shared" si="3"/>
        <v>0</v>
      </c>
      <c r="I131" s="2">
        <f t="shared" si="4"/>
        <v>0</v>
      </c>
      <c r="J131" s="2">
        <f t="shared" si="5"/>
        <v>0</v>
      </c>
    </row>
    <row r="132" spans="1:10">
      <c r="A132" s="235" t="s">
        <v>137</v>
      </c>
      <c r="B132" s="236">
        <v>15000</v>
      </c>
      <c r="C132" s="237"/>
      <c r="E132">
        <f>+IFERROR(VLOOKUP(A132,'TB final'!$A$4:$J$808,7,),0)</f>
        <v>15000</v>
      </c>
      <c r="F132">
        <f>+IFERROR(VLOOKUP(A132,'TB final'!$A$4:$J$808,10,),0)</f>
        <v>0</v>
      </c>
      <c r="H132" s="2">
        <f t="shared" si="3"/>
        <v>0</v>
      </c>
      <c r="I132" s="2">
        <f t="shared" si="4"/>
        <v>0</v>
      </c>
      <c r="J132" s="2">
        <f t="shared" si="5"/>
        <v>0</v>
      </c>
    </row>
    <row r="133" spans="1:10">
      <c r="A133" s="235" t="s">
        <v>138</v>
      </c>
      <c r="B133" s="236">
        <v>1200000</v>
      </c>
      <c r="C133" s="237"/>
      <c r="E133">
        <f>+IFERROR(VLOOKUP(A133,'TB final'!$A$4:$J$808,7,),0)</f>
        <v>1200000</v>
      </c>
      <c r="F133">
        <f>+IFERROR(VLOOKUP(A133,'TB final'!$A$4:$J$808,10,),0)</f>
        <v>0</v>
      </c>
      <c r="H133" s="2">
        <f t="shared" si="3"/>
        <v>0</v>
      </c>
      <c r="I133" s="2">
        <f t="shared" si="4"/>
        <v>0</v>
      </c>
      <c r="J133" s="2">
        <f t="shared" si="5"/>
        <v>0</v>
      </c>
    </row>
    <row r="134" spans="1:10">
      <c r="A134" s="235" t="s">
        <v>139</v>
      </c>
      <c r="B134" s="237"/>
      <c r="C134" s="236">
        <v>114473</v>
      </c>
      <c r="E134">
        <f>+IFERROR(VLOOKUP(A134,'TB final'!$A$4:$J$808,7,),0)</f>
        <v>0</v>
      </c>
      <c r="F134">
        <f>+IFERROR(VLOOKUP(A134,'TB final'!$A$4:$J$808,10,),0)</f>
        <v>114473</v>
      </c>
      <c r="H134" s="2">
        <f t="shared" si="3"/>
        <v>0</v>
      </c>
      <c r="I134" s="2">
        <f t="shared" si="4"/>
        <v>0</v>
      </c>
      <c r="J134" s="2">
        <f t="shared" si="5"/>
        <v>0</v>
      </c>
    </row>
    <row r="135" spans="1:10">
      <c r="A135" s="235" t="s">
        <v>140</v>
      </c>
      <c r="B135" s="236">
        <v>48000</v>
      </c>
      <c r="C135" s="237"/>
      <c r="E135">
        <f>+IFERROR(VLOOKUP(A135,'TB final'!$A$4:$J$808,7,),0)</f>
        <v>48000</v>
      </c>
      <c r="F135">
        <f>+IFERROR(VLOOKUP(A135,'TB final'!$A$4:$J$808,10,),0)</f>
        <v>0</v>
      </c>
      <c r="H135" s="2">
        <f t="shared" si="3"/>
        <v>0</v>
      </c>
      <c r="I135" s="2">
        <f t="shared" si="4"/>
        <v>0</v>
      </c>
      <c r="J135" s="2">
        <f t="shared" si="5"/>
        <v>0</v>
      </c>
    </row>
    <row r="136" spans="1:10">
      <c r="A136" s="235" t="s">
        <v>141</v>
      </c>
      <c r="B136" s="237"/>
      <c r="C136" s="236">
        <v>308166.59000000003</v>
      </c>
      <c r="E136">
        <f>+IFERROR(VLOOKUP(A136,'TB final'!$A$4:$J$808,7,),0)</f>
        <v>0</v>
      </c>
      <c r="F136">
        <f>+IFERROR(VLOOKUP(A136,'TB final'!$A$4:$J$808,10,),0)</f>
        <v>308166.59000000003</v>
      </c>
      <c r="H136" s="2">
        <f t="shared" si="3"/>
        <v>0</v>
      </c>
      <c r="I136" s="2">
        <f t="shared" si="4"/>
        <v>0</v>
      </c>
      <c r="J136" s="2">
        <f t="shared" si="5"/>
        <v>0</v>
      </c>
    </row>
    <row r="137" spans="1:10">
      <c r="A137" s="235" t="s">
        <v>142</v>
      </c>
      <c r="B137" s="236">
        <v>315731.11</v>
      </c>
      <c r="C137" s="237"/>
      <c r="E137">
        <f>+IFERROR(VLOOKUP(A137,'TB final'!$A$4:$J$808,7,),0)</f>
        <v>315731.11</v>
      </c>
      <c r="F137">
        <f>+IFERROR(VLOOKUP(A137,'TB final'!$A$4:$J$808,10,),0)</f>
        <v>0</v>
      </c>
      <c r="H137" s="2">
        <f t="shared" si="3"/>
        <v>0</v>
      </c>
      <c r="I137" s="2">
        <f t="shared" si="4"/>
        <v>0</v>
      </c>
      <c r="J137" s="2">
        <f t="shared" si="5"/>
        <v>0</v>
      </c>
    </row>
    <row r="138" spans="1:10">
      <c r="A138" s="235" t="s">
        <v>143</v>
      </c>
      <c r="B138" s="236">
        <v>300000</v>
      </c>
      <c r="C138" s="237"/>
      <c r="E138">
        <f>+IFERROR(VLOOKUP(A138,'TB final'!$A$4:$J$808,7,),0)</f>
        <v>300000</v>
      </c>
      <c r="F138">
        <f>+IFERROR(VLOOKUP(A138,'TB final'!$A$4:$J$808,10,),0)</f>
        <v>0</v>
      </c>
      <c r="H138" s="2">
        <f t="shared" si="3"/>
        <v>0</v>
      </c>
      <c r="I138" s="2">
        <f t="shared" si="4"/>
        <v>0</v>
      </c>
      <c r="J138" s="2">
        <f t="shared" si="5"/>
        <v>0</v>
      </c>
    </row>
    <row r="139" spans="1:10">
      <c r="A139" s="235" t="s">
        <v>144</v>
      </c>
      <c r="B139" s="236">
        <v>142111717</v>
      </c>
      <c r="C139" s="237"/>
      <c r="E139">
        <f>+IFERROR(VLOOKUP(A139,'TB final'!$A$4:$J$808,7,),0)</f>
        <v>142111717</v>
      </c>
      <c r="F139">
        <f>+IFERROR(VLOOKUP(A139,'TB final'!$A$4:$J$808,10,),0)</f>
        <v>0</v>
      </c>
      <c r="H139" s="2">
        <f t="shared" si="3"/>
        <v>0</v>
      </c>
      <c r="I139" s="2">
        <f t="shared" si="4"/>
        <v>0</v>
      </c>
      <c r="J139" s="2">
        <f t="shared" si="5"/>
        <v>0</v>
      </c>
    </row>
    <row r="140" spans="1:10">
      <c r="A140" s="235" t="s">
        <v>145</v>
      </c>
      <c r="B140" s="237"/>
      <c r="C140" s="236">
        <v>1486209</v>
      </c>
      <c r="E140">
        <f>+IFERROR(VLOOKUP(A140,'TB final'!$A$4:$J$808,7,),0)</f>
        <v>0</v>
      </c>
      <c r="F140">
        <f>+IFERROR(VLOOKUP(A140,'TB final'!$A$4:$J$808,10,),0)</f>
        <v>1486209</v>
      </c>
      <c r="H140" s="2">
        <f t="shared" si="3"/>
        <v>0</v>
      </c>
      <c r="I140" s="2">
        <f t="shared" si="4"/>
        <v>0</v>
      </c>
      <c r="J140" s="2">
        <f t="shared" si="5"/>
        <v>0</v>
      </c>
    </row>
    <row r="141" spans="1:10">
      <c r="A141" s="235" t="s">
        <v>146</v>
      </c>
      <c r="B141" s="236">
        <v>345100</v>
      </c>
      <c r="C141" s="237"/>
      <c r="E141">
        <f>+IFERROR(VLOOKUP(A141,'TB final'!$A$4:$J$808,7,),0)</f>
        <v>345100</v>
      </c>
      <c r="F141">
        <f>+IFERROR(VLOOKUP(A141,'TB final'!$A$4:$J$808,10,),0)</f>
        <v>0</v>
      </c>
      <c r="H141" s="2">
        <f t="shared" ref="H141:H204" si="6">+B141-E141</f>
        <v>0</v>
      </c>
      <c r="I141" s="2">
        <f t="shared" ref="I141:I204" si="7">+C141-F141</f>
        <v>0</v>
      </c>
      <c r="J141" s="2">
        <f t="shared" ref="J141:J204" si="8">+H141+I141</f>
        <v>0</v>
      </c>
    </row>
    <row r="142" spans="1:10">
      <c r="A142" s="235" t="s">
        <v>147</v>
      </c>
      <c r="B142" s="236">
        <v>1234315</v>
      </c>
      <c r="C142" s="237"/>
      <c r="E142">
        <f>+IFERROR(VLOOKUP(A142,'TB final'!$A$4:$J$808,7,),0)</f>
        <v>1234315</v>
      </c>
      <c r="F142">
        <f>+IFERROR(VLOOKUP(A142,'TB final'!$A$4:$J$808,10,),0)</f>
        <v>0</v>
      </c>
      <c r="H142" s="2">
        <f t="shared" si="6"/>
        <v>0</v>
      </c>
      <c r="I142" s="2">
        <f t="shared" si="7"/>
        <v>0</v>
      </c>
      <c r="J142" s="2">
        <f t="shared" si="8"/>
        <v>0</v>
      </c>
    </row>
    <row r="143" spans="1:10">
      <c r="A143" s="235" t="s">
        <v>148</v>
      </c>
      <c r="B143" s="236">
        <v>17190</v>
      </c>
      <c r="C143" s="237"/>
      <c r="E143">
        <f>+IFERROR(VLOOKUP(A143,'TB final'!$A$4:$J$808,7,),0)</f>
        <v>17190</v>
      </c>
      <c r="F143">
        <f>+IFERROR(VLOOKUP(A143,'TB final'!$A$4:$J$808,10,),0)</f>
        <v>0</v>
      </c>
      <c r="H143" s="2">
        <f t="shared" si="6"/>
        <v>0</v>
      </c>
      <c r="I143" s="2">
        <f t="shared" si="7"/>
        <v>0</v>
      </c>
      <c r="J143" s="2">
        <f t="shared" si="8"/>
        <v>0</v>
      </c>
    </row>
    <row r="144" spans="1:10">
      <c r="A144" s="235" t="s">
        <v>149</v>
      </c>
      <c r="B144" s="236">
        <v>88213</v>
      </c>
      <c r="C144" s="237"/>
      <c r="E144">
        <f>+IFERROR(VLOOKUP(A144,'TB final'!$A$4:$J$808,7,),0)</f>
        <v>88213</v>
      </c>
      <c r="F144">
        <f>+IFERROR(VLOOKUP(A144,'TB final'!$A$4:$J$808,10,),0)</f>
        <v>0</v>
      </c>
      <c r="H144" s="2">
        <f t="shared" si="6"/>
        <v>0</v>
      </c>
      <c r="I144" s="2">
        <f t="shared" si="7"/>
        <v>0</v>
      </c>
      <c r="J144" s="2">
        <f t="shared" si="8"/>
        <v>0</v>
      </c>
    </row>
    <row r="145" spans="1:10">
      <c r="A145" s="235" t="s">
        <v>150</v>
      </c>
      <c r="B145" s="237"/>
      <c r="C145" s="236">
        <v>708000</v>
      </c>
      <c r="E145">
        <f>+IFERROR(VLOOKUP(A145,'TB final'!$A$4:$J$808,7,),0)</f>
        <v>0</v>
      </c>
      <c r="F145">
        <f>+IFERROR(VLOOKUP(A145,'TB final'!$A$4:$J$808,10,),0)</f>
        <v>708000</v>
      </c>
      <c r="H145" s="2">
        <f t="shared" si="6"/>
        <v>0</v>
      </c>
      <c r="I145" s="2">
        <f t="shared" si="7"/>
        <v>0</v>
      </c>
      <c r="J145" s="2">
        <f t="shared" si="8"/>
        <v>0</v>
      </c>
    </row>
    <row r="146" spans="1:10">
      <c r="A146" s="235" t="s">
        <v>151</v>
      </c>
      <c r="B146" s="236">
        <v>200000</v>
      </c>
      <c r="C146" s="237"/>
      <c r="E146">
        <f>+IFERROR(VLOOKUP(A146,'TB final'!$A$4:$J$808,7,),0)</f>
        <v>200000</v>
      </c>
      <c r="F146">
        <f>+IFERROR(VLOOKUP(A146,'TB final'!$A$4:$J$808,10,),0)</f>
        <v>0</v>
      </c>
      <c r="H146" s="2">
        <f t="shared" si="6"/>
        <v>0</v>
      </c>
      <c r="I146" s="2">
        <f t="shared" si="7"/>
        <v>0</v>
      </c>
      <c r="J146" s="2">
        <f t="shared" si="8"/>
        <v>0</v>
      </c>
    </row>
    <row r="147" spans="1:10">
      <c r="A147" s="235" t="s">
        <v>152</v>
      </c>
      <c r="B147" s="237"/>
      <c r="C147" s="236">
        <v>266778</v>
      </c>
      <c r="E147">
        <f>+IFERROR(VLOOKUP(A147,'TB final'!$A$4:$J$808,7,),0)</f>
        <v>0</v>
      </c>
      <c r="F147">
        <f>+IFERROR(VLOOKUP(A147,'TB final'!$A$4:$J$808,10,),0)</f>
        <v>266778</v>
      </c>
      <c r="H147" s="2">
        <f t="shared" si="6"/>
        <v>0</v>
      </c>
      <c r="I147" s="2">
        <f t="shared" si="7"/>
        <v>0</v>
      </c>
      <c r="J147" s="2">
        <f t="shared" si="8"/>
        <v>0</v>
      </c>
    </row>
    <row r="148" spans="1:10">
      <c r="A148" s="235" t="s">
        <v>153</v>
      </c>
      <c r="B148" s="236">
        <v>369150</v>
      </c>
      <c r="C148" s="237"/>
      <c r="E148">
        <f>+IFERROR(VLOOKUP(A148,'TB final'!$A$4:$J$808,7,),0)</f>
        <v>369150</v>
      </c>
      <c r="F148">
        <f>+IFERROR(VLOOKUP(A148,'TB final'!$A$4:$J$808,10,),0)</f>
        <v>0</v>
      </c>
      <c r="H148" s="2">
        <f t="shared" si="6"/>
        <v>0</v>
      </c>
      <c r="I148" s="2">
        <f t="shared" si="7"/>
        <v>0</v>
      </c>
      <c r="J148" s="2">
        <f t="shared" si="8"/>
        <v>0</v>
      </c>
    </row>
    <row r="149" spans="1:10">
      <c r="A149" s="235" t="s">
        <v>154</v>
      </c>
      <c r="B149" s="236">
        <v>1140533</v>
      </c>
      <c r="C149" s="237"/>
      <c r="E149">
        <f>+IFERROR(VLOOKUP(A149,'TB final'!$A$4:$J$808,7,),0)</f>
        <v>1140533</v>
      </c>
      <c r="F149">
        <f>+IFERROR(VLOOKUP(A149,'TB final'!$A$4:$J$808,10,),0)</f>
        <v>0</v>
      </c>
      <c r="H149" s="2">
        <f t="shared" si="6"/>
        <v>0</v>
      </c>
      <c r="I149" s="2">
        <f t="shared" si="7"/>
        <v>0</v>
      </c>
      <c r="J149" s="2">
        <f t="shared" si="8"/>
        <v>0</v>
      </c>
    </row>
    <row r="150" spans="1:10">
      <c r="A150" s="235" t="s">
        <v>155</v>
      </c>
      <c r="B150" s="236">
        <v>6177</v>
      </c>
      <c r="C150" s="237"/>
      <c r="E150">
        <f>+IFERROR(VLOOKUP(A150,'TB final'!$A$4:$J$808,7,),0)</f>
        <v>6177</v>
      </c>
      <c r="F150">
        <f>+IFERROR(VLOOKUP(A150,'TB final'!$A$4:$J$808,10,),0)</f>
        <v>0</v>
      </c>
      <c r="H150" s="2">
        <f t="shared" si="6"/>
        <v>0</v>
      </c>
      <c r="I150" s="2">
        <f t="shared" si="7"/>
        <v>0</v>
      </c>
      <c r="J150" s="2">
        <f t="shared" si="8"/>
        <v>0</v>
      </c>
    </row>
    <row r="151" spans="1:10">
      <c r="A151" s="235" t="s">
        <v>156</v>
      </c>
      <c r="B151" s="236">
        <v>360609</v>
      </c>
      <c r="C151" s="237"/>
      <c r="E151">
        <f>+IFERROR(VLOOKUP(A151,'TB final'!$A$4:$J$808,7,),0)</f>
        <v>360609</v>
      </c>
      <c r="F151">
        <f>+IFERROR(VLOOKUP(A151,'TB final'!$A$4:$J$808,10,),0)</f>
        <v>0</v>
      </c>
      <c r="H151" s="2">
        <f t="shared" si="6"/>
        <v>0</v>
      </c>
      <c r="I151" s="2">
        <f t="shared" si="7"/>
        <v>0</v>
      </c>
      <c r="J151" s="2">
        <f t="shared" si="8"/>
        <v>0</v>
      </c>
    </row>
    <row r="152" spans="1:10">
      <c r="A152" s="235" t="s">
        <v>1666</v>
      </c>
      <c r="B152" s="236">
        <v>10320</v>
      </c>
      <c r="C152" s="237"/>
      <c r="E152">
        <f>+IFERROR(VLOOKUP(A152,'TB final'!$A$4:$J$808,7,),0)</f>
        <v>10320</v>
      </c>
      <c r="F152">
        <f>+IFERROR(VLOOKUP(A152,'TB final'!$A$4:$J$808,10,),0)</f>
        <v>0</v>
      </c>
      <c r="H152" s="2">
        <f t="shared" si="6"/>
        <v>0</v>
      </c>
      <c r="I152" s="2">
        <f t="shared" si="7"/>
        <v>0</v>
      </c>
      <c r="J152" s="2">
        <f t="shared" si="8"/>
        <v>0</v>
      </c>
    </row>
    <row r="153" spans="1:10">
      <c r="A153" s="235" t="s">
        <v>157</v>
      </c>
      <c r="B153" s="236">
        <v>579346</v>
      </c>
      <c r="C153" s="237"/>
      <c r="E153">
        <f>+IFERROR(VLOOKUP(A153,'TB final'!$A$4:$J$808,7,),0)</f>
        <v>579346</v>
      </c>
      <c r="F153">
        <f>+IFERROR(VLOOKUP(A153,'TB final'!$A$4:$J$808,10,),0)</f>
        <v>0</v>
      </c>
      <c r="H153" s="2">
        <f t="shared" si="6"/>
        <v>0</v>
      </c>
      <c r="I153" s="2">
        <f t="shared" si="7"/>
        <v>0</v>
      </c>
      <c r="J153" s="2">
        <f t="shared" si="8"/>
        <v>0</v>
      </c>
    </row>
    <row r="154" spans="1:10">
      <c r="A154" s="235" t="s">
        <v>158</v>
      </c>
      <c r="B154" s="237"/>
      <c r="C154" s="236">
        <v>160002.60999999999</v>
      </c>
      <c r="E154">
        <f>+IFERROR(VLOOKUP(A154,'TB final'!$A$4:$J$808,7,),0)</f>
        <v>0</v>
      </c>
      <c r="F154">
        <f>+IFERROR(VLOOKUP(A154,'TB final'!$A$4:$J$808,10,),0)</f>
        <v>160002.60999999999</v>
      </c>
      <c r="H154" s="2">
        <f t="shared" si="6"/>
        <v>0</v>
      </c>
      <c r="I154" s="2">
        <f t="shared" si="7"/>
        <v>0</v>
      </c>
      <c r="J154" s="2">
        <f t="shared" si="8"/>
        <v>0</v>
      </c>
    </row>
    <row r="155" spans="1:10">
      <c r="A155" s="235" t="s">
        <v>159</v>
      </c>
      <c r="B155" s="236">
        <v>115865.81</v>
      </c>
      <c r="C155" s="237"/>
      <c r="E155">
        <f>+IFERROR(VLOOKUP(A155,'TB final'!$A$4:$J$808,7,),0)</f>
        <v>115865.81</v>
      </c>
      <c r="F155">
        <f>+IFERROR(VLOOKUP(A155,'TB final'!$A$4:$J$808,10,),0)</f>
        <v>0</v>
      </c>
      <c r="H155" s="2">
        <f t="shared" si="6"/>
        <v>0</v>
      </c>
      <c r="I155" s="2">
        <f t="shared" si="7"/>
        <v>0</v>
      </c>
      <c r="J155" s="2">
        <f t="shared" si="8"/>
        <v>0</v>
      </c>
    </row>
    <row r="156" spans="1:10">
      <c r="A156" s="235" t="s">
        <v>160</v>
      </c>
      <c r="B156" s="236">
        <v>143075.34</v>
      </c>
      <c r="C156" s="237"/>
      <c r="E156">
        <f>+IFERROR(VLOOKUP(A156,'TB final'!$A$4:$J$808,7,),0)</f>
        <v>143075.34</v>
      </c>
      <c r="F156">
        <f>+IFERROR(VLOOKUP(A156,'TB final'!$A$4:$J$808,10,),0)</f>
        <v>0</v>
      </c>
      <c r="H156" s="2">
        <f t="shared" si="6"/>
        <v>0</v>
      </c>
      <c r="I156" s="2">
        <f t="shared" si="7"/>
        <v>0</v>
      </c>
      <c r="J156" s="2">
        <f t="shared" si="8"/>
        <v>0</v>
      </c>
    </row>
    <row r="157" spans="1:10">
      <c r="A157" s="235" t="s">
        <v>161</v>
      </c>
      <c r="B157" s="236">
        <v>28228</v>
      </c>
      <c r="C157" s="237"/>
      <c r="E157">
        <f>+IFERROR(VLOOKUP(A157,'TB final'!$A$4:$J$808,7,),0)</f>
        <v>28228</v>
      </c>
      <c r="F157">
        <f>+IFERROR(VLOOKUP(A157,'TB final'!$A$4:$J$808,10,),0)</f>
        <v>0</v>
      </c>
      <c r="H157" s="2">
        <f t="shared" si="6"/>
        <v>0</v>
      </c>
      <c r="I157" s="2">
        <f t="shared" si="7"/>
        <v>0</v>
      </c>
      <c r="J157" s="2">
        <f t="shared" si="8"/>
        <v>0</v>
      </c>
    </row>
    <row r="158" spans="1:10">
      <c r="A158" s="235" t="s">
        <v>162</v>
      </c>
      <c r="B158" s="236">
        <v>14597</v>
      </c>
      <c r="C158" s="237"/>
      <c r="E158">
        <f>+IFERROR(VLOOKUP(A158,'TB final'!$A$4:$J$808,7,),0)</f>
        <v>14597</v>
      </c>
      <c r="F158">
        <f>+IFERROR(VLOOKUP(A158,'TB final'!$A$4:$J$808,10,),0)</f>
        <v>0</v>
      </c>
      <c r="H158" s="2">
        <f t="shared" si="6"/>
        <v>0</v>
      </c>
      <c r="I158" s="2">
        <f t="shared" si="7"/>
        <v>0</v>
      </c>
      <c r="J158" s="2">
        <f t="shared" si="8"/>
        <v>0</v>
      </c>
    </row>
    <row r="159" spans="1:10">
      <c r="A159" s="235" t="s">
        <v>163</v>
      </c>
      <c r="B159" s="236">
        <v>948949</v>
      </c>
      <c r="C159" s="237"/>
      <c r="E159">
        <f>+IFERROR(VLOOKUP(A159,'TB final'!$A$4:$J$808,7,),0)</f>
        <v>948949</v>
      </c>
      <c r="F159">
        <f>+IFERROR(VLOOKUP(A159,'TB final'!$A$4:$J$808,10,),0)</f>
        <v>0</v>
      </c>
      <c r="H159" s="2">
        <f t="shared" si="6"/>
        <v>0</v>
      </c>
      <c r="I159" s="2">
        <f t="shared" si="7"/>
        <v>0</v>
      </c>
      <c r="J159" s="2">
        <f t="shared" si="8"/>
        <v>0</v>
      </c>
    </row>
    <row r="160" spans="1:10">
      <c r="A160" s="235" t="s">
        <v>164</v>
      </c>
      <c r="B160" s="236">
        <v>11403</v>
      </c>
      <c r="C160" s="237"/>
      <c r="E160">
        <f>+IFERROR(VLOOKUP(A160,'TB final'!$A$4:$J$808,7,),0)</f>
        <v>11403</v>
      </c>
      <c r="F160">
        <f>+IFERROR(VLOOKUP(A160,'TB final'!$A$4:$J$808,10,),0)</f>
        <v>0</v>
      </c>
      <c r="H160" s="2">
        <f t="shared" si="6"/>
        <v>0</v>
      </c>
      <c r="I160" s="2">
        <f t="shared" si="7"/>
        <v>0</v>
      </c>
      <c r="J160" s="2">
        <f t="shared" si="8"/>
        <v>0</v>
      </c>
    </row>
    <row r="161" spans="1:10">
      <c r="A161" s="235" t="s">
        <v>165</v>
      </c>
      <c r="B161" s="236">
        <v>154003</v>
      </c>
      <c r="C161" s="237"/>
      <c r="E161">
        <f>+IFERROR(VLOOKUP(A161,'TB final'!$A$4:$J$808,7,),0)</f>
        <v>154003</v>
      </c>
      <c r="F161">
        <f>+IFERROR(VLOOKUP(A161,'TB final'!$A$4:$J$808,10,),0)</f>
        <v>0</v>
      </c>
      <c r="H161" s="2">
        <f t="shared" si="6"/>
        <v>0</v>
      </c>
      <c r="I161" s="2">
        <f t="shared" si="7"/>
        <v>0</v>
      </c>
      <c r="J161" s="2">
        <f t="shared" si="8"/>
        <v>0</v>
      </c>
    </row>
    <row r="162" spans="1:10">
      <c r="A162" s="235" t="s">
        <v>166</v>
      </c>
      <c r="B162" s="236">
        <v>600</v>
      </c>
      <c r="C162" s="237"/>
      <c r="E162">
        <f>+IFERROR(VLOOKUP(A162,'TB final'!$A$4:$J$808,7,),0)</f>
        <v>600</v>
      </c>
      <c r="F162">
        <f>+IFERROR(VLOOKUP(A162,'TB final'!$A$4:$J$808,10,),0)</f>
        <v>0</v>
      </c>
      <c r="H162" s="2">
        <f t="shared" si="6"/>
        <v>0</v>
      </c>
      <c r="I162" s="2">
        <f t="shared" si="7"/>
        <v>0</v>
      </c>
      <c r="J162" s="2">
        <f t="shared" si="8"/>
        <v>0</v>
      </c>
    </row>
    <row r="163" spans="1:10">
      <c r="A163" s="235" t="s">
        <v>167</v>
      </c>
      <c r="B163" s="236">
        <v>2716</v>
      </c>
      <c r="C163" s="237"/>
      <c r="E163">
        <f>+IFERROR(VLOOKUP(A163,'TB final'!$A$4:$J$808,7,),0)</f>
        <v>2716</v>
      </c>
      <c r="F163">
        <f>+IFERROR(VLOOKUP(A163,'TB final'!$A$4:$J$808,10,),0)</f>
        <v>0</v>
      </c>
      <c r="H163" s="2">
        <f t="shared" si="6"/>
        <v>0</v>
      </c>
      <c r="I163" s="2">
        <f t="shared" si="7"/>
        <v>0</v>
      </c>
      <c r="J163" s="2">
        <f t="shared" si="8"/>
        <v>0</v>
      </c>
    </row>
    <row r="164" spans="1:10">
      <c r="A164" s="235" t="s">
        <v>168</v>
      </c>
      <c r="B164" s="236">
        <v>44863</v>
      </c>
      <c r="C164" s="237"/>
      <c r="E164">
        <f>+IFERROR(VLOOKUP(A164,'TB final'!$A$4:$J$808,7,),0)</f>
        <v>44863</v>
      </c>
      <c r="F164">
        <f>+IFERROR(VLOOKUP(A164,'TB final'!$A$4:$J$808,10,),0)</f>
        <v>0</v>
      </c>
      <c r="H164" s="2">
        <f t="shared" si="6"/>
        <v>0</v>
      </c>
      <c r="I164" s="2">
        <f t="shared" si="7"/>
        <v>0</v>
      </c>
      <c r="J164" s="2">
        <f t="shared" si="8"/>
        <v>0</v>
      </c>
    </row>
    <row r="165" spans="1:10">
      <c r="A165" s="235" t="s">
        <v>169</v>
      </c>
      <c r="B165" s="236">
        <v>8887</v>
      </c>
      <c r="C165" s="237"/>
      <c r="E165">
        <f>+IFERROR(VLOOKUP(A165,'TB final'!$A$4:$J$808,7,),0)</f>
        <v>8887</v>
      </c>
      <c r="F165">
        <f>+IFERROR(VLOOKUP(A165,'TB final'!$A$4:$J$808,10,),0)</f>
        <v>0</v>
      </c>
      <c r="H165" s="2">
        <f t="shared" si="6"/>
        <v>0</v>
      </c>
      <c r="I165" s="2">
        <f t="shared" si="7"/>
        <v>0</v>
      </c>
      <c r="J165" s="2">
        <f t="shared" si="8"/>
        <v>0</v>
      </c>
    </row>
    <row r="166" spans="1:10">
      <c r="A166" s="235" t="s">
        <v>170</v>
      </c>
      <c r="B166" s="236">
        <v>6791</v>
      </c>
      <c r="C166" s="237"/>
      <c r="E166">
        <f>+IFERROR(VLOOKUP(A166,'TB final'!$A$4:$J$808,7,),0)</f>
        <v>6791</v>
      </c>
      <c r="F166">
        <f>+IFERROR(VLOOKUP(A166,'TB final'!$A$4:$J$808,10,),0)</f>
        <v>0</v>
      </c>
      <c r="H166" s="2">
        <f t="shared" si="6"/>
        <v>0</v>
      </c>
      <c r="I166" s="2">
        <f t="shared" si="7"/>
        <v>0</v>
      </c>
      <c r="J166" s="2">
        <f t="shared" si="8"/>
        <v>0</v>
      </c>
    </row>
    <row r="167" spans="1:10">
      <c r="A167" s="235" t="s">
        <v>171</v>
      </c>
      <c r="B167" s="236">
        <v>11945</v>
      </c>
      <c r="C167" s="237"/>
      <c r="E167">
        <f>+IFERROR(VLOOKUP(A167,'TB final'!$A$4:$J$808,7,),0)</f>
        <v>11945</v>
      </c>
      <c r="F167">
        <f>+IFERROR(VLOOKUP(A167,'TB final'!$A$4:$J$808,10,),0)</f>
        <v>0</v>
      </c>
      <c r="H167" s="2">
        <f t="shared" si="6"/>
        <v>0</v>
      </c>
      <c r="I167" s="2">
        <f t="shared" si="7"/>
        <v>0</v>
      </c>
      <c r="J167" s="2">
        <f t="shared" si="8"/>
        <v>0</v>
      </c>
    </row>
    <row r="168" spans="1:10">
      <c r="A168" s="235" t="s">
        <v>172</v>
      </c>
      <c r="B168" s="236">
        <v>4146914</v>
      </c>
      <c r="C168" s="237"/>
      <c r="E168">
        <f>+IFERROR(VLOOKUP(A168,'TB final'!$A$4:$J$808,7,),0)</f>
        <v>4146914</v>
      </c>
      <c r="F168">
        <f>+IFERROR(VLOOKUP(A168,'TB final'!$A$4:$J$808,10,),0)</f>
        <v>0</v>
      </c>
      <c r="H168" s="2">
        <f t="shared" si="6"/>
        <v>0</v>
      </c>
      <c r="I168" s="2">
        <f t="shared" si="7"/>
        <v>0</v>
      </c>
      <c r="J168" s="2">
        <f t="shared" si="8"/>
        <v>0</v>
      </c>
    </row>
    <row r="169" spans="1:10">
      <c r="A169" s="235" t="s">
        <v>173</v>
      </c>
      <c r="B169" s="236">
        <v>193596</v>
      </c>
      <c r="C169" s="237"/>
      <c r="E169">
        <f>+IFERROR(VLOOKUP(A169,'TB final'!$A$4:$J$808,7,),0)</f>
        <v>193596</v>
      </c>
      <c r="F169">
        <f>+IFERROR(VLOOKUP(A169,'TB final'!$A$4:$J$808,10,),0)</f>
        <v>0</v>
      </c>
      <c r="H169" s="2">
        <f t="shared" si="6"/>
        <v>0</v>
      </c>
      <c r="I169" s="2">
        <f t="shared" si="7"/>
        <v>0</v>
      </c>
      <c r="J169" s="2">
        <f t="shared" si="8"/>
        <v>0</v>
      </c>
    </row>
    <row r="170" spans="1:10">
      <c r="A170" s="235" t="s">
        <v>174</v>
      </c>
      <c r="B170" s="236">
        <v>1795701</v>
      </c>
      <c r="C170" s="237"/>
      <c r="E170">
        <f>+IFERROR(VLOOKUP(A170,'TB final'!$A$4:$J$808,7,),0)</f>
        <v>1795701</v>
      </c>
      <c r="F170">
        <f>+IFERROR(VLOOKUP(A170,'TB final'!$A$4:$J$808,10,),0)</f>
        <v>0</v>
      </c>
      <c r="H170" s="2">
        <f t="shared" si="6"/>
        <v>0</v>
      </c>
      <c r="I170" s="2">
        <f t="shared" si="7"/>
        <v>0</v>
      </c>
      <c r="J170" s="2">
        <f t="shared" si="8"/>
        <v>0</v>
      </c>
    </row>
    <row r="171" spans="1:10">
      <c r="A171" s="235" t="s">
        <v>175</v>
      </c>
      <c r="B171" s="236">
        <v>200000</v>
      </c>
      <c r="C171" s="237"/>
      <c r="E171">
        <f>+IFERROR(VLOOKUP(A171,'TB final'!$A$4:$J$808,7,),0)</f>
        <v>200000</v>
      </c>
      <c r="F171">
        <f>+IFERROR(VLOOKUP(A171,'TB final'!$A$4:$J$808,10,),0)</f>
        <v>0</v>
      </c>
      <c r="H171" s="2">
        <f t="shared" si="6"/>
        <v>0</v>
      </c>
      <c r="I171" s="2">
        <f t="shared" si="7"/>
        <v>0</v>
      </c>
      <c r="J171" s="2">
        <f t="shared" si="8"/>
        <v>0</v>
      </c>
    </row>
    <row r="172" spans="1:10">
      <c r="A172" s="235" t="s">
        <v>176</v>
      </c>
      <c r="B172" s="237"/>
      <c r="C172" s="236">
        <v>5747563</v>
      </c>
      <c r="E172">
        <f>+IFERROR(VLOOKUP(A172,'TB final'!$A$4:$J$808,7,),0)</f>
        <v>0</v>
      </c>
      <c r="F172">
        <f>+IFERROR(VLOOKUP(A172,'TB final'!$A$4:$J$808,10,),0)</f>
        <v>5747563</v>
      </c>
      <c r="H172" s="2">
        <f t="shared" si="6"/>
        <v>0</v>
      </c>
      <c r="I172" s="2">
        <f t="shared" si="7"/>
        <v>0</v>
      </c>
      <c r="J172" s="2">
        <f t="shared" si="8"/>
        <v>0</v>
      </c>
    </row>
    <row r="173" spans="1:10">
      <c r="A173" s="235" t="s">
        <v>177</v>
      </c>
      <c r="B173" s="236">
        <v>488208</v>
      </c>
      <c r="C173" s="237"/>
      <c r="E173">
        <f>+IFERROR(VLOOKUP(A173,'TB final'!$A$4:$J$808,7,),0)</f>
        <v>488208</v>
      </c>
      <c r="F173">
        <f>+IFERROR(VLOOKUP(A173,'TB final'!$A$4:$J$808,10,),0)</f>
        <v>0</v>
      </c>
      <c r="H173" s="2">
        <f t="shared" si="6"/>
        <v>0</v>
      </c>
      <c r="I173" s="2">
        <f t="shared" si="7"/>
        <v>0</v>
      </c>
      <c r="J173" s="2">
        <f t="shared" si="8"/>
        <v>0</v>
      </c>
    </row>
    <row r="174" spans="1:10">
      <c r="A174" s="235" t="s">
        <v>178</v>
      </c>
      <c r="B174" s="236">
        <v>1310924</v>
      </c>
      <c r="C174" s="237"/>
      <c r="E174">
        <f>+IFERROR(VLOOKUP(A174,'TB final'!$A$4:$J$808,7,),0)</f>
        <v>1310924</v>
      </c>
      <c r="F174">
        <f>+IFERROR(VLOOKUP(A174,'TB final'!$A$4:$J$808,10,),0)</f>
        <v>0</v>
      </c>
      <c r="H174" s="2">
        <f t="shared" si="6"/>
        <v>0</v>
      </c>
      <c r="I174" s="2">
        <f t="shared" si="7"/>
        <v>0</v>
      </c>
      <c r="J174" s="2">
        <f t="shared" si="8"/>
        <v>0</v>
      </c>
    </row>
    <row r="175" spans="1:10">
      <c r="A175" s="235" t="s">
        <v>179</v>
      </c>
      <c r="B175" s="236">
        <v>20000</v>
      </c>
      <c r="C175" s="237"/>
      <c r="E175">
        <f>+IFERROR(VLOOKUP(A175,'TB final'!$A$4:$J$808,7,),0)</f>
        <v>20000</v>
      </c>
      <c r="F175">
        <f>+IFERROR(VLOOKUP(A175,'TB final'!$A$4:$J$808,10,),0)</f>
        <v>0</v>
      </c>
      <c r="H175" s="2">
        <f t="shared" si="6"/>
        <v>0</v>
      </c>
      <c r="I175" s="2">
        <f t="shared" si="7"/>
        <v>0</v>
      </c>
      <c r="J175" s="2">
        <f t="shared" si="8"/>
        <v>0</v>
      </c>
    </row>
    <row r="176" spans="1:10">
      <c r="A176" s="235" t="s">
        <v>180</v>
      </c>
      <c r="B176" s="237"/>
      <c r="C176" s="236">
        <v>828637</v>
      </c>
      <c r="E176">
        <f>+IFERROR(VLOOKUP(A176,'TB final'!$A$4:$J$808,7,),0)</f>
        <v>0</v>
      </c>
      <c r="F176">
        <f>+IFERROR(VLOOKUP(A176,'TB final'!$A$4:$J$808,10,),0)</f>
        <v>828637</v>
      </c>
      <c r="H176" s="2">
        <f t="shared" si="6"/>
        <v>0</v>
      </c>
      <c r="I176" s="2">
        <f t="shared" si="7"/>
        <v>0</v>
      </c>
      <c r="J176" s="2">
        <f t="shared" si="8"/>
        <v>0</v>
      </c>
    </row>
    <row r="177" spans="1:10">
      <c r="A177" s="235" t="s">
        <v>181</v>
      </c>
      <c r="B177" s="237"/>
      <c r="C177" s="236">
        <v>3790656</v>
      </c>
      <c r="E177">
        <f>+IFERROR(VLOOKUP(A177,'TB final'!$A$4:$J$808,7,),0)</f>
        <v>0</v>
      </c>
      <c r="F177">
        <f>+IFERROR(VLOOKUP(A177,'TB final'!$A$4:$J$808,10,),0)</f>
        <v>3790656</v>
      </c>
      <c r="H177" s="2">
        <f t="shared" si="6"/>
        <v>0</v>
      </c>
      <c r="I177" s="2">
        <f t="shared" si="7"/>
        <v>0</v>
      </c>
      <c r="J177" s="2">
        <f t="shared" si="8"/>
        <v>0</v>
      </c>
    </row>
    <row r="178" spans="1:10">
      <c r="A178" s="235" t="s">
        <v>182</v>
      </c>
      <c r="B178" s="237"/>
      <c r="C178" s="236">
        <v>17205005.399999999</v>
      </c>
      <c r="E178">
        <f>+IFERROR(VLOOKUP(A178,'TB final'!$A$4:$J$808,7,),0)</f>
        <v>0</v>
      </c>
      <c r="F178">
        <f>+IFERROR(VLOOKUP(A178,'TB final'!$A$4:$J$808,10,),0)</f>
        <v>17205005.399999999</v>
      </c>
      <c r="H178" s="2">
        <f t="shared" si="6"/>
        <v>0</v>
      </c>
      <c r="I178" s="2">
        <f t="shared" si="7"/>
        <v>0</v>
      </c>
      <c r="J178" s="2">
        <f t="shared" si="8"/>
        <v>0</v>
      </c>
    </row>
    <row r="179" spans="1:10">
      <c r="A179" s="235" t="s">
        <v>183</v>
      </c>
      <c r="B179" s="237"/>
      <c r="C179" s="236">
        <v>5788</v>
      </c>
      <c r="E179">
        <f>+IFERROR(VLOOKUP(A179,'TB final'!$A$4:$J$808,7,),0)</f>
        <v>0</v>
      </c>
      <c r="F179">
        <f>+IFERROR(VLOOKUP(A179,'TB final'!$A$4:$J$808,10,),0)</f>
        <v>5788</v>
      </c>
      <c r="H179" s="2">
        <f t="shared" si="6"/>
        <v>0</v>
      </c>
      <c r="I179" s="2">
        <f t="shared" si="7"/>
        <v>0</v>
      </c>
      <c r="J179" s="2">
        <f t="shared" si="8"/>
        <v>0</v>
      </c>
    </row>
    <row r="180" spans="1:10">
      <c r="A180" s="235" t="s">
        <v>184</v>
      </c>
      <c r="B180" s="236">
        <v>4945556</v>
      </c>
      <c r="C180" s="237"/>
      <c r="E180">
        <f>+IFERROR(VLOOKUP(A180,'TB final'!$A$4:$J$808,7,),0)</f>
        <v>4945556</v>
      </c>
      <c r="F180">
        <f>+IFERROR(VLOOKUP(A180,'TB final'!$A$4:$J$808,10,),0)</f>
        <v>0</v>
      </c>
      <c r="H180" s="2">
        <f t="shared" si="6"/>
        <v>0</v>
      </c>
      <c r="I180" s="2">
        <f t="shared" si="7"/>
        <v>0</v>
      </c>
      <c r="J180" s="2">
        <f t="shared" si="8"/>
        <v>0</v>
      </c>
    </row>
    <row r="181" spans="1:10">
      <c r="A181" s="235" t="s">
        <v>185</v>
      </c>
      <c r="B181" s="237"/>
      <c r="C181" s="236">
        <v>4130</v>
      </c>
      <c r="E181">
        <f>+IFERROR(VLOOKUP(A181,'TB final'!$A$4:$J$808,7,),0)</f>
        <v>0</v>
      </c>
      <c r="F181">
        <f>+IFERROR(VLOOKUP(A181,'TB final'!$A$4:$J$808,10,),0)</f>
        <v>4130</v>
      </c>
      <c r="H181" s="2">
        <f t="shared" si="6"/>
        <v>0</v>
      </c>
      <c r="I181" s="2">
        <f t="shared" si="7"/>
        <v>0</v>
      </c>
      <c r="J181" s="2">
        <f t="shared" si="8"/>
        <v>0</v>
      </c>
    </row>
    <row r="182" spans="1:10">
      <c r="A182" s="235" t="s">
        <v>186</v>
      </c>
      <c r="B182" s="236">
        <v>14000</v>
      </c>
      <c r="C182" s="237"/>
      <c r="E182">
        <f>+IFERROR(VLOOKUP(A182,'TB final'!$A$4:$J$808,7,),0)</f>
        <v>14000</v>
      </c>
      <c r="F182">
        <f>+IFERROR(VLOOKUP(A182,'TB final'!$A$4:$J$808,10,),0)</f>
        <v>0</v>
      </c>
      <c r="H182" s="2">
        <f t="shared" si="6"/>
        <v>0</v>
      </c>
      <c r="I182" s="2">
        <f t="shared" si="7"/>
        <v>0</v>
      </c>
      <c r="J182" s="2">
        <f t="shared" si="8"/>
        <v>0</v>
      </c>
    </row>
    <row r="183" spans="1:10">
      <c r="A183" s="235" t="s">
        <v>187</v>
      </c>
      <c r="B183" s="236">
        <v>13680</v>
      </c>
      <c r="C183" s="237"/>
      <c r="E183">
        <f>+IFERROR(VLOOKUP(A183,'TB final'!$A$4:$J$808,7,),0)</f>
        <v>13680</v>
      </c>
      <c r="F183">
        <f>+IFERROR(VLOOKUP(A183,'TB final'!$A$4:$J$808,10,),0)</f>
        <v>0</v>
      </c>
      <c r="H183" s="2">
        <f t="shared" si="6"/>
        <v>0</v>
      </c>
      <c r="I183" s="2">
        <f t="shared" si="7"/>
        <v>0</v>
      </c>
      <c r="J183" s="2">
        <f t="shared" si="8"/>
        <v>0</v>
      </c>
    </row>
    <row r="184" spans="1:10">
      <c r="A184" s="235" t="s">
        <v>188</v>
      </c>
      <c r="B184" s="236">
        <v>42218801</v>
      </c>
      <c r="C184" s="237"/>
      <c r="E184">
        <f>+IFERROR(VLOOKUP(A184,'TB final'!$A$4:$J$808,7,),0)</f>
        <v>42218801</v>
      </c>
      <c r="F184">
        <f>+IFERROR(VLOOKUP(A184,'TB final'!$A$4:$J$808,10,),0)</f>
        <v>0</v>
      </c>
      <c r="H184" s="2">
        <f t="shared" si="6"/>
        <v>0</v>
      </c>
      <c r="I184" s="2">
        <f t="shared" si="7"/>
        <v>0</v>
      </c>
      <c r="J184" s="2">
        <f t="shared" si="8"/>
        <v>0</v>
      </c>
    </row>
    <row r="185" spans="1:10">
      <c r="A185" s="235" t="s">
        <v>189</v>
      </c>
      <c r="B185" s="237"/>
      <c r="C185" s="236">
        <v>9742192</v>
      </c>
      <c r="E185">
        <f>+IFERROR(VLOOKUP(A185,'TB final'!$A$4:$J$808,7,),0)</f>
        <v>0</v>
      </c>
      <c r="F185">
        <f>+IFERROR(VLOOKUP(A185,'TB final'!$A$4:$J$808,10,),0)</f>
        <v>9742192</v>
      </c>
      <c r="H185" s="2">
        <f t="shared" si="6"/>
        <v>0</v>
      </c>
      <c r="I185" s="2">
        <f t="shared" si="7"/>
        <v>0</v>
      </c>
      <c r="J185" s="2">
        <f t="shared" si="8"/>
        <v>0</v>
      </c>
    </row>
    <row r="186" spans="1:10">
      <c r="A186" s="235" t="s">
        <v>190</v>
      </c>
      <c r="B186" s="236">
        <v>676</v>
      </c>
      <c r="C186" s="237"/>
      <c r="E186">
        <f>+IFERROR(VLOOKUP(A186,'TB final'!$A$4:$J$808,7,),0)</f>
        <v>676</v>
      </c>
      <c r="F186">
        <f>+IFERROR(VLOOKUP(A186,'TB final'!$A$4:$J$808,10,),0)</f>
        <v>0</v>
      </c>
      <c r="H186" s="2">
        <f t="shared" si="6"/>
        <v>0</v>
      </c>
      <c r="I186" s="2">
        <f t="shared" si="7"/>
        <v>0</v>
      </c>
      <c r="J186" s="2">
        <f t="shared" si="8"/>
        <v>0</v>
      </c>
    </row>
    <row r="187" spans="1:10">
      <c r="A187" s="235" t="s">
        <v>191</v>
      </c>
      <c r="B187" s="236">
        <v>221807</v>
      </c>
      <c r="C187" s="237"/>
      <c r="E187">
        <f>+IFERROR(VLOOKUP(A187,'TB final'!$A$4:$J$808,7,),0)</f>
        <v>221807</v>
      </c>
      <c r="F187">
        <f>+IFERROR(VLOOKUP(A187,'TB final'!$A$4:$J$808,10,),0)</f>
        <v>0</v>
      </c>
      <c r="H187" s="2">
        <f t="shared" si="6"/>
        <v>0</v>
      </c>
      <c r="I187" s="2">
        <f t="shared" si="7"/>
        <v>0</v>
      </c>
      <c r="J187" s="2">
        <f t="shared" si="8"/>
        <v>0</v>
      </c>
    </row>
    <row r="188" spans="1:10">
      <c r="A188" s="235" t="s">
        <v>192</v>
      </c>
      <c r="B188" s="237"/>
      <c r="C188" s="236">
        <v>221807</v>
      </c>
      <c r="E188">
        <f>+IFERROR(VLOOKUP(A188,'TB final'!$A$4:$J$808,7,),0)</f>
        <v>0</v>
      </c>
      <c r="F188">
        <f>+IFERROR(VLOOKUP(A188,'TB final'!$A$4:$J$808,10,),0)</f>
        <v>221807</v>
      </c>
      <c r="H188" s="2">
        <f t="shared" si="6"/>
        <v>0</v>
      </c>
      <c r="I188" s="2">
        <f t="shared" si="7"/>
        <v>0</v>
      </c>
      <c r="J188" s="2">
        <f t="shared" si="8"/>
        <v>0</v>
      </c>
    </row>
    <row r="189" spans="1:10">
      <c r="A189" s="235" t="s">
        <v>193</v>
      </c>
      <c r="B189" s="236">
        <v>470250</v>
      </c>
      <c r="C189" s="237"/>
      <c r="E189">
        <f>+IFERROR(VLOOKUP(A189,'TB final'!$A$4:$J$808,7,),0)</f>
        <v>470250</v>
      </c>
      <c r="F189">
        <f>+IFERROR(VLOOKUP(A189,'TB final'!$A$4:$J$808,10,),0)</f>
        <v>0</v>
      </c>
      <c r="H189" s="2">
        <f t="shared" si="6"/>
        <v>0</v>
      </c>
      <c r="I189" s="2">
        <f t="shared" si="7"/>
        <v>0</v>
      </c>
      <c r="J189" s="2">
        <f t="shared" si="8"/>
        <v>0</v>
      </c>
    </row>
    <row r="190" spans="1:10">
      <c r="A190" s="235" t="s">
        <v>194</v>
      </c>
      <c r="B190" s="237"/>
      <c r="C190" s="236">
        <v>44466</v>
      </c>
      <c r="E190">
        <f>+IFERROR(VLOOKUP(A190,'TB final'!$A$4:$J$808,7,),0)</f>
        <v>0</v>
      </c>
      <c r="F190">
        <f>+IFERROR(VLOOKUP(A190,'TB final'!$A$4:$J$808,10,),0)</f>
        <v>44466</v>
      </c>
      <c r="H190" s="2">
        <f t="shared" si="6"/>
        <v>0</v>
      </c>
      <c r="I190" s="2">
        <f t="shared" si="7"/>
        <v>0</v>
      </c>
      <c r="J190" s="2">
        <f t="shared" si="8"/>
        <v>0</v>
      </c>
    </row>
    <row r="191" spans="1:10">
      <c r="A191" s="235" t="s">
        <v>195</v>
      </c>
      <c r="B191" s="237"/>
      <c r="C191" s="236">
        <v>10694991.5</v>
      </c>
      <c r="E191">
        <f>+IFERROR(VLOOKUP(A191,'TB final'!$A$4:$J$808,7,),0)</f>
        <v>0</v>
      </c>
      <c r="F191">
        <f>+IFERROR(VLOOKUP(A191,'TB final'!$A$4:$J$808,10,),0)</f>
        <v>10694991.5</v>
      </c>
      <c r="H191" s="2">
        <f t="shared" si="6"/>
        <v>0</v>
      </c>
      <c r="I191" s="2">
        <f t="shared" si="7"/>
        <v>0</v>
      </c>
      <c r="J191" s="2">
        <f t="shared" si="8"/>
        <v>0</v>
      </c>
    </row>
    <row r="192" spans="1:10">
      <c r="A192" s="235" t="s">
        <v>196</v>
      </c>
      <c r="B192" s="236">
        <v>153090</v>
      </c>
      <c r="C192" s="237"/>
      <c r="E192">
        <f>+IFERROR(VLOOKUP(A192,'TB final'!$A$4:$J$808,7,),0)</f>
        <v>153090</v>
      </c>
      <c r="F192">
        <f>+IFERROR(VLOOKUP(A192,'TB final'!$A$4:$J$808,10,),0)</f>
        <v>0</v>
      </c>
      <c r="H192" s="2">
        <f t="shared" si="6"/>
        <v>0</v>
      </c>
      <c r="I192" s="2">
        <f t="shared" si="7"/>
        <v>0</v>
      </c>
      <c r="J192" s="2">
        <f t="shared" si="8"/>
        <v>0</v>
      </c>
    </row>
    <row r="193" spans="1:10">
      <c r="A193" s="235" t="s">
        <v>197</v>
      </c>
      <c r="B193" s="236">
        <v>1590159</v>
      </c>
      <c r="C193" s="237"/>
      <c r="E193">
        <f>+IFERROR(VLOOKUP(A193,'TB final'!$A$4:$J$808,7,),0)</f>
        <v>1590159</v>
      </c>
      <c r="F193">
        <f>+IFERROR(VLOOKUP(A193,'TB final'!$A$4:$J$808,10,),0)</f>
        <v>0</v>
      </c>
      <c r="H193" s="2">
        <f t="shared" si="6"/>
        <v>0</v>
      </c>
      <c r="I193" s="2">
        <f t="shared" si="7"/>
        <v>0</v>
      </c>
      <c r="J193" s="2">
        <f t="shared" si="8"/>
        <v>0</v>
      </c>
    </row>
    <row r="194" spans="1:10">
      <c r="A194" s="235" t="s">
        <v>198</v>
      </c>
      <c r="B194" s="236">
        <v>3724110.85</v>
      </c>
      <c r="C194" s="237"/>
      <c r="E194">
        <f>+IFERROR(VLOOKUP(A194,'TB final'!$A$4:$J$808,7,),0)</f>
        <v>3724110.85</v>
      </c>
      <c r="F194">
        <f>+IFERROR(VLOOKUP(A194,'TB final'!$A$4:$J$808,10,),0)</f>
        <v>0</v>
      </c>
      <c r="H194" s="2">
        <f t="shared" si="6"/>
        <v>0</v>
      </c>
      <c r="I194" s="2">
        <f t="shared" si="7"/>
        <v>0</v>
      </c>
      <c r="J194" s="2">
        <f t="shared" si="8"/>
        <v>0</v>
      </c>
    </row>
    <row r="195" spans="1:10">
      <c r="A195" s="235" t="s">
        <v>199</v>
      </c>
      <c r="B195" s="236">
        <v>308026.14</v>
      </c>
      <c r="C195" s="237"/>
      <c r="E195">
        <f>+IFERROR(VLOOKUP(A195,'TB final'!$A$4:$J$808,7,),0)</f>
        <v>308026.14</v>
      </c>
      <c r="F195">
        <f>+IFERROR(VLOOKUP(A195,'TB final'!$A$4:$J$808,10,),0)</f>
        <v>0</v>
      </c>
      <c r="H195" s="2">
        <f t="shared" si="6"/>
        <v>0</v>
      </c>
      <c r="I195" s="2">
        <f t="shared" si="7"/>
        <v>0</v>
      </c>
      <c r="J195" s="2">
        <f t="shared" si="8"/>
        <v>0</v>
      </c>
    </row>
    <row r="196" spans="1:10">
      <c r="A196" s="235" t="s">
        <v>200</v>
      </c>
      <c r="B196" s="236">
        <v>91778</v>
      </c>
      <c r="C196" s="237"/>
      <c r="E196">
        <f>+IFERROR(VLOOKUP(A196,'TB final'!$A$4:$J$808,7,),0)</f>
        <v>91778</v>
      </c>
      <c r="F196">
        <f>+IFERROR(VLOOKUP(A196,'TB final'!$A$4:$J$808,10,),0)</f>
        <v>0</v>
      </c>
      <c r="H196" s="2">
        <f t="shared" si="6"/>
        <v>0</v>
      </c>
      <c r="I196" s="2">
        <f t="shared" si="7"/>
        <v>0</v>
      </c>
      <c r="J196" s="2">
        <f t="shared" si="8"/>
        <v>0</v>
      </c>
    </row>
    <row r="197" spans="1:10">
      <c r="A197" s="235" t="s">
        <v>201</v>
      </c>
      <c r="B197" s="236">
        <v>5000</v>
      </c>
      <c r="C197" s="237"/>
      <c r="E197">
        <f>+IFERROR(VLOOKUP(A197,'TB final'!$A$4:$J$808,7,),0)</f>
        <v>5000</v>
      </c>
      <c r="F197">
        <f>+IFERROR(VLOOKUP(A197,'TB final'!$A$4:$J$808,10,),0)</f>
        <v>0</v>
      </c>
      <c r="H197" s="2">
        <f t="shared" si="6"/>
        <v>0</v>
      </c>
      <c r="I197" s="2">
        <f t="shared" si="7"/>
        <v>0</v>
      </c>
      <c r="J197" s="2">
        <f t="shared" si="8"/>
        <v>0</v>
      </c>
    </row>
    <row r="198" spans="1:10">
      <c r="A198" s="235" t="s">
        <v>202</v>
      </c>
      <c r="B198" s="237"/>
      <c r="C198" s="236">
        <v>4974989</v>
      </c>
      <c r="E198">
        <f>+IFERROR(VLOOKUP(A198,'TB final'!$A$4:$J$808,7,),0)</f>
        <v>0</v>
      </c>
      <c r="F198">
        <f>+IFERROR(VLOOKUP(A198,'TB final'!$A$4:$J$808,10,),0)</f>
        <v>4974989</v>
      </c>
      <c r="H198" s="2">
        <f t="shared" si="6"/>
        <v>0</v>
      </c>
      <c r="I198" s="2">
        <f t="shared" si="7"/>
        <v>0</v>
      </c>
      <c r="J198" s="2">
        <f t="shared" si="8"/>
        <v>0</v>
      </c>
    </row>
    <row r="199" spans="1:10">
      <c r="A199" s="235" t="s">
        <v>203</v>
      </c>
      <c r="B199" s="236">
        <v>39000</v>
      </c>
      <c r="C199" s="237"/>
      <c r="E199">
        <f>+IFERROR(VLOOKUP(A199,'TB final'!$A$4:$J$808,7,),0)</f>
        <v>39000</v>
      </c>
      <c r="F199">
        <f>+IFERROR(VLOOKUP(A199,'TB final'!$A$4:$J$808,10,),0)</f>
        <v>0</v>
      </c>
      <c r="H199" s="2">
        <f t="shared" si="6"/>
        <v>0</v>
      </c>
      <c r="I199" s="2">
        <f t="shared" si="7"/>
        <v>0</v>
      </c>
      <c r="J199" s="2">
        <f t="shared" si="8"/>
        <v>0</v>
      </c>
    </row>
    <row r="200" spans="1:10">
      <c r="A200" s="235" t="s">
        <v>204</v>
      </c>
      <c r="B200" s="236">
        <v>198462</v>
      </c>
      <c r="C200" s="237"/>
      <c r="E200">
        <f>+IFERROR(VLOOKUP(A200,'TB final'!$A$4:$J$808,7,),0)</f>
        <v>198462</v>
      </c>
      <c r="F200">
        <f>+IFERROR(VLOOKUP(A200,'TB final'!$A$4:$J$808,10,),0)</f>
        <v>0</v>
      </c>
      <c r="H200" s="2">
        <f t="shared" si="6"/>
        <v>0</v>
      </c>
      <c r="I200" s="2">
        <f t="shared" si="7"/>
        <v>0</v>
      </c>
      <c r="J200" s="2">
        <f t="shared" si="8"/>
        <v>0</v>
      </c>
    </row>
    <row r="201" spans="1:10">
      <c r="A201" s="235" t="s">
        <v>205</v>
      </c>
      <c r="B201" s="236">
        <v>550</v>
      </c>
      <c r="C201" s="237"/>
      <c r="E201">
        <f>+IFERROR(VLOOKUP(A201,'TB final'!$A$4:$J$808,7,),0)</f>
        <v>550</v>
      </c>
      <c r="F201">
        <f>+IFERROR(VLOOKUP(A201,'TB final'!$A$4:$J$808,10,),0)</f>
        <v>0</v>
      </c>
      <c r="H201" s="2">
        <f t="shared" si="6"/>
        <v>0</v>
      </c>
      <c r="I201" s="2">
        <f t="shared" si="7"/>
        <v>0</v>
      </c>
      <c r="J201" s="2">
        <f t="shared" si="8"/>
        <v>0</v>
      </c>
    </row>
    <row r="202" spans="1:10">
      <c r="A202" s="235" t="s">
        <v>1827</v>
      </c>
      <c r="B202" s="237"/>
      <c r="C202" s="236">
        <v>14868</v>
      </c>
      <c r="E202">
        <f>+IFERROR(VLOOKUP(A202,'TB final'!$A$4:$J$808,7,),0)</f>
        <v>0</v>
      </c>
      <c r="F202">
        <f>+IFERROR(VLOOKUP(A202,'TB final'!$A$4:$J$808,10,),0)</f>
        <v>14868</v>
      </c>
      <c r="H202" s="2">
        <f t="shared" si="6"/>
        <v>0</v>
      </c>
      <c r="I202" s="2">
        <f t="shared" si="7"/>
        <v>0</v>
      </c>
      <c r="J202" s="2">
        <f t="shared" si="8"/>
        <v>0</v>
      </c>
    </row>
    <row r="203" spans="1:10">
      <c r="A203" s="235" t="s">
        <v>206</v>
      </c>
      <c r="B203" s="236">
        <v>9000</v>
      </c>
      <c r="C203" s="237"/>
      <c r="E203">
        <f>+IFERROR(VLOOKUP(A203,'TB final'!$A$4:$J$808,7,),0)</f>
        <v>9000</v>
      </c>
      <c r="F203">
        <f>+IFERROR(VLOOKUP(A203,'TB final'!$A$4:$J$808,10,),0)</f>
        <v>0</v>
      </c>
      <c r="H203" s="2">
        <f t="shared" si="6"/>
        <v>0</v>
      </c>
      <c r="I203" s="2">
        <f t="shared" si="7"/>
        <v>0</v>
      </c>
      <c r="J203" s="2">
        <f t="shared" si="8"/>
        <v>0</v>
      </c>
    </row>
    <row r="204" spans="1:10">
      <c r="A204" s="235" t="s">
        <v>207</v>
      </c>
      <c r="B204" s="237"/>
      <c r="C204" s="236">
        <v>29358</v>
      </c>
      <c r="E204">
        <f>+IFERROR(VLOOKUP(A204,'TB final'!$A$4:$J$808,7,),0)</f>
        <v>0</v>
      </c>
      <c r="F204">
        <f>+IFERROR(VLOOKUP(A204,'TB final'!$A$4:$J$808,10,),0)</f>
        <v>29358</v>
      </c>
      <c r="H204" s="2">
        <f t="shared" si="6"/>
        <v>0</v>
      </c>
      <c r="I204" s="2">
        <f t="shared" si="7"/>
        <v>0</v>
      </c>
      <c r="J204" s="2">
        <f t="shared" si="8"/>
        <v>0</v>
      </c>
    </row>
    <row r="205" spans="1:10">
      <c r="A205" s="235" t="s">
        <v>208</v>
      </c>
      <c r="B205" s="237"/>
      <c r="C205" s="236">
        <v>5161</v>
      </c>
      <c r="E205">
        <f>+IFERROR(VLOOKUP(A205,'TB final'!$A$4:$J$808,7,),0)</f>
        <v>0</v>
      </c>
      <c r="F205">
        <f>+IFERROR(VLOOKUP(A205,'TB final'!$A$4:$J$808,10,),0)</f>
        <v>5161</v>
      </c>
      <c r="H205" s="2">
        <f t="shared" ref="H205:H268" si="9">+B205-E205</f>
        <v>0</v>
      </c>
      <c r="I205" s="2">
        <f t="shared" ref="I205:I268" si="10">+C205-F205</f>
        <v>0</v>
      </c>
      <c r="J205" s="2">
        <f t="shared" ref="J205:J268" si="11">+H205+I205</f>
        <v>0</v>
      </c>
    </row>
    <row r="206" spans="1:10">
      <c r="A206" s="235" t="s">
        <v>209</v>
      </c>
      <c r="B206" s="236">
        <v>53000</v>
      </c>
      <c r="C206" s="237"/>
      <c r="E206">
        <f>+IFERROR(VLOOKUP(A206,'TB final'!$A$4:$J$808,7,),0)</f>
        <v>53000</v>
      </c>
      <c r="F206">
        <f>+IFERROR(VLOOKUP(A206,'TB final'!$A$4:$J$808,10,),0)</f>
        <v>0</v>
      </c>
      <c r="H206" s="2">
        <f t="shared" si="9"/>
        <v>0</v>
      </c>
      <c r="I206" s="2">
        <f t="shared" si="10"/>
        <v>0</v>
      </c>
      <c r="J206" s="2">
        <f t="shared" si="11"/>
        <v>0</v>
      </c>
    </row>
    <row r="207" spans="1:10">
      <c r="A207" s="235" t="s">
        <v>210</v>
      </c>
      <c r="B207" s="236">
        <v>1389464</v>
      </c>
      <c r="C207" s="237"/>
      <c r="E207">
        <f>+IFERROR(VLOOKUP(A207,'TB final'!$A$4:$J$808,7,),0)</f>
        <v>1389464</v>
      </c>
      <c r="F207">
        <f>+IFERROR(VLOOKUP(A207,'TB final'!$A$4:$J$808,10,),0)</f>
        <v>0</v>
      </c>
      <c r="H207" s="2">
        <f t="shared" si="9"/>
        <v>0</v>
      </c>
      <c r="I207" s="2">
        <f t="shared" si="10"/>
        <v>0</v>
      </c>
      <c r="J207" s="2">
        <f t="shared" si="11"/>
        <v>0</v>
      </c>
    </row>
    <row r="208" spans="1:10">
      <c r="A208" s="235" t="s">
        <v>211</v>
      </c>
      <c r="B208" s="236">
        <v>9000</v>
      </c>
      <c r="C208" s="237"/>
      <c r="E208">
        <f>+IFERROR(VLOOKUP(A208,'TB final'!$A$4:$J$808,7,),0)</f>
        <v>9000</v>
      </c>
      <c r="F208">
        <f>+IFERROR(VLOOKUP(A208,'TB final'!$A$4:$J$808,10,),0)</f>
        <v>0</v>
      </c>
      <c r="H208" s="2">
        <f t="shared" si="9"/>
        <v>0</v>
      </c>
      <c r="I208" s="2">
        <f t="shared" si="10"/>
        <v>0</v>
      </c>
      <c r="J208" s="2">
        <f t="shared" si="11"/>
        <v>0</v>
      </c>
    </row>
    <row r="209" spans="1:10">
      <c r="A209" s="235" t="s">
        <v>212</v>
      </c>
      <c r="B209" s="236">
        <v>62000</v>
      </c>
      <c r="C209" s="237"/>
      <c r="E209">
        <f>+IFERROR(VLOOKUP(A209,'TB final'!$A$4:$J$808,7,),0)</f>
        <v>62000</v>
      </c>
      <c r="F209">
        <f>+IFERROR(VLOOKUP(A209,'TB final'!$A$4:$J$808,10,),0)</f>
        <v>0</v>
      </c>
      <c r="H209" s="2">
        <f t="shared" si="9"/>
        <v>0</v>
      </c>
      <c r="I209" s="2">
        <f t="shared" si="10"/>
        <v>0</v>
      </c>
      <c r="J209" s="2">
        <f t="shared" si="11"/>
        <v>0</v>
      </c>
    </row>
    <row r="210" spans="1:10">
      <c r="A210" s="235" t="s">
        <v>215</v>
      </c>
      <c r="B210" s="236">
        <v>136800</v>
      </c>
      <c r="C210" s="237"/>
      <c r="E210">
        <f>+IFERROR(VLOOKUP(A210,'TB final'!$A$4:$J$808,7,),0)</f>
        <v>136800</v>
      </c>
      <c r="F210">
        <f>+IFERROR(VLOOKUP(A210,'TB final'!$A$4:$J$808,10,),0)</f>
        <v>0</v>
      </c>
      <c r="H210" s="2">
        <f t="shared" si="9"/>
        <v>0</v>
      </c>
      <c r="I210" s="2">
        <f t="shared" si="10"/>
        <v>0</v>
      </c>
      <c r="J210" s="2">
        <f t="shared" si="11"/>
        <v>0</v>
      </c>
    </row>
    <row r="211" spans="1:10">
      <c r="A211" s="235" t="s">
        <v>216</v>
      </c>
      <c r="B211" s="236">
        <v>90200</v>
      </c>
      <c r="C211" s="237"/>
      <c r="E211">
        <f>+IFERROR(VLOOKUP(A211,'TB final'!$A$4:$J$808,7,),0)</f>
        <v>90200</v>
      </c>
      <c r="F211">
        <f>+IFERROR(VLOOKUP(A211,'TB final'!$A$4:$J$808,10,),0)</f>
        <v>0</v>
      </c>
      <c r="H211" s="2">
        <f t="shared" si="9"/>
        <v>0</v>
      </c>
      <c r="I211" s="2">
        <f t="shared" si="10"/>
        <v>0</v>
      </c>
      <c r="J211" s="2">
        <f t="shared" si="11"/>
        <v>0</v>
      </c>
    </row>
    <row r="212" spans="1:10">
      <c r="A212" s="235" t="s">
        <v>217</v>
      </c>
      <c r="B212" s="236">
        <v>1123742.8799999999</v>
      </c>
      <c r="C212" s="237"/>
      <c r="E212">
        <f>+IFERROR(VLOOKUP(A212,'TB final'!$A$4:$J$808,7,),0)</f>
        <v>1123742.8799999999</v>
      </c>
      <c r="F212">
        <f>+IFERROR(VLOOKUP(A212,'TB final'!$A$4:$J$808,10,),0)</f>
        <v>0</v>
      </c>
      <c r="H212" s="2">
        <f t="shared" si="9"/>
        <v>0</v>
      </c>
      <c r="I212" s="2">
        <f t="shared" si="10"/>
        <v>0</v>
      </c>
      <c r="J212" s="2">
        <f t="shared" si="11"/>
        <v>0</v>
      </c>
    </row>
    <row r="213" spans="1:10">
      <c r="A213" s="235" t="s">
        <v>218</v>
      </c>
      <c r="B213" s="236">
        <v>59557.440000000002</v>
      </c>
      <c r="C213" s="237"/>
      <c r="E213">
        <f>+IFERROR(VLOOKUP(A213,'TB final'!$A$4:$J$808,7,),0)</f>
        <v>59557.440000000002</v>
      </c>
      <c r="F213">
        <f>+IFERROR(VLOOKUP(A213,'TB final'!$A$4:$J$808,10,),0)</f>
        <v>0</v>
      </c>
      <c r="H213" s="2">
        <f t="shared" si="9"/>
        <v>0</v>
      </c>
      <c r="I213" s="2">
        <f t="shared" si="10"/>
        <v>0</v>
      </c>
      <c r="J213" s="2">
        <f t="shared" si="11"/>
        <v>0</v>
      </c>
    </row>
    <row r="214" spans="1:10">
      <c r="A214" s="235" t="s">
        <v>219</v>
      </c>
      <c r="B214" s="236">
        <v>420000</v>
      </c>
      <c r="C214" s="237"/>
      <c r="E214">
        <f>+IFERROR(VLOOKUP(A214,'TB final'!$A$4:$J$808,7,),0)</f>
        <v>420000</v>
      </c>
      <c r="F214">
        <f>+IFERROR(VLOOKUP(A214,'TB final'!$A$4:$J$808,10,),0)</f>
        <v>0</v>
      </c>
      <c r="H214" s="2">
        <f t="shared" si="9"/>
        <v>0</v>
      </c>
      <c r="I214" s="2">
        <f t="shared" si="10"/>
        <v>0</v>
      </c>
      <c r="J214" s="2">
        <f t="shared" si="11"/>
        <v>0</v>
      </c>
    </row>
    <row r="215" spans="1:10">
      <c r="A215" s="235" t="s">
        <v>220</v>
      </c>
      <c r="B215" s="236">
        <v>54503</v>
      </c>
      <c r="C215" s="237"/>
      <c r="E215">
        <f>+IFERROR(VLOOKUP(A215,'TB final'!$A$4:$J$808,7,),0)</f>
        <v>54503</v>
      </c>
      <c r="F215">
        <f>+IFERROR(VLOOKUP(A215,'TB final'!$A$4:$J$808,10,),0)</f>
        <v>0</v>
      </c>
      <c r="H215" s="2">
        <f t="shared" si="9"/>
        <v>0</v>
      </c>
      <c r="I215" s="2">
        <f t="shared" si="10"/>
        <v>0</v>
      </c>
      <c r="J215" s="2">
        <f t="shared" si="11"/>
        <v>0</v>
      </c>
    </row>
    <row r="216" spans="1:10">
      <c r="A216" s="235" t="s">
        <v>221</v>
      </c>
      <c r="B216" s="236">
        <v>20000</v>
      </c>
      <c r="C216" s="237"/>
      <c r="E216">
        <f>+IFERROR(VLOOKUP(A216,'TB final'!$A$4:$J$808,7,),0)</f>
        <v>20000</v>
      </c>
      <c r="F216">
        <f>+IFERROR(VLOOKUP(A216,'TB final'!$A$4:$J$808,10,),0)</f>
        <v>0</v>
      </c>
      <c r="H216" s="2">
        <f t="shared" si="9"/>
        <v>0</v>
      </c>
      <c r="I216" s="2">
        <f t="shared" si="10"/>
        <v>0</v>
      </c>
      <c r="J216" s="2">
        <f t="shared" si="11"/>
        <v>0</v>
      </c>
    </row>
    <row r="217" spans="1:10">
      <c r="A217" s="235" t="s">
        <v>222</v>
      </c>
      <c r="B217" s="236">
        <v>359743</v>
      </c>
      <c r="C217" s="237"/>
      <c r="E217">
        <f>+IFERROR(VLOOKUP(A217,'TB final'!$A$4:$J$808,7,),0)</f>
        <v>359743</v>
      </c>
      <c r="F217">
        <f>+IFERROR(VLOOKUP(A217,'TB final'!$A$4:$J$808,10,),0)</f>
        <v>0</v>
      </c>
      <c r="H217" s="2">
        <f t="shared" si="9"/>
        <v>0</v>
      </c>
      <c r="I217" s="2">
        <f t="shared" si="10"/>
        <v>0</v>
      </c>
      <c r="J217" s="2">
        <f t="shared" si="11"/>
        <v>0</v>
      </c>
    </row>
    <row r="218" spans="1:10">
      <c r="A218" s="235" t="s">
        <v>223</v>
      </c>
      <c r="B218" s="237"/>
      <c r="C218" s="236">
        <v>82682</v>
      </c>
      <c r="E218">
        <f>+IFERROR(VLOOKUP(A218,'TB final'!$A$4:$J$808,7,),0)</f>
        <v>0</v>
      </c>
      <c r="F218">
        <f>+IFERROR(VLOOKUP(A218,'TB final'!$A$4:$J$808,10,),0)</f>
        <v>82682</v>
      </c>
      <c r="H218" s="2">
        <f t="shared" si="9"/>
        <v>0</v>
      </c>
      <c r="I218" s="2">
        <f t="shared" si="10"/>
        <v>0</v>
      </c>
      <c r="J218" s="2">
        <f t="shared" si="11"/>
        <v>0</v>
      </c>
    </row>
    <row r="219" spans="1:10">
      <c r="A219" s="235" t="s">
        <v>224</v>
      </c>
      <c r="B219" s="236">
        <v>21740</v>
      </c>
      <c r="C219" s="237"/>
      <c r="E219">
        <f>+IFERROR(VLOOKUP(A219,'TB final'!$A$4:$J$808,7,),0)</f>
        <v>21740</v>
      </c>
      <c r="F219">
        <f>+IFERROR(VLOOKUP(A219,'TB final'!$A$4:$J$808,10,),0)</f>
        <v>0</v>
      </c>
      <c r="H219" s="2">
        <f t="shared" si="9"/>
        <v>0</v>
      </c>
      <c r="I219" s="2">
        <f t="shared" si="10"/>
        <v>0</v>
      </c>
      <c r="J219" s="2">
        <f t="shared" si="11"/>
        <v>0</v>
      </c>
    </row>
    <row r="220" spans="1:10">
      <c r="A220" s="235" t="s">
        <v>225</v>
      </c>
      <c r="B220" s="236">
        <v>3400</v>
      </c>
      <c r="C220" s="237"/>
      <c r="E220">
        <f>+IFERROR(VLOOKUP(A220,'TB final'!$A$4:$J$808,7,),0)</f>
        <v>3400</v>
      </c>
      <c r="F220">
        <f>+IFERROR(VLOOKUP(A220,'TB final'!$A$4:$J$808,10,),0)</f>
        <v>0</v>
      </c>
      <c r="H220" s="2">
        <f t="shared" si="9"/>
        <v>0</v>
      </c>
      <c r="I220" s="2">
        <f t="shared" si="10"/>
        <v>0</v>
      </c>
      <c r="J220" s="2">
        <f t="shared" si="11"/>
        <v>0</v>
      </c>
    </row>
    <row r="221" spans="1:10">
      <c r="A221" s="235" t="s">
        <v>226</v>
      </c>
      <c r="B221" s="236">
        <v>5609421</v>
      </c>
      <c r="C221" s="237"/>
      <c r="E221">
        <f>+IFERROR(VLOOKUP(A221,'TB final'!$A$4:$J$808,7,),0)</f>
        <v>5609421</v>
      </c>
      <c r="F221">
        <f>+IFERROR(VLOOKUP(A221,'TB final'!$A$4:$J$808,10,),0)</f>
        <v>0</v>
      </c>
      <c r="H221" s="2">
        <f t="shared" si="9"/>
        <v>0</v>
      </c>
      <c r="I221" s="2">
        <f t="shared" si="10"/>
        <v>0</v>
      </c>
      <c r="J221" s="2">
        <f t="shared" si="11"/>
        <v>0</v>
      </c>
    </row>
    <row r="222" spans="1:10">
      <c r="A222" s="235" t="s">
        <v>227</v>
      </c>
      <c r="B222" s="236">
        <v>3050</v>
      </c>
      <c r="C222" s="237"/>
      <c r="E222">
        <f>+IFERROR(VLOOKUP(A222,'TB final'!$A$4:$J$808,7,),0)</f>
        <v>3050</v>
      </c>
      <c r="F222">
        <f>+IFERROR(VLOOKUP(A222,'TB final'!$A$4:$J$808,10,),0)</f>
        <v>0</v>
      </c>
      <c r="H222" s="2">
        <f t="shared" si="9"/>
        <v>0</v>
      </c>
      <c r="I222" s="2">
        <f t="shared" si="10"/>
        <v>0</v>
      </c>
      <c r="J222" s="2">
        <f t="shared" si="11"/>
        <v>0</v>
      </c>
    </row>
    <row r="223" spans="1:10">
      <c r="A223" s="235" t="s">
        <v>1148</v>
      </c>
      <c r="B223" s="237"/>
      <c r="C223" s="236">
        <v>1104075</v>
      </c>
      <c r="E223">
        <f>+IFERROR(VLOOKUP(A223,'TB final'!$A$4:$J$808,7,),0)</f>
        <v>0</v>
      </c>
      <c r="F223">
        <f>+IFERROR(VLOOKUP(A223,'TB final'!$A$4:$J$808,10,),0)</f>
        <v>1104075</v>
      </c>
      <c r="H223" s="2">
        <f t="shared" si="9"/>
        <v>0</v>
      </c>
      <c r="I223" s="2">
        <f t="shared" si="10"/>
        <v>0</v>
      </c>
      <c r="J223" s="2">
        <f t="shared" si="11"/>
        <v>0</v>
      </c>
    </row>
    <row r="224" spans="1:10">
      <c r="A224" s="235" t="s">
        <v>228</v>
      </c>
      <c r="B224" s="236">
        <v>175062.8</v>
      </c>
      <c r="C224" s="237"/>
      <c r="E224">
        <f>+IFERROR(VLOOKUP(A224,'TB final'!$A$4:$J$808,7,),0)</f>
        <v>175062.8</v>
      </c>
      <c r="F224">
        <f>+IFERROR(VLOOKUP(A224,'TB final'!$A$4:$J$808,10,),0)</f>
        <v>0</v>
      </c>
      <c r="H224" s="2">
        <f t="shared" si="9"/>
        <v>0</v>
      </c>
      <c r="I224" s="2">
        <f t="shared" si="10"/>
        <v>0</v>
      </c>
      <c r="J224" s="2">
        <f t="shared" si="11"/>
        <v>0</v>
      </c>
    </row>
    <row r="225" spans="1:10">
      <c r="A225" s="235" t="s">
        <v>230</v>
      </c>
      <c r="B225" s="237"/>
      <c r="C225" s="236">
        <v>393392</v>
      </c>
      <c r="E225">
        <f>+IFERROR(VLOOKUP(A225,'TB final'!$A$4:$J$808,7,),0)</f>
        <v>0</v>
      </c>
      <c r="F225">
        <f>+IFERROR(VLOOKUP(A225,'TB final'!$A$4:$J$808,10,),0)</f>
        <v>393392</v>
      </c>
      <c r="H225" s="2">
        <f t="shared" si="9"/>
        <v>0</v>
      </c>
      <c r="I225" s="2">
        <f t="shared" si="10"/>
        <v>0</v>
      </c>
      <c r="J225" s="2">
        <f t="shared" si="11"/>
        <v>0</v>
      </c>
    </row>
    <row r="226" spans="1:10">
      <c r="A226" s="235" t="s">
        <v>231</v>
      </c>
      <c r="B226" s="236">
        <v>9088041.2200000007</v>
      </c>
      <c r="C226" s="237"/>
      <c r="E226">
        <f>+IFERROR(VLOOKUP(A226,'TB final'!$A$4:$J$808,7,),0)</f>
        <v>9088041.2200000007</v>
      </c>
      <c r="F226">
        <f>+IFERROR(VLOOKUP(A226,'TB final'!$A$4:$J$808,10,),0)</f>
        <v>0</v>
      </c>
      <c r="H226" s="2">
        <f t="shared" si="9"/>
        <v>0</v>
      </c>
      <c r="I226" s="2">
        <f t="shared" si="10"/>
        <v>0</v>
      </c>
      <c r="J226" s="2">
        <f t="shared" si="11"/>
        <v>0</v>
      </c>
    </row>
    <row r="227" spans="1:10">
      <c r="A227" s="235" t="s">
        <v>771</v>
      </c>
      <c r="B227" s="237"/>
      <c r="C227" s="236">
        <v>733</v>
      </c>
      <c r="E227">
        <f>+IFERROR(VLOOKUP(A227,'TB final'!$A$4:$J$808,7,),0)</f>
        <v>0</v>
      </c>
      <c r="F227">
        <f>+IFERROR(VLOOKUP(A227,'TB final'!$A$4:$J$808,10,),0)</f>
        <v>733</v>
      </c>
      <c r="H227" s="2">
        <f t="shared" si="9"/>
        <v>0</v>
      </c>
      <c r="I227" s="2">
        <f t="shared" si="10"/>
        <v>0</v>
      </c>
      <c r="J227" s="2">
        <f t="shared" si="11"/>
        <v>0</v>
      </c>
    </row>
    <row r="228" spans="1:10">
      <c r="A228" s="235" t="s">
        <v>232</v>
      </c>
      <c r="B228" s="237"/>
      <c r="C228" s="236">
        <v>270000</v>
      </c>
      <c r="E228">
        <f>+IFERROR(VLOOKUP(A228,'TB final'!$A$4:$J$808,7,),0)</f>
        <v>0</v>
      </c>
      <c r="F228">
        <f>+IFERROR(VLOOKUP(A228,'TB final'!$A$4:$J$808,10,),0)</f>
        <v>270000</v>
      </c>
      <c r="H228" s="2">
        <f t="shared" si="9"/>
        <v>0</v>
      </c>
      <c r="I228" s="2">
        <f t="shared" si="10"/>
        <v>0</v>
      </c>
      <c r="J228" s="2">
        <f t="shared" si="11"/>
        <v>0</v>
      </c>
    </row>
    <row r="229" spans="1:10">
      <c r="A229" s="235" t="s">
        <v>233</v>
      </c>
      <c r="B229" s="237"/>
      <c r="C229" s="236">
        <v>329959</v>
      </c>
      <c r="E229">
        <f>+IFERROR(VLOOKUP(A229,'TB final'!$A$4:$J$808,7,),0)</f>
        <v>0</v>
      </c>
      <c r="F229">
        <f>+IFERROR(VLOOKUP(A229,'TB final'!$A$4:$J$808,10,),0)</f>
        <v>329959</v>
      </c>
      <c r="H229" s="2">
        <f t="shared" si="9"/>
        <v>0</v>
      </c>
      <c r="I229" s="2">
        <f t="shared" si="10"/>
        <v>0</v>
      </c>
      <c r="J229" s="2">
        <f t="shared" si="11"/>
        <v>0</v>
      </c>
    </row>
    <row r="230" spans="1:10">
      <c r="A230" s="235" t="s">
        <v>1828</v>
      </c>
      <c r="B230" s="237"/>
      <c r="C230" s="236">
        <v>30000</v>
      </c>
      <c r="E230">
        <f>+IFERROR(VLOOKUP(A230,'TB final'!$A$4:$J$808,7,),0)</f>
        <v>0</v>
      </c>
      <c r="F230">
        <f>+IFERROR(VLOOKUP(A230,'TB final'!$A$4:$J$808,10,),0)</f>
        <v>30000</v>
      </c>
      <c r="H230" s="2">
        <f t="shared" si="9"/>
        <v>0</v>
      </c>
      <c r="I230" s="2">
        <f t="shared" si="10"/>
        <v>0</v>
      </c>
      <c r="J230" s="2">
        <f t="shared" si="11"/>
        <v>0</v>
      </c>
    </row>
    <row r="231" spans="1:10">
      <c r="A231" s="235" t="s">
        <v>234</v>
      </c>
      <c r="B231" s="237"/>
      <c r="C231" s="236">
        <v>472451</v>
      </c>
      <c r="E231">
        <f>+IFERROR(VLOOKUP(A231,'TB final'!$A$4:$J$808,7,),0)</f>
        <v>0</v>
      </c>
      <c r="F231">
        <f>+IFERROR(VLOOKUP(A231,'TB final'!$A$4:$J$808,10,),0)</f>
        <v>472451</v>
      </c>
      <c r="H231" s="2">
        <f t="shared" si="9"/>
        <v>0</v>
      </c>
      <c r="I231" s="2">
        <f t="shared" si="10"/>
        <v>0</v>
      </c>
      <c r="J231" s="2">
        <f t="shared" si="11"/>
        <v>0</v>
      </c>
    </row>
    <row r="232" spans="1:10">
      <c r="A232" s="235" t="s">
        <v>235</v>
      </c>
      <c r="B232" s="237"/>
      <c r="C232" s="236">
        <v>535544</v>
      </c>
      <c r="E232">
        <f>+IFERROR(VLOOKUP(A232,'TB final'!$A$4:$J$808,7,),0)</f>
        <v>0</v>
      </c>
      <c r="F232">
        <f>+IFERROR(VLOOKUP(A232,'TB final'!$A$4:$J$808,10,),0)</f>
        <v>535544</v>
      </c>
      <c r="H232" s="2">
        <f t="shared" si="9"/>
        <v>0</v>
      </c>
      <c r="I232" s="2">
        <f t="shared" si="10"/>
        <v>0</v>
      </c>
      <c r="J232" s="2">
        <f t="shared" si="11"/>
        <v>0</v>
      </c>
    </row>
    <row r="233" spans="1:10">
      <c r="A233" s="235" t="s">
        <v>236</v>
      </c>
      <c r="B233" s="236">
        <v>50</v>
      </c>
      <c r="C233" s="237"/>
      <c r="E233">
        <f>+IFERROR(VLOOKUP(A233,'TB final'!$A$4:$J$808,7,),0)</f>
        <v>50</v>
      </c>
      <c r="F233">
        <f>+IFERROR(VLOOKUP(A233,'TB final'!$A$4:$J$808,10,),0)</f>
        <v>0</v>
      </c>
      <c r="H233" s="2">
        <f t="shared" si="9"/>
        <v>0</v>
      </c>
      <c r="I233" s="2">
        <f t="shared" si="10"/>
        <v>0</v>
      </c>
      <c r="J233" s="2">
        <f t="shared" si="11"/>
        <v>0</v>
      </c>
    </row>
    <row r="234" spans="1:10">
      <c r="A234" s="235" t="s">
        <v>237</v>
      </c>
      <c r="B234" s="236">
        <v>46000</v>
      </c>
      <c r="C234" s="237"/>
      <c r="E234">
        <f>+IFERROR(VLOOKUP(A234,'TB final'!$A$4:$J$808,7,),0)</f>
        <v>46000</v>
      </c>
      <c r="F234">
        <f>+IFERROR(VLOOKUP(A234,'TB final'!$A$4:$J$808,10,),0)</f>
        <v>0</v>
      </c>
      <c r="H234" s="2">
        <f t="shared" si="9"/>
        <v>0</v>
      </c>
      <c r="I234" s="2">
        <f t="shared" si="10"/>
        <v>0</v>
      </c>
      <c r="J234" s="2">
        <f t="shared" si="11"/>
        <v>0</v>
      </c>
    </row>
    <row r="235" spans="1:10">
      <c r="A235" s="235" t="s">
        <v>238</v>
      </c>
      <c r="B235" s="236">
        <v>50</v>
      </c>
      <c r="C235" s="237"/>
      <c r="E235">
        <f>+IFERROR(VLOOKUP(A235,'TB final'!$A$4:$J$808,7,),0)</f>
        <v>50</v>
      </c>
      <c r="F235">
        <f>+IFERROR(VLOOKUP(A235,'TB final'!$A$4:$J$808,10,),0)</f>
        <v>0</v>
      </c>
      <c r="H235" s="2">
        <f t="shared" si="9"/>
        <v>0</v>
      </c>
      <c r="I235" s="2">
        <f t="shared" si="10"/>
        <v>0</v>
      </c>
      <c r="J235" s="2">
        <f t="shared" si="11"/>
        <v>0</v>
      </c>
    </row>
    <row r="236" spans="1:10">
      <c r="A236" s="235" t="s">
        <v>239</v>
      </c>
      <c r="B236" s="236">
        <v>2360</v>
      </c>
      <c r="C236" s="237"/>
      <c r="E236">
        <f>+IFERROR(VLOOKUP(A236,'TB final'!$A$4:$J$808,7,),0)</f>
        <v>2360</v>
      </c>
      <c r="F236">
        <f>+IFERROR(VLOOKUP(A236,'TB final'!$A$4:$J$808,10,),0)</f>
        <v>0</v>
      </c>
      <c r="H236" s="2">
        <f t="shared" si="9"/>
        <v>0</v>
      </c>
      <c r="I236" s="2">
        <f t="shared" si="10"/>
        <v>0</v>
      </c>
      <c r="J236" s="2">
        <f t="shared" si="11"/>
        <v>0</v>
      </c>
    </row>
    <row r="237" spans="1:10">
      <c r="A237" s="235" t="s">
        <v>240</v>
      </c>
      <c r="B237" s="236">
        <v>222104414.13999999</v>
      </c>
      <c r="C237" s="237"/>
      <c r="E237">
        <f>+IFERROR(VLOOKUP(A237,'TB final'!$A$4:$J$808,7,),0)</f>
        <v>222104414.13999999</v>
      </c>
      <c r="F237">
        <f>+IFERROR(VLOOKUP(A237,'TB final'!$A$4:$J$808,10,),0)</f>
        <v>0</v>
      </c>
      <c r="H237" s="2">
        <f t="shared" si="9"/>
        <v>0</v>
      </c>
      <c r="I237" s="2">
        <f t="shared" si="10"/>
        <v>0</v>
      </c>
      <c r="J237" s="2">
        <f t="shared" si="11"/>
        <v>0</v>
      </c>
    </row>
    <row r="238" spans="1:10">
      <c r="A238" s="235" t="s">
        <v>241</v>
      </c>
      <c r="B238" s="237"/>
      <c r="C238" s="236">
        <v>52156</v>
      </c>
      <c r="E238">
        <f>+IFERROR(VLOOKUP(A238,'TB final'!$A$4:$J$808,7,),0)</f>
        <v>0</v>
      </c>
      <c r="F238">
        <f>+IFERROR(VLOOKUP(A238,'TB final'!$A$4:$J$808,10,),0)</f>
        <v>52156</v>
      </c>
      <c r="H238" s="2">
        <f t="shared" si="9"/>
        <v>0</v>
      </c>
      <c r="I238" s="2">
        <f t="shared" si="10"/>
        <v>0</v>
      </c>
      <c r="J238" s="2">
        <f t="shared" si="11"/>
        <v>0</v>
      </c>
    </row>
    <row r="239" spans="1:10">
      <c r="A239" s="235" t="s">
        <v>242</v>
      </c>
      <c r="B239" s="236">
        <v>111499</v>
      </c>
      <c r="C239" s="237"/>
      <c r="E239">
        <f>+IFERROR(VLOOKUP(A239,'TB final'!$A$4:$J$808,7,),0)</f>
        <v>111499</v>
      </c>
      <c r="F239">
        <f>+IFERROR(VLOOKUP(A239,'TB final'!$A$4:$J$808,10,),0)</f>
        <v>0</v>
      </c>
      <c r="H239" s="2">
        <f t="shared" si="9"/>
        <v>0</v>
      </c>
      <c r="I239" s="2">
        <f t="shared" si="10"/>
        <v>0</v>
      </c>
      <c r="J239" s="2">
        <f t="shared" si="11"/>
        <v>0</v>
      </c>
    </row>
    <row r="240" spans="1:10">
      <c r="A240" s="235" t="s">
        <v>243</v>
      </c>
      <c r="B240" s="237"/>
      <c r="C240" s="236">
        <v>6195758</v>
      </c>
      <c r="E240">
        <f>+IFERROR(VLOOKUP(A240,'TB final'!$A$4:$J$808,7,),0)</f>
        <v>0</v>
      </c>
      <c r="F240">
        <f>+IFERROR(VLOOKUP(A240,'TB final'!$A$4:$J$808,10,),0)</f>
        <v>6195758</v>
      </c>
      <c r="H240" s="2">
        <f t="shared" si="9"/>
        <v>0</v>
      </c>
      <c r="I240" s="2">
        <f t="shared" si="10"/>
        <v>0</v>
      </c>
      <c r="J240" s="2">
        <f t="shared" si="11"/>
        <v>0</v>
      </c>
    </row>
    <row r="241" spans="1:10">
      <c r="A241" s="235" t="s">
        <v>244</v>
      </c>
      <c r="B241" s="236">
        <v>8000</v>
      </c>
      <c r="C241" s="237"/>
      <c r="E241">
        <f>+IFERROR(VLOOKUP(A241,'TB final'!$A$4:$J$808,7,),0)</f>
        <v>8000</v>
      </c>
      <c r="F241">
        <f>+IFERROR(VLOOKUP(A241,'TB final'!$A$4:$J$808,10,),0)</f>
        <v>0</v>
      </c>
      <c r="H241" s="2">
        <f t="shared" si="9"/>
        <v>0</v>
      </c>
      <c r="I241" s="2">
        <f t="shared" si="10"/>
        <v>0</v>
      </c>
      <c r="J241" s="2">
        <f t="shared" si="11"/>
        <v>0</v>
      </c>
    </row>
    <row r="242" spans="1:10">
      <c r="A242" s="235" t="s">
        <v>245</v>
      </c>
      <c r="B242" s="236">
        <v>12971715</v>
      </c>
      <c r="C242" s="237"/>
      <c r="E242">
        <f>+IFERROR(VLOOKUP(A242,'TB final'!$A$4:$J$808,7,),0)</f>
        <v>12971715</v>
      </c>
      <c r="F242">
        <f>+IFERROR(VLOOKUP(A242,'TB final'!$A$4:$J$808,10,),0)</f>
        <v>0</v>
      </c>
      <c r="H242" s="2">
        <f t="shared" si="9"/>
        <v>0</v>
      </c>
      <c r="I242" s="2">
        <f t="shared" si="10"/>
        <v>0</v>
      </c>
      <c r="J242" s="2">
        <f t="shared" si="11"/>
        <v>0</v>
      </c>
    </row>
    <row r="243" spans="1:10">
      <c r="A243" s="235" t="s">
        <v>246</v>
      </c>
      <c r="B243" s="237"/>
      <c r="C243" s="236">
        <v>2844884</v>
      </c>
      <c r="E243">
        <f>+IFERROR(VLOOKUP(A243,'TB final'!$A$4:$J$808,7,),0)</f>
        <v>0</v>
      </c>
      <c r="F243">
        <f>+IFERROR(VLOOKUP(A243,'TB final'!$A$4:$J$808,10,),0)</f>
        <v>2844884</v>
      </c>
      <c r="H243" s="2">
        <f t="shared" si="9"/>
        <v>0</v>
      </c>
      <c r="I243" s="2">
        <f t="shared" si="10"/>
        <v>0</v>
      </c>
      <c r="J243" s="2">
        <f t="shared" si="11"/>
        <v>0</v>
      </c>
    </row>
    <row r="244" spans="1:10">
      <c r="A244" s="235" t="s">
        <v>247</v>
      </c>
      <c r="B244" s="236">
        <v>711000</v>
      </c>
      <c r="C244" s="237"/>
      <c r="E244">
        <f>+IFERROR(VLOOKUP(A244,'TB final'!$A$4:$J$808,7,),0)</f>
        <v>711000</v>
      </c>
      <c r="F244">
        <f>+IFERROR(VLOOKUP(A244,'TB final'!$A$4:$J$808,10,),0)</f>
        <v>0</v>
      </c>
      <c r="H244" s="2">
        <f t="shared" si="9"/>
        <v>0</v>
      </c>
      <c r="I244" s="2">
        <f t="shared" si="10"/>
        <v>0</v>
      </c>
      <c r="J244" s="2">
        <f t="shared" si="11"/>
        <v>0</v>
      </c>
    </row>
    <row r="245" spans="1:10">
      <c r="A245" s="235" t="s">
        <v>248</v>
      </c>
      <c r="B245" s="236">
        <v>153050</v>
      </c>
      <c r="C245" s="237"/>
      <c r="E245">
        <f>+IFERROR(VLOOKUP(A245,'TB final'!$A$4:$J$808,7,),0)</f>
        <v>153050</v>
      </c>
      <c r="F245">
        <f>+IFERROR(VLOOKUP(A245,'TB final'!$A$4:$J$808,10,),0)</f>
        <v>0</v>
      </c>
      <c r="H245" s="2">
        <f t="shared" si="9"/>
        <v>0</v>
      </c>
      <c r="I245" s="2">
        <f t="shared" si="10"/>
        <v>0</v>
      </c>
      <c r="J245" s="2">
        <f t="shared" si="11"/>
        <v>0</v>
      </c>
    </row>
    <row r="246" spans="1:10">
      <c r="A246" s="235" t="s">
        <v>249</v>
      </c>
      <c r="B246" s="236">
        <v>2070258</v>
      </c>
      <c r="C246" s="237"/>
      <c r="E246">
        <f>+IFERROR(VLOOKUP(A246,'TB final'!$A$4:$J$808,7,),0)</f>
        <v>2070258</v>
      </c>
      <c r="F246">
        <f>+IFERROR(VLOOKUP(A246,'TB final'!$A$4:$J$808,10,),0)</f>
        <v>0</v>
      </c>
      <c r="H246" s="2">
        <f t="shared" si="9"/>
        <v>0</v>
      </c>
      <c r="I246" s="2">
        <f t="shared" si="10"/>
        <v>0</v>
      </c>
      <c r="J246" s="2">
        <f t="shared" si="11"/>
        <v>0</v>
      </c>
    </row>
    <row r="247" spans="1:10">
      <c r="A247" s="235" t="s">
        <v>250</v>
      </c>
      <c r="B247" s="236">
        <v>27003</v>
      </c>
      <c r="C247" s="237"/>
      <c r="E247">
        <f>+IFERROR(VLOOKUP(A247,'TB final'!$A$4:$J$808,7,),0)</f>
        <v>27003</v>
      </c>
      <c r="F247">
        <f>+IFERROR(VLOOKUP(A247,'TB final'!$A$4:$J$808,10,),0)</f>
        <v>0</v>
      </c>
      <c r="H247" s="2">
        <f t="shared" si="9"/>
        <v>0</v>
      </c>
      <c r="I247" s="2">
        <f t="shared" si="10"/>
        <v>0</v>
      </c>
      <c r="J247" s="2">
        <f t="shared" si="11"/>
        <v>0</v>
      </c>
    </row>
    <row r="248" spans="1:10">
      <c r="A248" s="235" t="s">
        <v>251</v>
      </c>
      <c r="B248" s="236">
        <v>519498</v>
      </c>
      <c r="C248" s="237"/>
      <c r="E248">
        <f>+IFERROR(VLOOKUP(A248,'TB final'!$A$4:$J$808,7,),0)</f>
        <v>519498</v>
      </c>
      <c r="F248">
        <f>+IFERROR(VLOOKUP(A248,'TB final'!$A$4:$J$808,10,),0)</f>
        <v>0</v>
      </c>
      <c r="H248" s="2">
        <f t="shared" si="9"/>
        <v>0</v>
      </c>
      <c r="I248" s="2">
        <f t="shared" si="10"/>
        <v>0</v>
      </c>
      <c r="J248" s="2">
        <f t="shared" si="11"/>
        <v>0</v>
      </c>
    </row>
    <row r="249" spans="1:10">
      <c r="A249" s="235" t="s">
        <v>252</v>
      </c>
      <c r="B249" s="236">
        <v>48000</v>
      </c>
      <c r="C249" s="237"/>
      <c r="E249">
        <f>+IFERROR(VLOOKUP(A249,'TB final'!$A$4:$J$808,7,),0)</f>
        <v>48000</v>
      </c>
      <c r="F249">
        <f>+IFERROR(VLOOKUP(A249,'TB final'!$A$4:$J$808,10,),0)</f>
        <v>0</v>
      </c>
      <c r="H249" s="2">
        <f t="shared" si="9"/>
        <v>0</v>
      </c>
      <c r="I249" s="2">
        <f t="shared" si="10"/>
        <v>0</v>
      </c>
      <c r="J249" s="2">
        <f t="shared" si="11"/>
        <v>0</v>
      </c>
    </row>
    <row r="250" spans="1:10">
      <c r="A250" s="235" t="s">
        <v>253</v>
      </c>
      <c r="B250" s="236">
        <v>1238830</v>
      </c>
      <c r="C250" s="237"/>
      <c r="E250">
        <f>+IFERROR(VLOOKUP(A250,'TB final'!$A$4:$J$808,7,),0)</f>
        <v>1238830</v>
      </c>
      <c r="F250">
        <f>+IFERROR(VLOOKUP(A250,'TB final'!$A$4:$J$808,10,),0)</f>
        <v>0</v>
      </c>
      <c r="H250" s="2">
        <f t="shared" si="9"/>
        <v>0</v>
      </c>
      <c r="I250" s="2">
        <f t="shared" si="10"/>
        <v>0</v>
      </c>
      <c r="J250" s="2">
        <f t="shared" si="11"/>
        <v>0</v>
      </c>
    </row>
    <row r="251" spans="1:10">
      <c r="A251" s="235" t="s">
        <v>254</v>
      </c>
      <c r="B251" s="237"/>
      <c r="C251" s="236">
        <v>159588193.24000001</v>
      </c>
      <c r="E251">
        <f>+IFERROR(VLOOKUP(A251,'TB final'!$A$4:$J$808,7,),0)</f>
        <v>0</v>
      </c>
      <c r="F251">
        <f>+IFERROR(VLOOKUP(A251,'TB final'!$A$4:$J$808,10,),0)</f>
        <v>159588193.24000001</v>
      </c>
      <c r="H251" s="2">
        <f t="shared" si="9"/>
        <v>0</v>
      </c>
      <c r="I251" s="2">
        <f t="shared" si="10"/>
        <v>0</v>
      </c>
      <c r="J251" s="2">
        <f t="shared" si="11"/>
        <v>0</v>
      </c>
    </row>
    <row r="252" spans="1:10">
      <c r="A252" s="235" t="s">
        <v>255</v>
      </c>
      <c r="B252" s="237"/>
      <c r="C252" s="236">
        <v>9433000</v>
      </c>
      <c r="E252">
        <f>+IFERROR(VLOOKUP(A252,'TB final'!$A$4:$J$808,7,),0)</f>
        <v>0</v>
      </c>
      <c r="F252">
        <f>+IFERROR(VLOOKUP(A252,'TB final'!$A$4:$J$808,10,),0)</f>
        <v>9433000</v>
      </c>
      <c r="H252" s="2">
        <f t="shared" si="9"/>
        <v>0</v>
      </c>
      <c r="I252" s="2">
        <f t="shared" si="10"/>
        <v>0</v>
      </c>
      <c r="J252" s="2">
        <f t="shared" si="11"/>
        <v>0</v>
      </c>
    </row>
    <row r="253" spans="1:10">
      <c r="A253" s="235" t="s">
        <v>256</v>
      </c>
      <c r="B253" s="236">
        <v>1283384</v>
      </c>
      <c r="C253" s="237"/>
      <c r="E253">
        <f>+IFERROR(VLOOKUP(A253,'TB final'!$A$4:$J$808,7,),0)</f>
        <v>1283384</v>
      </c>
      <c r="F253">
        <f>+IFERROR(VLOOKUP(A253,'TB final'!$A$4:$J$808,10,),0)</f>
        <v>0</v>
      </c>
      <c r="H253" s="2">
        <f t="shared" si="9"/>
        <v>0</v>
      </c>
      <c r="I253" s="2">
        <f t="shared" si="10"/>
        <v>0</v>
      </c>
      <c r="J253" s="2">
        <f t="shared" si="11"/>
        <v>0</v>
      </c>
    </row>
    <row r="254" spans="1:10">
      <c r="A254" s="235" t="s">
        <v>257</v>
      </c>
      <c r="B254" s="237"/>
      <c r="C254" s="236">
        <v>4610451</v>
      </c>
      <c r="E254">
        <f>+IFERROR(VLOOKUP(A254,'TB final'!$A$4:$J$808,7,),0)</f>
        <v>0</v>
      </c>
      <c r="F254">
        <f>+IFERROR(VLOOKUP(A254,'TB final'!$A$4:$J$808,10,),0)</f>
        <v>4610451</v>
      </c>
      <c r="H254" s="2">
        <f t="shared" si="9"/>
        <v>0</v>
      </c>
      <c r="I254" s="2">
        <f t="shared" si="10"/>
        <v>0</v>
      </c>
      <c r="J254" s="2">
        <f t="shared" si="11"/>
        <v>0</v>
      </c>
    </row>
    <row r="255" spans="1:10">
      <c r="A255" s="235" t="s">
        <v>258</v>
      </c>
      <c r="B255" s="237"/>
      <c r="C255" s="236">
        <v>7064285</v>
      </c>
      <c r="E255">
        <f>+IFERROR(VLOOKUP(A255,'TB final'!$A$4:$J$808,7,),0)</f>
        <v>0</v>
      </c>
      <c r="F255">
        <f>+IFERROR(VLOOKUP(A255,'TB final'!$A$4:$J$808,10,),0)</f>
        <v>7064285</v>
      </c>
      <c r="H255" s="2">
        <f t="shared" si="9"/>
        <v>0</v>
      </c>
      <c r="I255" s="2">
        <f t="shared" si="10"/>
        <v>0</v>
      </c>
      <c r="J255" s="2">
        <f t="shared" si="11"/>
        <v>0</v>
      </c>
    </row>
    <row r="256" spans="1:10">
      <c r="A256" s="235" t="s">
        <v>259</v>
      </c>
      <c r="B256" s="237"/>
      <c r="C256" s="236">
        <v>730456</v>
      </c>
      <c r="E256">
        <f>+IFERROR(VLOOKUP(A256,'TB final'!$A$4:$J$808,7,),0)</f>
        <v>0</v>
      </c>
      <c r="F256">
        <f>+IFERROR(VLOOKUP(A256,'TB final'!$A$4:$J$808,10,),0)</f>
        <v>730456</v>
      </c>
      <c r="H256" s="2">
        <f t="shared" si="9"/>
        <v>0</v>
      </c>
      <c r="I256" s="2">
        <f t="shared" si="10"/>
        <v>0</v>
      </c>
      <c r="J256" s="2">
        <f t="shared" si="11"/>
        <v>0</v>
      </c>
    </row>
    <row r="257" spans="1:10">
      <c r="A257" s="235" t="s">
        <v>260</v>
      </c>
      <c r="B257" s="237"/>
      <c r="C257" s="236">
        <v>18195794</v>
      </c>
      <c r="E257">
        <f>+IFERROR(VLOOKUP(A257,'TB final'!$A$4:$J$808,7,),0)</f>
        <v>0</v>
      </c>
      <c r="F257">
        <f>+IFERROR(VLOOKUP(A257,'TB final'!$A$4:$J$808,10,),0)</f>
        <v>18195794</v>
      </c>
      <c r="H257" s="2">
        <f t="shared" si="9"/>
        <v>0</v>
      </c>
      <c r="I257" s="2">
        <f t="shared" si="10"/>
        <v>0</v>
      </c>
      <c r="J257" s="2">
        <f t="shared" si="11"/>
        <v>0</v>
      </c>
    </row>
    <row r="258" spans="1:10">
      <c r="A258" s="235" t="s">
        <v>261</v>
      </c>
      <c r="B258" s="237"/>
      <c r="C258" s="236">
        <v>379192</v>
      </c>
      <c r="E258">
        <f>+IFERROR(VLOOKUP(A258,'TB final'!$A$4:$J$808,7,),0)</f>
        <v>0</v>
      </c>
      <c r="F258">
        <f>+IFERROR(VLOOKUP(A258,'TB final'!$A$4:$J$808,10,),0)</f>
        <v>379192</v>
      </c>
      <c r="H258" s="2">
        <f t="shared" si="9"/>
        <v>0</v>
      </c>
      <c r="I258" s="2">
        <f t="shared" si="10"/>
        <v>0</v>
      </c>
      <c r="J258" s="2">
        <f t="shared" si="11"/>
        <v>0</v>
      </c>
    </row>
    <row r="259" spans="1:10">
      <c r="A259" s="235" t="s">
        <v>262</v>
      </c>
      <c r="B259" s="237"/>
      <c r="C259" s="236">
        <v>1062735</v>
      </c>
      <c r="E259">
        <f>+IFERROR(VLOOKUP(A259,'TB final'!$A$4:$J$808,7,),0)</f>
        <v>0</v>
      </c>
      <c r="F259">
        <f>+IFERROR(VLOOKUP(A259,'TB final'!$A$4:$J$808,10,),0)</f>
        <v>1062735</v>
      </c>
      <c r="H259" s="2">
        <f t="shared" si="9"/>
        <v>0</v>
      </c>
      <c r="I259" s="2">
        <f t="shared" si="10"/>
        <v>0</v>
      </c>
      <c r="J259" s="2">
        <f t="shared" si="11"/>
        <v>0</v>
      </c>
    </row>
    <row r="260" spans="1:10">
      <c r="A260" s="235" t="s">
        <v>263</v>
      </c>
      <c r="B260" s="237"/>
      <c r="C260" s="236">
        <v>712545</v>
      </c>
      <c r="E260">
        <f>+IFERROR(VLOOKUP(A260,'TB final'!$A$4:$J$808,7,),0)</f>
        <v>0</v>
      </c>
      <c r="F260">
        <f>+IFERROR(VLOOKUP(A260,'TB final'!$A$4:$J$808,10,),0)</f>
        <v>712545</v>
      </c>
      <c r="H260" s="2">
        <f t="shared" si="9"/>
        <v>0</v>
      </c>
      <c r="I260" s="2">
        <f t="shared" si="10"/>
        <v>0</v>
      </c>
      <c r="J260" s="2">
        <f t="shared" si="11"/>
        <v>0</v>
      </c>
    </row>
    <row r="261" spans="1:10">
      <c r="A261" s="235" t="s">
        <v>264</v>
      </c>
      <c r="B261" s="237"/>
      <c r="C261" s="236">
        <v>113124922</v>
      </c>
      <c r="E261">
        <f>+IFERROR(VLOOKUP(A261,'TB final'!$A$4:$J$808,7,),0)</f>
        <v>0</v>
      </c>
      <c r="F261">
        <f>+IFERROR(VLOOKUP(A261,'TB final'!$A$4:$J$808,10,),0)</f>
        <v>113124922</v>
      </c>
      <c r="H261" s="2">
        <f t="shared" si="9"/>
        <v>0</v>
      </c>
      <c r="I261" s="2">
        <f t="shared" si="10"/>
        <v>0</v>
      </c>
      <c r="J261" s="2">
        <f t="shared" si="11"/>
        <v>0</v>
      </c>
    </row>
    <row r="262" spans="1:10">
      <c r="A262" s="235" t="s">
        <v>265</v>
      </c>
      <c r="B262" s="237"/>
      <c r="C262" s="236">
        <v>927869</v>
      </c>
      <c r="E262">
        <f>+IFERROR(VLOOKUP(A262,'TB final'!$A$4:$J$808,7,),0)</f>
        <v>0</v>
      </c>
      <c r="F262">
        <f>+IFERROR(VLOOKUP(A262,'TB final'!$A$4:$J$808,10,),0)</f>
        <v>927869</v>
      </c>
      <c r="H262" s="2">
        <f t="shared" si="9"/>
        <v>0</v>
      </c>
      <c r="I262" s="2">
        <f t="shared" si="10"/>
        <v>0</v>
      </c>
      <c r="J262" s="2">
        <f t="shared" si="11"/>
        <v>0</v>
      </c>
    </row>
    <row r="263" spans="1:10">
      <c r="A263" s="235" t="s">
        <v>267</v>
      </c>
      <c r="B263" s="236">
        <v>122153</v>
      </c>
      <c r="C263" s="237"/>
      <c r="E263">
        <f>+IFERROR(VLOOKUP(A263,'TB final'!$A$4:$J$808,7,),0)</f>
        <v>122153</v>
      </c>
      <c r="F263">
        <f>+IFERROR(VLOOKUP(A263,'TB final'!$A$4:$J$808,10,),0)</f>
        <v>0</v>
      </c>
      <c r="H263" s="2">
        <f t="shared" si="9"/>
        <v>0</v>
      </c>
      <c r="I263" s="2">
        <f t="shared" si="10"/>
        <v>0</v>
      </c>
      <c r="J263" s="2">
        <f t="shared" si="11"/>
        <v>0</v>
      </c>
    </row>
    <row r="264" spans="1:10">
      <c r="A264" s="235" t="s">
        <v>268</v>
      </c>
      <c r="B264" s="236">
        <v>271788</v>
      </c>
      <c r="C264" s="237"/>
      <c r="E264">
        <f>+IFERROR(VLOOKUP(A264,'TB final'!$A$4:$J$808,7,),0)</f>
        <v>271788</v>
      </c>
      <c r="F264">
        <f>+IFERROR(VLOOKUP(A264,'TB final'!$A$4:$J$808,10,),0)</f>
        <v>0</v>
      </c>
      <c r="H264" s="2">
        <f t="shared" si="9"/>
        <v>0</v>
      </c>
      <c r="I264" s="2">
        <f t="shared" si="10"/>
        <v>0</v>
      </c>
      <c r="J264" s="2">
        <f t="shared" si="11"/>
        <v>0</v>
      </c>
    </row>
    <row r="265" spans="1:10">
      <c r="A265" s="235" t="s">
        <v>269</v>
      </c>
      <c r="B265" s="236">
        <v>139678</v>
      </c>
      <c r="C265" s="237"/>
      <c r="E265">
        <f>+IFERROR(VLOOKUP(A265,'TB final'!$A$4:$J$808,7,),0)</f>
        <v>139678</v>
      </c>
      <c r="F265">
        <f>+IFERROR(VLOOKUP(A265,'TB final'!$A$4:$J$808,10,),0)</f>
        <v>0</v>
      </c>
      <c r="H265" s="2">
        <f t="shared" si="9"/>
        <v>0</v>
      </c>
      <c r="I265" s="2">
        <f t="shared" si="10"/>
        <v>0</v>
      </c>
      <c r="J265" s="2">
        <f t="shared" si="11"/>
        <v>0</v>
      </c>
    </row>
    <row r="266" spans="1:10">
      <c r="A266" s="235" t="s">
        <v>270</v>
      </c>
      <c r="B266" s="236">
        <v>34285</v>
      </c>
      <c r="C266" s="237"/>
      <c r="E266">
        <f>+IFERROR(VLOOKUP(A266,'TB final'!$A$4:$J$808,7,),0)</f>
        <v>34285</v>
      </c>
      <c r="F266">
        <f>+IFERROR(VLOOKUP(A266,'TB final'!$A$4:$J$808,10,),0)</f>
        <v>0</v>
      </c>
      <c r="H266" s="2">
        <f t="shared" si="9"/>
        <v>0</v>
      </c>
      <c r="I266" s="2">
        <f t="shared" si="10"/>
        <v>0</v>
      </c>
      <c r="J266" s="2">
        <f t="shared" si="11"/>
        <v>0</v>
      </c>
    </row>
    <row r="267" spans="1:10">
      <c r="A267" s="235" t="s">
        <v>271</v>
      </c>
      <c r="B267" s="237"/>
      <c r="C267" s="236">
        <v>3329437.7</v>
      </c>
      <c r="E267">
        <f>+IFERROR(VLOOKUP(A267,'TB final'!$A$4:$J$808,7,),0)</f>
        <v>0</v>
      </c>
      <c r="F267">
        <f>+IFERROR(VLOOKUP(A267,'TB final'!$A$4:$J$808,10,),0)</f>
        <v>3329437.7</v>
      </c>
      <c r="H267" s="2">
        <f t="shared" si="9"/>
        <v>0</v>
      </c>
      <c r="I267" s="2">
        <f t="shared" si="10"/>
        <v>0</v>
      </c>
      <c r="J267" s="2">
        <f t="shared" si="11"/>
        <v>0</v>
      </c>
    </row>
    <row r="268" spans="1:10">
      <c r="A268" s="235" t="s">
        <v>272</v>
      </c>
      <c r="B268" s="236">
        <v>16866441</v>
      </c>
      <c r="C268" s="237"/>
      <c r="E268">
        <f>+IFERROR(VLOOKUP(A268,'TB final'!$A$4:$J$808,7,),0)</f>
        <v>16866441</v>
      </c>
      <c r="F268">
        <f>+IFERROR(VLOOKUP(A268,'TB final'!$A$4:$J$808,10,),0)</f>
        <v>0</v>
      </c>
      <c r="H268" s="2">
        <f t="shared" si="9"/>
        <v>0</v>
      </c>
      <c r="I268" s="2">
        <f t="shared" si="10"/>
        <v>0</v>
      </c>
      <c r="J268" s="2">
        <f t="shared" si="11"/>
        <v>0</v>
      </c>
    </row>
    <row r="269" spans="1:10">
      <c r="A269" s="235" t="s">
        <v>273</v>
      </c>
      <c r="B269" s="237"/>
      <c r="C269" s="236">
        <v>1743178</v>
      </c>
      <c r="E269">
        <f>+IFERROR(VLOOKUP(A269,'TB final'!$A$4:$J$808,7,),0)</f>
        <v>0</v>
      </c>
      <c r="F269">
        <f>+IFERROR(VLOOKUP(A269,'TB final'!$A$4:$J$808,10,),0)</f>
        <v>1743178</v>
      </c>
      <c r="H269" s="2">
        <f t="shared" ref="H269:H332" si="12">+B269-E269</f>
        <v>0</v>
      </c>
      <c r="I269" s="2">
        <f t="shared" ref="I269:I332" si="13">+C269-F269</f>
        <v>0</v>
      </c>
      <c r="J269" s="2">
        <f t="shared" ref="J269:J332" si="14">+H269+I269</f>
        <v>0</v>
      </c>
    </row>
    <row r="270" spans="1:10">
      <c r="A270" s="235" t="s">
        <v>274</v>
      </c>
      <c r="B270" s="236">
        <v>340090</v>
      </c>
      <c r="C270" s="237"/>
      <c r="E270">
        <f>+IFERROR(VLOOKUP(A270,'TB final'!$A$4:$J$808,7,),0)</f>
        <v>340090</v>
      </c>
      <c r="F270">
        <f>+IFERROR(VLOOKUP(A270,'TB final'!$A$4:$J$808,10,),0)</f>
        <v>0</v>
      </c>
      <c r="H270" s="2">
        <f t="shared" si="12"/>
        <v>0</v>
      </c>
      <c r="I270" s="2">
        <f t="shared" si="13"/>
        <v>0</v>
      </c>
      <c r="J270" s="2">
        <f t="shared" si="14"/>
        <v>0</v>
      </c>
    </row>
    <row r="271" spans="1:10">
      <c r="A271" s="235" t="s">
        <v>275</v>
      </c>
      <c r="B271" s="236">
        <v>5418764</v>
      </c>
      <c r="C271" s="237"/>
      <c r="E271">
        <f>+IFERROR(VLOOKUP(A271,'TB final'!$A$4:$J$808,7,),0)</f>
        <v>5418764</v>
      </c>
      <c r="F271">
        <f>+IFERROR(VLOOKUP(A271,'TB final'!$A$4:$J$808,10,),0)</f>
        <v>0</v>
      </c>
      <c r="H271" s="2">
        <f t="shared" si="12"/>
        <v>0</v>
      </c>
      <c r="I271" s="2">
        <f t="shared" si="13"/>
        <v>0</v>
      </c>
      <c r="J271" s="2">
        <f t="shared" si="14"/>
        <v>0</v>
      </c>
    </row>
    <row r="272" spans="1:10">
      <c r="A272" s="235" t="s">
        <v>276</v>
      </c>
      <c r="B272" s="236">
        <v>17458745</v>
      </c>
      <c r="C272" s="237"/>
      <c r="E272">
        <f>+IFERROR(VLOOKUP(A272,'TB final'!$A$4:$J$808,7,),0)</f>
        <v>17458745</v>
      </c>
      <c r="F272">
        <f>+IFERROR(VLOOKUP(A272,'TB final'!$A$4:$J$808,10,),0)</f>
        <v>0</v>
      </c>
      <c r="H272" s="2">
        <f t="shared" si="12"/>
        <v>0</v>
      </c>
      <c r="I272" s="2">
        <f t="shared" si="13"/>
        <v>0</v>
      </c>
      <c r="J272" s="2">
        <f t="shared" si="14"/>
        <v>0</v>
      </c>
    </row>
    <row r="273" spans="1:10">
      <c r="A273" s="235" t="s">
        <v>277</v>
      </c>
      <c r="B273" s="236">
        <v>17306494.390000001</v>
      </c>
      <c r="C273" s="237"/>
      <c r="E273">
        <f>+IFERROR(VLOOKUP(A273,'TB final'!$A$4:$J$808,7,),0)</f>
        <v>17306494.390000001</v>
      </c>
      <c r="F273">
        <f>+IFERROR(VLOOKUP(A273,'TB final'!$A$4:$J$808,10,),0)</f>
        <v>0</v>
      </c>
      <c r="H273" s="2">
        <f t="shared" si="12"/>
        <v>0</v>
      </c>
      <c r="I273" s="2">
        <f t="shared" si="13"/>
        <v>0</v>
      </c>
      <c r="J273" s="2">
        <f t="shared" si="14"/>
        <v>0</v>
      </c>
    </row>
    <row r="274" spans="1:10">
      <c r="A274" s="235" t="s">
        <v>278</v>
      </c>
      <c r="B274" s="237"/>
      <c r="C274" s="236">
        <v>1439364</v>
      </c>
      <c r="E274">
        <f>+IFERROR(VLOOKUP(A274,'TB final'!$A$4:$J$808,7,),0)</f>
        <v>0</v>
      </c>
      <c r="F274">
        <f>+IFERROR(VLOOKUP(A274,'TB final'!$A$4:$J$808,10,),0)</f>
        <v>1439364</v>
      </c>
      <c r="H274" s="2">
        <f t="shared" si="12"/>
        <v>0</v>
      </c>
      <c r="I274" s="2">
        <f t="shared" si="13"/>
        <v>0</v>
      </c>
      <c r="J274" s="2">
        <f t="shared" si="14"/>
        <v>0</v>
      </c>
    </row>
    <row r="275" spans="1:10">
      <c r="A275" s="235" t="s">
        <v>279</v>
      </c>
      <c r="B275" s="236">
        <v>241323</v>
      </c>
      <c r="C275" s="237"/>
      <c r="E275">
        <f>+IFERROR(VLOOKUP(A275,'TB final'!$A$4:$J$808,7,),0)</f>
        <v>241323</v>
      </c>
      <c r="F275">
        <f>+IFERROR(VLOOKUP(A275,'TB final'!$A$4:$J$808,10,),0)</f>
        <v>0</v>
      </c>
      <c r="H275" s="2">
        <f t="shared" si="12"/>
        <v>0</v>
      </c>
      <c r="I275" s="2">
        <f t="shared" si="13"/>
        <v>0</v>
      </c>
      <c r="J275" s="2">
        <f t="shared" si="14"/>
        <v>0</v>
      </c>
    </row>
    <row r="276" spans="1:10">
      <c r="A276" s="235" t="s">
        <v>280</v>
      </c>
      <c r="B276" s="236">
        <v>4044390</v>
      </c>
      <c r="C276" s="237"/>
      <c r="E276">
        <f>+IFERROR(VLOOKUP(A276,'TB final'!$A$4:$J$808,7,),0)</f>
        <v>4044390</v>
      </c>
      <c r="F276">
        <f>+IFERROR(VLOOKUP(A276,'TB final'!$A$4:$J$808,10,),0)</f>
        <v>0</v>
      </c>
      <c r="H276" s="2">
        <f t="shared" si="12"/>
        <v>0</v>
      </c>
      <c r="I276" s="2">
        <f t="shared" si="13"/>
        <v>0</v>
      </c>
      <c r="J276" s="2">
        <f t="shared" si="14"/>
        <v>0</v>
      </c>
    </row>
    <row r="277" spans="1:10">
      <c r="A277" s="235" t="s">
        <v>281</v>
      </c>
      <c r="B277" s="236">
        <v>1197020</v>
      </c>
      <c r="C277" s="237"/>
      <c r="E277">
        <f>+IFERROR(VLOOKUP(A277,'TB final'!$A$4:$J$808,7,),0)</f>
        <v>1197020</v>
      </c>
      <c r="F277">
        <f>+IFERROR(VLOOKUP(A277,'TB final'!$A$4:$J$808,10,),0)</f>
        <v>0</v>
      </c>
      <c r="H277" s="2">
        <f t="shared" si="12"/>
        <v>0</v>
      </c>
      <c r="I277" s="2">
        <f t="shared" si="13"/>
        <v>0</v>
      </c>
      <c r="J277" s="2">
        <f t="shared" si="14"/>
        <v>0</v>
      </c>
    </row>
    <row r="278" spans="1:10">
      <c r="A278" s="235" t="s">
        <v>282</v>
      </c>
      <c r="B278" s="237"/>
      <c r="C278" s="236">
        <v>21303</v>
      </c>
      <c r="E278">
        <f>+IFERROR(VLOOKUP(A278,'TB final'!$A$4:$J$808,7,),0)</f>
        <v>0</v>
      </c>
      <c r="F278">
        <f>+IFERROR(VLOOKUP(A278,'TB final'!$A$4:$J$808,10,),0)</f>
        <v>21303</v>
      </c>
      <c r="H278" s="2">
        <f t="shared" si="12"/>
        <v>0</v>
      </c>
      <c r="I278" s="2">
        <f t="shared" si="13"/>
        <v>0</v>
      </c>
      <c r="J278" s="2">
        <f t="shared" si="14"/>
        <v>0</v>
      </c>
    </row>
    <row r="279" spans="1:10">
      <c r="A279" s="235" t="s">
        <v>283</v>
      </c>
      <c r="B279" s="237"/>
      <c r="C279" s="236">
        <v>124753</v>
      </c>
      <c r="E279">
        <f>+IFERROR(VLOOKUP(A279,'TB final'!$A$4:$J$808,7,),0)</f>
        <v>0</v>
      </c>
      <c r="F279">
        <f>+IFERROR(VLOOKUP(A279,'TB final'!$A$4:$J$808,10,),0)</f>
        <v>124753</v>
      </c>
      <c r="H279" s="2">
        <f t="shared" si="12"/>
        <v>0</v>
      </c>
      <c r="I279" s="2">
        <f t="shared" si="13"/>
        <v>0</v>
      </c>
      <c r="J279" s="2">
        <f t="shared" si="14"/>
        <v>0</v>
      </c>
    </row>
    <row r="280" spans="1:10">
      <c r="A280" s="235" t="s">
        <v>284</v>
      </c>
      <c r="B280" s="237"/>
      <c r="C280" s="236">
        <v>21303</v>
      </c>
      <c r="E280">
        <f>+IFERROR(VLOOKUP(A280,'TB final'!$A$4:$J$808,7,),0)</f>
        <v>0</v>
      </c>
      <c r="F280">
        <f>+IFERROR(VLOOKUP(A280,'TB final'!$A$4:$J$808,10,),0)</f>
        <v>21303</v>
      </c>
      <c r="H280" s="2">
        <f t="shared" si="12"/>
        <v>0</v>
      </c>
      <c r="I280" s="2">
        <f t="shared" si="13"/>
        <v>0</v>
      </c>
      <c r="J280" s="2">
        <f t="shared" si="14"/>
        <v>0</v>
      </c>
    </row>
    <row r="281" spans="1:10">
      <c r="A281" s="235" t="s">
        <v>285</v>
      </c>
      <c r="B281" s="236">
        <v>4723871</v>
      </c>
      <c r="C281" s="237"/>
      <c r="E281">
        <f>+IFERROR(VLOOKUP(A281,'TB final'!$A$4:$J$808,7,),0)</f>
        <v>4723871</v>
      </c>
      <c r="F281">
        <f>+IFERROR(VLOOKUP(A281,'TB final'!$A$4:$J$808,10,),0)</f>
        <v>0</v>
      </c>
      <c r="H281" s="2">
        <f t="shared" si="12"/>
        <v>0</v>
      </c>
      <c r="I281" s="2">
        <f t="shared" si="13"/>
        <v>0</v>
      </c>
      <c r="J281" s="2">
        <f t="shared" si="14"/>
        <v>0</v>
      </c>
    </row>
    <row r="282" spans="1:10">
      <c r="A282" s="235" t="s">
        <v>286</v>
      </c>
      <c r="B282" s="236">
        <v>230514</v>
      </c>
      <c r="C282" s="237"/>
      <c r="E282">
        <f>+IFERROR(VLOOKUP(A282,'TB final'!$A$4:$J$808,7,),0)</f>
        <v>230514</v>
      </c>
      <c r="F282">
        <f>+IFERROR(VLOOKUP(A282,'TB final'!$A$4:$J$808,10,),0)</f>
        <v>0</v>
      </c>
      <c r="H282" s="2">
        <f t="shared" si="12"/>
        <v>0</v>
      </c>
      <c r="I282" s="2">
        <f t="shared" si="13"/>
        <v>0</v>
      </c>
      <c r="J282" s="2">
        <f t="shared" si="14"/>
        <v>0</v>
      </c>
    </row>
    <row r="283" spans="1:10">
      <c r="A283" s="235" t="s">
        <v>287</v>
      </c>
      <c r="B283" s="236">
        <v>501594.49</v>
      </c>
      <c r="C283" s="237"/>
      <c r="E283">
        <f>+IFERROR(VLOOKUP(A283,'TB final'!$A$4:$J$808,7,),0)</f>
        <v>501594.49</v>
      </c>
      <c r="F283">
        <f>+IFERROR(VLOOKUP(A283,'TB final'!$A$4:$J$808,10,),0)</f>
        <v>0</v>
      </c>
      <c r="H283" s="2">
        <f t="shared" si="12"/>
        <v>0</v>
      </c>
      <c r="I283" s="2">
        <f t="shared" si="13"/>
        <v>0</v>
      </c>
      <c r="J283" s="2">
        <f t="shared" si="14"/>
        <v>0</v>
      </c>
    </row>
    <row r="284" spans="1:10">
      <c r="A284" s="235" t="s">
        <v>288</v>
      </c>
      <c r="B284" s="236">
        <v>49000</v>
      </c>
      <c r="C284" s="237"/>
      <c r="E284">
        <f>+IFERROR(VLOOKUP(A284,'TB final'!$A$4:$J$808,7,),0)</f>
        <v>49000</v>
      </c>
      <c r="F284">
        <f>+IFERROR(VLOOKUP(A284,'TB final'!$A$4:$J$808,10,),0)</f>
        <v>0</v>
      </c>
      <c r="H284" s="2">
        <f t="shared" si="12"/>
        <v>0</v>
      </c>
      <c r="I284" s="2">
        <f t="shared" si="13"/>
        <v>0</v>
      </c>
      <c r="J284" s="2">
        <f t="shared" si="14"/>
        <v>0</v>
      </c>
    </row>
    <row r="285" spans="1:10">
      <c r="A285" s="235" t="s">
        <v>289</v>
      </c>
      <c r="B285" s="237"/>
      <c r="C285" s="236">
        <v>50905004</v>
      </c>
      <c r="E285">
        <f>+IFERROR(VLOOKUP(A285,'TB final'!$A$4:$J$808,7,),0)</f>
        <v>0</v>
      </c>
      <c r="F285">
        <f>+IFERROR(VLOOKUP(A285,'TB final'!$A$4:$J$808,10,),0)</f>
        <v>50905004</v>
      </c>
      <c r="H285" s="2">
        <f t="shared" si="12"/>
        <v>0</v>
      </c>
      <c r="I285" s="2">
        <f t="shared" si="13"/>
        <v>0</v>
      </c>
      <c r="J285" s="2">
        <f t="shared" si="14"/>
        <v>0</v>
      </c>
    </row>
    <row r="286" spans="1:10">
      <c r="A286" s="235" t="s">
        <v>290</v>
      </c>
      <c r="B286" s="236">
        <v>4000</v>
      </c>
      <c r="C286" s="237"/>
      <c r="E286">
        <f>+IFERROR(VLOOKUP(A286,'TB final'!$A$4:$J$808,7,),0)</f>
        <v>4000</v>
      </c>
      <c r="F286">
        <f>+IFERROR(VLOOKUP(A286,'TB final'!$A$4:$J$808,10,),0)</f>
        <v>0</v>
      </c>
      <c r="H286" s="2">
        <f t="shared" si="12"/>
        <v>0</v>
      </c>
      <c r="I286" s="2">
        <f t="shared" si="13"/>
        <v>0</v>
      </c>
      <c r="J286" s="2">
        <f t="shared" si="14"/>
        <v>0</v>
      </c>
    </row>
    <row r="287" spans="1:10">
      <c r="A287" s="235" t="s">
        <v>291</v>
      </c>
      <c r="B287" s="236">
        <v>10950</v>
      </c>
      <c r="C287" s="237"/>
      <c r="E287">
        <f>+IFERROR(VLOOKUP(A287,'TB final'!$A$4:$J$808,7,),0)</f>
        <v>10950</v>
      </c>
      <c r="F287">
        <f>+IFERROR(VLOOKUP(A287,'TB final'!$A$4:$J$808,10,),0)</f>
        <v>0</v>
      </c>
      <c r="H287" s="2">
        <f t="shared" si="12"/>
        <v>0</v>
      </c>
      <c r="I287" s="2">
        <f t="shared" si="13"/>
        <v>0</v>
      </c>
      <c r="J287" s="2">
        <f t="shared" si="14"/>
        <v>0</v>
      </c>
    </row>
    <row r="288" spans="1:10">
      <c r="A288" s="235" t="s">
        <v>292</v>
      </c>
      <c r="B288" s="236">
        <v>413262</v>
      </c>
      <c r="C288" s="237"/>
      <c r="E288">
        <f>+IFERROR(VLOOKUP(A288,'TB final'!$A$4:$J$808,7,),0)</f>
        <v>413262</v>
      </c>
      <c r="F288">
        <f>+IFERROR(VLOOKUP(A288,'TB final'!$A$4:$J$808,10,),0)</f>
        <v>0</v>
      </c>
      <c r="H288" s="2">
        <f t="shared" si="12"/>
        <v>0</v>
      </c>
      <c r="I288" s="2">
        <f t="shared" si="13"/>
        <v>0</v>
      </c>
      <c r="J288" s="2">
        <f t="shared" si="14"/>
        <v>0</v>
      </c>
    </row>
    <row r="289" spans="1:10">
      <c r="A289" s="235" t="s">
        <v>293</v>
      </c>
      <c r="B289" s="237"/>
      <c r="C289" s="236">
        <v>2717096</v>
      </c>
      <c r="E289">
        <f>+IFERROR(VLOOKUP(A289,'TB final'!$A$4:$J$808,7,),0)</f>
        <v>0</v>
      </c>
      <c r="F289">
        <f>+IFERROR(VLOOKUP(A289,'TB final'!$A$4:$J$808,10,),0)</f>
        <v>2717096</v>
      </c>
      <c r="H289" s="2">
        <f t="shared" si="12"/>
        <v>0</v>
      </c>
      <c r="I289" s="2">
        <f t="shared" si="13"/>
        <v>0</v>
      </c>
      <c r="J289" s="2">
        <f t="shared" si="14"/>
        <v>0</v>
      </c>
    </row>
    <row r="290" spans="1:10">
      <c r="A290" s="235" t="s">
        <v>294</v>
      </c>
      <c r="B290" s="237"/>
      <c r="C290" s="236">
        <v>902.81</v>
      </c>
      <c r="E290">
        <f>+IFERROR(VLOOKUP(A290,'TB final'!$A$4:$J$808,7,),0)</f>
        <v>0</v>
      </c>
      <c r="F290">
        <f>+IFERROR(VLOOKUP(A290,'TB final'!$A$4:$J$808,10,),0)</f>
        <v>902.81</v>
      </c>
      <c r="H290" s="2">
        <f t="shared" si="12"/>
        <v>0</v>
      </c>
      <c r="I290" s="2">
        <f t="shared" si="13"/>
        <v>0</v>
      </c>
      <c r="J290" s="2">
        <f t="shared" si="14"/>
        <v>0</v>
      </c>
    </row>
    <row r="291" spans="1:10">
      <c r="A291" s="235" t="s">
        <v>295</v>
      </c>
      <c r="B291" s="236">
        <v>14451586</v>
      </c>
      <c r="C291" s="237"/>
      <c r="E291">
        <f>+IFERROR(VLOOKUP(A291,'TB final'!$A$4:$J$808,7,),0)</f>
        <v>14451586</v>
      </c>
      <c r="F291">
        <f>+IFERROR(VLOOKUP(A291,'TB final'!$A$4:$J$808,10,),0)</f>
        <v>0</v>
      </c>
      <c r="H291" s="2">
        <f t="shared" si="12"/>
        <v>0</v>
      </c>
      <c r="I291" s="2">
        <f t="shared" si="13"/>
        <v>0</v>
      </c>
      <c r="J291" s="2">
        <f t="shared" si="14"/>
        <v>0</v>
      </c>
    </row>
    <row r="292" spans="1:10">
      <c r="A292" s="235" t="s">
        <v>296</v>
      </c>
      <c r="B292" s="236">
        <v>4622711</v>
      </c>
      <c r="C292" s="237"/>
      <c r="E292">
        <f>+IFERROR(VLOOKUP(A292,'TB final'!$A$4:$J$808,7,),0)</f>
        <v>4622711</v>
      </c>
      <c r="F292">
        <f>+IFERROR(VLOOKUP(A292,'TB final'!$A$4:$J$808,10,),0)</f>
        <v>0</v>
      </c>
      <c r="H292" s="2">
        <f t="shared" si="12"/>
        <v>0</v>
      </c>
      <c r="I292" s="2">
        <f t="shared" si="13"/>
        <v>0</v>
      </c>
      <c r="J292" s="2">
        <f t="shared" si="14"/>
        <v>0</v>
      </c>
    </row>
    <row r="293" spans="1:10">
      <c r="A293" s="235" t="s">
        <v>297</v>
      </c>
      <c r="B293" s="236">
        <v>2000</v>
      </c>
      <c r="C293" s="237"/>
      <c r="E293">
        <f>+IFERROR(VLOOKUP(A293,'TB final'!$A$4:$J$808,7,),0)</f>
        <v>2000</v>
      </c>
      <c r="F293">
        <f>+IFERROR(VLOOKUP(A293,'TB final'!$A$4:$J$808,10,),0)</f>
        <v>0</v>
      </c>
      <c r="H293" s="2">
        <f t="shared" si="12"/>
        <v>0</v>
      </c>
      <c r="I293" s="2">
        <f t="shared" si="13"/>
        <v>0</v>
      </c>
      <c r="J293" s="2">
        <f t="shared" si="14"/>
        <v>0</v>
      </c>
    </row>
    <row r="294" spans="1:10">
      <c r="A294" s="235" t="s">
        <v>298</v>
      </c>
      <c r="B294" s="237"/>
      <c r="C294" s="236">
        <v>30090</v>
      </c>
      <c r="E294">
        <f>+IFERROR(VLOOKUP(A294,'TB final'!$A$4:$J$808,7,),0)</f>
        <v>0</v>
      </c>
      <c r="F294">
        <f>+IFERROR(VLOOKUP(A294,'TB final'!$A$4:$J$808,10,),0)</f>
        <v>30090</v>
      </c>
      <c r="H294" s="2">
        <f t="shared" si="12"/>
        <v>0</v>
      </c>
      <c r="I294" s="2">
        <f t="shared" si="13"/>
        <v>0</v>
      </c>
      <c r="J294" s="2">
        <f t="shared" si="14"/>
        <v>0</v>
      </c>
    </row>
    <row r="295" spans="1:10">
      <c r="A295" s="235" t="s">
        <v>299</v>
      </c>
      <c r="B295" s="236">
        <v>3429284</v>
      </c>
      <c r="C295" s="237"/>
      <c r="E295">
        <f>+IFERROR(VLOOKUP(A295,'TB final'!$A$4:$J$808,7,),0)</f>
        <v>3429284</v>
      </c>
      <c r="F295">
        <f>+IFERROR(VLOOKUP(A295,'TB final'!$A$4:$J$808,10,),0)</f>
        <v>0</v>
      </c>
      <c r="H295" s="2">
        <f t="shared" si="12"/>
        <v>0</v>
      </c>
      <c r="I295" s="2">
        <f t="shared" si="13"/>
        <v>0</v>
      </c>
      <c r="J295" s="2">
        <f t="shared" si="14"/>
        <v>0</v>
      </c>
    </row>
    <row r="296" spans="1:10">
      <c r="A296" s="235" t="s">
        <v>300</v>
      </c>
      <c r="B296" s="237"/>
      <c r="C296" s="236">
        <v>122753</v>
      </c>
      <c r="E296">
        <f>+IFERROR(VLOOKUP(A296,'TB final'!$A$4:$J$808,7,),0)</f>
        <v>0</v>
      </c>
      <c r="F296">
        <f>+IFERROR(VLOOKUP(A296,'TB final'!$A$4:$J$808,10,),0)</f>
        <v>122753</v>
      </c>
      <c r="H296" s="2">
        <f t="shared" si="12"/>
        <v>0</v>
      </c>
      <c r="I296" s="2">
        <f t="shared" si="13"/>
        <v>0</v>
      </c>
      <c r="J296" s="2">
        <f t="shared" si="14"/>
        <v>0</v>
      </c>
    </row>
    <row r="297" spans="1:10">
      <c r="A297" s="235" t="s">
        <v>301</v>
      </c>
      <c r="B297" s="237"/>
      <c r="C297" s="236">
        <v>1152229</v>
      </c>
      <c r="E297">
        <f>+IFERROR(VLOOKUP(A297,'TB final'!$A$4:$J$808,7,),0)</f>
        <v>0</v>
      </c>
      <c r="F297">
        <f>+IFERROR(VLOOKUP(A297,'TB final'!$A$4:$J$808,10,),0)</f>
        <v>1152229</v>
      </c>
      <c r="H297" s="2">
        <f t="shared" si="12"/>
        <v>0</v>
      </c>
      <c r="I297" s="2">
        <f t="shared" si="13"/>
        <v>0</v>
      </c>
      <c r="J297" s="2">
        <f t="shared" si="14"/>
        <v>0</v>
      </c>
    </row>
    <row r="298" spans="1:10">
      <c r="A298" s="235" t="s">
        <v>302</v>
      </c>
      <c r="B298" s="236">
        <v>222000</v>
      </c>
      <c r="C298" s="237"/>
      <c r="E298">
        <f>+IFERROR(VLOOKUP(A298,'TB final'!$A$4:$J$808,7,),0)</f>
        <v>222000</v>
      </c>
      <c r="F298">
        <f>+IFERROR(VLOOKUP(A298,'TB final'!$A$4:$J$808,10,),0)</f>
        <v>0</v>
      </c>
      <c r="H298" s="2">
        <f t="shared" si="12"/>
        <v>0</v>
      </c>
      <c r="I298" s="2">
        <f t="shared" si="13"/>
        <v>0</v>
      </c>
      <c r="J298" s="2">
        <f t="shared" si="14"/>
        <v>0</v>
      </c>
    </row>
    <row r="299" spans="1:10">
      <c r="A299" s="235" t="s">
        <v>303</v>
      </c>
      <c r="B299" s="236">
        <v>2764949</v>
      </c>
      <c r="C299" s="237"/>
      <c r="E299">
        <f>+IFERROR(VLOOKUP(A299,'TB final'!$A$4:$J$808,7,),0)</f>
        <v>2764949</v>
      </c>
      <c r="F299">
        <f>+IFERROR(VLOOKUP(A299,'TB final'!$A$4:$J$808,10,),0)</f>
        <v>0</v>
      </c>
      <c r="H299" s="2">
        <f t="shared" si="12"/>
        <v>0</v>
      </c>
      <c r="I299" s="2">
        <f t="shared" si="13"/>
        <v>0</v>
      </c>
      <c r="J299" s="2">
        <f t="shared" si="14"/>
        <v>0</v>
      </c>
    </row>
    <row r="300" spans="1:10">
      <c r="A300" s="235" t="s">
        <v>304</v>
      </c>
      <c r="B300" s="236">
        <v>2678400</v>
      </c>
      <c r="C300" s="237"/>
      <c r="E300">
        <f>+IFERROR(VLOOKUP(A300,'TB final'!$A$4:$J$808,7,),0)</f>
        <v>2678400</v>
      </c>
      <c r="F300">
        <f>+IFERROR(VLOOKUP(A300,'TB final'!$A$4:$J$808,10,),0)</f>
        <v>0</v>
      </c>
      <c r="H300" s="2">
        <f t="shared" si="12"/>
        <v>0</v>
      </c>
      <c r="I300" s="2">
        <f t="shared" si="13"/>
        <v>0</v>
      </c>
      <c r="J300" s="2">
        <f t="shared" si="14"/>
        <v>0</v>
      </c>
    </row>
    <row r="301" spans="1:10">
      <c r="A301" s="235" t="s">
        <v>305</v>
      </c>
      <c r="B301" s="236">
        <v>10002813</v>
      </c>
      <c r="C301" s="237"/>
      <c r="E301">
        <f>+IFERROR(VLOOKUP(A301,'TB final'!$A$4:$J$808,7,),0)</f>
        <v>10002813</v>
      </c>
      <c r="F301">
        <f>+IFERROR(VLOOKUP(A301,'TB final'!$A$4:$J$808,10,),0)</f>
        <v>0</v>
      </c>
      <c r="H301" s="2">
        <f t="shared" si="12"/>
        <v>0</v>
      </c>
      <c r="I301" s="2">
        <f t="shared" si="13"/>
        <v>0</v>
      </c>
      <c r="J301" s="2">
        <f t="shared" si="14"/>
        <v>0</v>
      </c>
    </row>
    <row r="302" spans="1:10">
      <c r="A302" s="235" t="s">
        <v>306</v>
      </c>
      <c r="B302" s="237"/>
      <c r="C302" s="236">
        <v>996978842.14999998</v>
      </c>
      <c r="E302">
        <f>+IFERROR(VLOOKUP(A302,'TB final'!$A$4:$J$808,7,),0)</f>
        <v>0</v>
      </c>
      <c r="F302">
        <f>+IFERROR(VLOOKUP(A302,'TB final'!$A$4:$J$808,10,),0)</f>
        <v>996978842.14999998</v>
      </c>
      <c r="H302" s="2">
        <f t="shared" si="12"/>
        <v>0</v>
      </c>
      <c r="I302" s="2">
        <f t="shared" si="13"/>
        <v>0</v>
      </c>
      <c r="J302" s="2">
        <f t="shared" si="14"/>
        <v>0</v>
      </c>
    </row>
    <row r="303" spans="1:10">
      <c r="A303" s="235" t="s">
        <v>307</v>
      </c>
      <c r="B303" s="237"/>
      <c r="C303" s="236">
        <v>121315419.15000001</v>
      </c>
      <c r="E303">
        <f>+IFERROR(VLOOKUP(A303,'TB final'!$A$4:$J$808,7,),0)</f>
        <v>0</v>
      </c>
      <c r="F303">
        <f>+IFERROR(VLOOKUP(A303,'TB final'!$A$4:$J$808,10,),0)</f>
        <v>121315419.15000001</v>
      </c>
      <c r="H303" s="2">
        <f t="shared" si="12"/>
        <v>0</v>
      </c>
      <c r="I303" s="2">
        <f t="shared" si="13"/>
        <v>0</v>
      </c>
      <c r="J303" s="2">
        <f t="shared" si="14"/>
        <v>0</v>
      </c>
    </row>
    <row r="304" spans="1:10">
      <c r="A304" s="235" t="s">
        <v>308</v>
      </c>
      <c r="B304" s="237"/>
      <c r="C304" s="236">
        <v>1177784</v>
      </c>
      <c r="E304">
        <f>+IFERROR(VLOOKUP(A304,'TB final'!$A$4:$J$808,7,),0)</f>
        <v>0</v>
      </c>
      <c r="F304">
        <f>+IFERROR(VLOOKUP(A304,'TB final'!$A$4:$J$808,10,),0)</f>
        <v>1177784</v>
      </c>
      <c r="H304" s="2">
        <f t="shared" si="12"/>
        <v>0</v>
      </c>
      <c r="I304" s="2">
        <f t="shared" si="13"/>
        <v>0</v>
      </c>
      <c r="J304" s="2">
        <f t="shared" si="14"/>
        <v>0</v>
      </c>
    </row>
    <row r="305" spans="1:10">
      <c r="A305" s="235" t="s">
        <v>309</v>
      </c>
      <c r="B305" s="237"/>
      <c r="C305" s="236">
        <v>1218462</v>
      </c>
      <c r="E305">
        <f>+IFERROR(VLOOKUP(A305,'TB final'!$A$4:$J$808,7,),0)</f>
        <v>0</v>
      </c>
      <c r="F305">
        <f>+IFERROR(VLOOKUP(A305,'TB final'!$A$4:$J$808,10,),0)</f>
        <v>1218462</v>
      </c>
      <c r="H305" s="2">
        <f t="shared" si="12"/>
        <v>0</v>
      </c>
      <c r="I305" s="2">
        <f t="shared" si="13"/>
        <v>0</v>
      </c>
      <c r="J305" s="2">
        <f t="shared" si="14"/>
        <v>0</v>
      </c>
    </row>
    <row r="306" spans="1:10">
      <c r="A306" s="235" t="s">
        <v>310</v>
      </c>
      <c r="B306" s="237"/>
      <c r="C306" s="236">
        <v>1895328</v>
      </c>
      <c r="E306">
        <f>+IFERROR(VLOOKUP(A306,'TB final'!$A$4:$J$808,7,),0)</f>
        <v>0</v>
      </c>
      <c r="F306">
        <f>+IFERROR(VLOOKUP(A306,'TB final'!$A$4:$J$808,10,),0)</f>
        <v>1895328</v>
      </c>
      <c r="H306" s="2">
        <f t="shared" si="12"/>
        <v>0</v>
      </c>
      <c r="I306" s="2">
        <f t="shared" si="13"/>
        <v>0</v>
      </c>
      <c r="J306" s="2">
        <f t="shared" si="14"/>
        <v>0</v>
      </c>
    </row>
    <row r="307" spans="1:10">
      <c r="A307" s="235" t="s">
        <v>311</v>
      </c>
      <c r="B307" s="236">
        <v>14000</v>
      </c>
      <c r="C307" s="237"/>
      <c r="E307">
        <f>+IFERROR(VLOOKUP(A307,'TB final'!$A$4:$J$808,7,),0)</f>
        <v>14000</v>
      </c>
      <c r="F307">
        <f>+IFERROR(VLOOKUP(A307,'TB final'!$A$4:$J$808,10,),0)</f>
        <v>0</v>
      </c>
      <c r="H307" s="2">
        <f t="shared" si="12"/>
        <v>0</v>
      </c>
      <c r="I307" s="2">
        <f t="shared" si="13"/>
        <v>0</v>
      </c>
      <c r="J307" s="2">
        <f t="shared" si="14"/>
        <v>0</v>
      </c>
    </row>
    <row r="308" spans="1:10">
      <c r="A308" s="235" t="s">
        <v>312</v>
      </c>
      <c r="B308" s="236">
        <v>1231667</v>
      </c>
      <c r="C308" s="237"/>
      <c r="E308">
        <f>+IFERROR(VLOOKUP(A308,'TB final'!$A$4:$J$808,7,),0)</f>
        <v>1231667</v>
      </c>
      <c r="F308">
        <f>+IFERROR(VLOOKUP(A308,'TB final'!$A$4:$J$808,10,),0)</f>
        <v>0</v>
      </c>
      <c r="H308" s="2">
        <f t="shared" si="12"/>
        <v>0</v>
      </c>
      <c r="I308" s="2">
        <f t="shared" si="13"/>
        <v>0</v>
      </c>
      <c r="J308" s="2">
        <f t="shared" si="14"/>
        <v>0</v>
      </c>
    </row>
    <row r="309" spans="1:10">
      <c r="A309" s="235" t="s">
        <v>313</v>
      </c>
      <c r="B309" s="237"/>
      <c r="C309" s="236">
        <v>7186632</v>
      </c>
      <c r="E309">
        <f>+IFERROR(VLOOKUP(A309,'TB final'!$A$4:$J$808,7,),0)</f>
        <v>0</v>
      </c>
      <c r="F309">
        <f>+IFERROR(VLOOKUP(A309,'TB final'!$A$4:$J$808,10,),0)</f>
        <v>7186632</v>
      </c>
      <c r="H309" s="2">
        <f t="shared" si="12"/>
        <v>0</v>
      </c>
      <c r="I309" s="2">
        <f t="shared" si="13"/>
        <v>0</v>
      </c>
      <c r="J309" s="2">
        <f t="shared" si="14"/>
        <v>0</v>
      </c>
    </row>
    <row r="310" spans="1:10">
      <c r="A310" s="235" t="s">
        <v>314</v>
      </c>
      <c r="B310" s="237"/>
      <c r="C310" s="236">
        <v>10481463</v>
      </c>
      <c r="E310">
        <f>+IFERROR(VLOOKUP(A310,'TB final'!$A$4:$J$808,7,),0)</f>
        <v>0</v>
      </c>
      <c r="F310">
        <f>+IFERROR(VLOOKUP(A310,'TB final'!$A$4:$J$808,10,),0)</f>
        <v>10481463</v>
      </c>
      <c r="H310" s="2">
        <f t="shared" si="12"/>
        <v>0</v>
      </c>
      <c r="I310" s="2">
        <f t="shared" si="13"/>
        <v>0</v>
      </c>
      <c r="J310" s="2">
        <f t="shared" si="14"/>
        <v>0</v>
      </c>
    </row>
    <row r="311" spans="1:10">
      <c r="A311" s="235" t="s">
        <v>315</v>
      </c>
      <c r="B311" s="236">
        <v>10757.64</v>
      </c>
      <c r="C311" s="237"/>
      <c r="E311">
        <f>+IFERROR(VLOOKUP(A311,'TB final'!$A$4:$J$808,7,),0)</f>
        <v>10757.64</v>
      </c>
      <c r="F311">
        <f>+IFERROR(VLOOKUP(A311,'TB final'!$A$4:$J$808,10,),0)</f>
        <v>0</v>
      </c>
      <c r="H311" s="2">
        <f t="shared" si="12"/>
        <v>0</v>
      </c>
      <c r="I311" s="2">
        <f t="shared" si="13"/>
        <v>0</v>
      </c>
      <c r="J311" s="2">
        <f t="shared" si="14"/>
        <v>0</v>
      </c>
    </row>
    <row r="312" spans="1:10">
      <c r="A312" s="235" t="s">
        <v>316</v>
      </c>
      <c r="B312" s="237"/>
      <c r="C312" s="236">
        <v>21743710</v>
      </c>
      <c r="E312">
        <f>+IFERROR(VLOOKUP(A312,'TB final'!$A$4:$J$808,7,),0)</f>
        <v>0</v>
      </c>
      <c r="F312">
        <f>+IFERROR(VLOOKUP(A312,'TB final'!$A$4:$J$808,10,),0)</f>
        <v>21743710</v>
      </c>
      <c r="H312" s="2">
        <f t="shared" si="12"/>
        <v>0</v>
      </c>
      <c r="I312" s="2">
        <f t="shared" si="13"/>
        <v>0</v>
      </c>
      <c r="J312" s="2">
        <f t="shared" si="14"/>
        <v>0</v>
      </c>
    </row>
    <row r="313" spans="1:10">
      <c r="A313" s="235" t="s">
        <v>317</v>
      </c>
      <c r="B313" s="237"/>
      <c r="C313" s="236">
        <v>8664946</v>
      </c>
      <c r="E313">
        <f>+IFERROR(VLOOKUP(A313,'TB final'!$A$4:$J$808,7,),0)</f>
        <v>0</v>
      </c>
      <c r="F313">
        <f>+IFERROR(VLOOKUP(A313,'TB final'!$A$4:$J$808,10,),0)</f>
        <v>8664946</v>
      </c>
      <c r="H313" s="2">
        <f t="shared" si="12"/>
        <v>0</v>
      </c>
      <c r="I313" s="2">
        <f t="shared" si="13"/>
        <v>0</v>
      </c>
      <c r="J313" s="2">
        <f t="shared" si="14"/>
        <v>0</v>
      </c>
    </row>
    <row r="314" spans="1:10">
      <c r="A314" s="235" t="s">
        <v>318</v>
      </c>
      <c r="B314" s="236">
        <v>783594</v>
      </c>
      <c r="C314" s="237"/>
      <c r="E314">
        <f>+IFERROR(VLOOKUP(A314,'TB final'!$A$4:$J$808,7,),0)</f>
        <v>783594</v>
      </c>
      <c r="F314">
        <f>+IFERROR(VLOOKUP(A314,'TB final'!$A$4:$J$808,10,),0)</f>
        <v>0</v>
      </c>
      <c r="H314" s="2">
        <f t="shared" si="12"/>
        <v>0</v>
      </c>
      <c r="I314" s="2">
        <f t="shared" si="13"/>
        <v>0</v>
      </c>
      <c r="J314" s="2">
        <f t="shared" si="14"/>
        <v>0</v>
      </c>
    </row>
    <row r="315" spans="1:10">
      <c r="A315" s="235" t="s">
        <v>319</v>
      </c>
      <c r="B315" s="237"/>
      <c r="C315" s="236">
        <v>429511</v>
      </c>
      <c r="E315">
        <f>+IFERROR(VLOOKUP(A315,'TB final'!$A$4:$J$808,7,),0)</f>
        <v>0</v>
      </c>
      <c r="F315">
        <f>+IFERROR(VLOOKUP(A315,'TB final'!$A$4:$J$808,10,),0)</f>
        <v>429511</v>
      </c>
      <c r="H315" s="2">
        <f t="shared" si="12"/>
        <v>0</v>
      </c>
      <c r="I315" s="2">
        <f t="shared" si="13"/>
        <v>0</v>
      </c>
      <c r="J315" s="2">
        <f t="shared" si="14"/>
        <v>0</v>
      </c>
    </row>
    <row r="316" spans="1:10">
      <c r="A316" s="235" t="s">
        <v>320</v>
      </c>
      <c r="B316" s="237"/>
      <c r="C316" s="236">
        <v>85432</v>
      </c>
      <c r="E316">
        <f>+IFERROR(VLOOKUP(A316,'TB final'!$A$4:$J$808,7,),0)</f>
        <v>0</v>
      </c>
      <c r="F316">
        <f>+IFERROR(VLOOKUP(A316,'TB final'!$A$4:$J$808,10,),0)</f>
        <v>85432</v>
      </c>
      <c r="H316" s="2">
        <f t="shared" si="12"/>
        <v>0</v>
      </c>
      <c r="I316" s="2">
        <f t="shared" si="13"/>
        <v>0</v>
      </c>
      <c r="J316" s="2">
        <f t="shared" si="14"/>
        <v>0</v>
      </c>
    </row>
    <row r="317" spans="1:10">
      <c r="A317" s="235" t="s">
        <v>321</v>
      </c>
      <c r="B317" s="237"/>
      <c r="C317" s="236">
        <v>22958399.75</v>
      </c>
      <c r="E317">
        <f>+IFERROR(VLOOKUP(A317,'TB final'!$A$4:$J$808,7,),0)</f>
        <v>0</v>
      </c>
      <c r="F317">
        <f>+IFERROR(VLOOKUP(A317,'TB final'!$A$4:$J$808,10,),0)</f>
        <v>22958399.75</v>
      </c>
      <c r="H317" s="2">
        <f t="shared" si="12"/>
        <v>0</v>
      </c>
      <c r="I317" s="2">
        <f t="shared" si="13"/>
        <v>0</v>
      </c>
      <c r="J317" s="2">
        <f t="shared" si="14"/>
        <v>0</v>
      </c>
    </row>
    <row r="318" spans="1:10">
      <c r="A318" s="235" t="s">
        <v>326</v>
      </c>
      <c r="B318" s="237"/>
      <c r="C318" s="236">
        <v>2903011.08</v>
      </c>
      <c r="E318">
        <f>+IFERROR(VLOOKUP(A318,'TB final'!$A$4:$J$808,7,),0)</f>
        <v>0</v>
      </c>
      <c r="F318">
        <f>+IFERROR(VLOOKUP(A318,'TB final'!$A$4:$J$808,10,),0)</f>
        <v>2903011.08</v>
      </c>
      <c r="H318" s="2">
        <f t="shared" si="12"/>
        <v>0</v>
      </c>
      <c r="I318" s="2">
        <f t="shared" si="13"/>
        <v>0</v>
      </c>
      <c r="J318" s="2">
        <f t="shared" si="14"/>
        <v>0</v>
      </c>
    </row>
    <row r="319" spans="1:10">
      <c r="A319" s="235" t="s">
        <v>328</v>
      </c>
      <c r="B319" s="236">
        <v>1020644</v>
      </c>
      <c r="C319" s="237"/>
      <c r="E319">
        <f>+IFERROR(VLOOKUP(A319,'TB final'!$A$4:$J$808,7,),0)</f>
        <v>1020644</v>
      </c>
      <c r="F319">
        <f>+IFERROR(VLOOKUP(A319,'TB final'!$A$4:$J$808,10,),0)</f>
        <v>0</v>
      </c>
      <c r="H319" s="2">
        <f t="shared" si="12"/>
        <v>0</v>
      </c>
      <c r="I319" s="2">
        <f t="shared" si="13"/>
        <v>0</v>
      </c>
      <c r="J319" s="2">
        <f t="shared" si="14"/>
        <v>0</v>
      </c>
    </row>
    <row r="320" spans="1:10">
      <c r="A320" s="235" t="s">
        <v>330</v>
      </c>
      <c r="B320" s="237"/>
      <c r="C320" s="236">
        <v>2686453</v>
      </c>
      <c r="E320">
        <f>+IFERROR(VLOOKUP(A320,'TB final'!$A$4:$J$808,7,),0)</f>
        <v>0</v>
      </c>
      <c r="F320">
        <f>+IFERROR(VLOOKUP(A320,'TB final'!$A$4:$J$808,10,),0)</f>
        <v>2686453</v>
      </c>
      <c r="H320" s="2">
        <f t="shared" si="12"/>
        <v>0</v>
      </c>
      <c r="I320" s="2">
        <f t="shared" si="13"/>
        <v>0</v>
      </c>
      <c r="J320" s="2">
        <f t="shared" si="14"/>
        <v>0</v>
      </c>
    </row>
    <row r="321" spans="1:10">
      <c r="A321" s="235" t="s">
        <v>331</v>
      </c>
      <c r="B321" s="236">
        <v>5205371</v>
      </c>
      <c r="C321" s="237"/>
      <c r="E321">
        <f>+IFERROR(VLOOKUP(A321,'TB final'!$A$4:$J$808,7,),0)</f>
        <v>5205371</v>
      </c>
      <c r="F321">
        <f>+IFERROR(VLOOKUP(A321,'TB final'!$A$4:$J$808,10,),0)</f>
        <v>0</v>
      </c>
      <c r="H321" s="2">
        <f t="shared" si="12"/>
        <v>0</v>
      </c>
      <c r="I321" s="2">
        <f t="shared" si="13"/>
        <v>0</v>
      </c>
      <c r="J321" s="2">
        <f t="shared" si="14"/>
        <v>0</v>
      </c>
    </row>
    <row r="322" spans="1:10">
      <c r="A322" s="235" t="s">
        <v>332</v>
      </c>
      <c r="B322" s="236">
        <v>557086</v>
      </c>
      <c r="C322" s="237"/>
      <c r="E322">
        <f>+IFERROR(VLOOKUP(A322,'TB final'!$A$4:$J$808,7,),0)</f>
        <v>557086</v>
      </c>
      <c r="F322">
        <f>+IFERROR(VLOOKUP(A322,'TB final'!$A$4:$J$808,10,),0)</f>
        <v>0</v>
      </c>
      <c r="H322" s="2">
        <f t="shared" si="12"/>
        <v>0</v>
      </c>
      <c r="I322" s="2">
        <f t="shared" si="13"/>
        <v>0</v>
      </c>
      <c r="J322" s="2">
        <f t="shared" si="14"/>
        <v>0</v>
      </c>
    </row>
    <row r="323" spans="1:10">
      <c r="A323" s="235" t="s">
        <v>333</v>
      </c>
      <c r="B323" s="237"/>
      <c r="C323" s="236">
        <v>5633372.7000000002</v>
      </c>
      <c r="E323">
        <f>+IFERROR(VLOOKUP(A323,'TB final'!$A$4:$J$808,7,),0)</f>
        <v>0</v>
      </c>
      <c r="F323">
        <f>+IFERROR(VLOOKUP(A323,'TB final'!$A$4:$J$808,10,),0)</f>
        <v>5633372.7000000002</v>
      </c>
      <c r="H323" s="2">
        <f t="shared" si="12"/>
        <v>0</v>
      </c>
      <c r="I323" s="2">
        <f t="shared" si="13"/>
        <v>0</v>
      </c>
      <c r="J323" s="2">
        <f t="shared" si="14"/>
        <v>0</v>
      </c>
    </row>
    <row r="324" spans="1:10">
      <c r="A324" s="235" t="s">
        <v>334</v>
      </c>
      <c r="B324" s="237"/>
      <c r="C324" s="236">
        <v>36998</v>
      </c>
      <c r="E324">
        <f>+IFERROR(VLOOKUP(A324,'TB final'!$A$4:$J$808,7,),0)</f>
        <v>0</v>
      </c>
      <c r="F324">
        <f>+IFERROR(VLOOKUP(A324,'TB final'!$A$4:$J$808,10,),0)</f>
        <v>36998</v>
      </c>
      <c r="H324" s="2">
        <f t="shared" si="12"/>
        <v>0</v>
      </c>
      <c r="I324" s="2">
        <f t="shared" si="13"/>
        <v>0</v>
      </c>
      <c r="J324" s="2">
        <f t="shared" si="14"/>
        <v>0</v>
      </c>
    </row>
    <row r="325" spans="1:10">
      <c r="A325" s="235" t="s">
        <v>335</v>
      </c>
      <c r="B325" s="236">
        <v>1005946</v>
      </c>
      <c r="C325" s="237"/>
      <c r="E325">
        <f>+IFERROR(VLOOKUP(A325,'TB final'!$A$4:$J$808,7,),0)</f>
        <v>1005946</v>
      </c>
      <c r="F325">
        <f>+IFERROR(VLOOKUP(A325,'TB final'!$A$4:$J$808,10,),0)</f>
        <v>0</v>
      </c>
      <c r="H325" s="2">
        <f t="shared" si="12"/>
        <v>0</v>
      </c>
      <c r="I325" s="2">
        <f t="shared" si="13"/>
        <v>0</v>
      </c>
      <c r="J325" s="2">
        <f t="shared" si="14"/>
        <v>0</v>
      </c>
    </row>
    <row r="326" spans="1:10">
      <c r="A326" s="235" t="s">
        <v>336</v>
      </c>
      <c r="B326" s="237"/>
      <c r="C326" s="236">
        <v>198137</v>
      </c>
      <c r="E326">
        <f>+IFERROR(VLOOKUP(A326,'TB final'!$A$4:$J$808,7,),0)</f>
        <v>0</v>
      </c>
      <c r="F326">
        <f>+IFERROR(VLOOKUP(A326,'TB final'!$A$4:$J$808,10,),0)</f>
        <v>198137</v>
      </c>
      <c r="H326" s="2">
        <f t="shared" si="12"/>
        <v>0</v>
      </c>
      <c r="I326" s="2">
        <f t="shared" si="13"/>
        <v>0</v>
      </c>
      <c r="J326" s="2">
        <f t="shared" si="14"/>
        <v>0</v>
      </c>
    </row>
    <row r="327" spans="1:10">
      <c r="A327" s="235" t="s">
        <v>337</v>
      </c>
      <c r="B327" s="236">
        <v>1958488</v>
      </c>
      <c r="C327" s="237"/>
      <c r="E327">
        <f>+IFERROR(VLOOKUP(A327,'TB final'!$A$4:$J$808,7,),0)</f>
        <v>1958488</v>
      </c>
      <c r="F327">
        <f>+IFERROR(VLOOKUP(A327,'TB final'!$A$4:$J$808,10,),0)</f>
        <v>0</v>
      </c>
      <c r="H327" s="2">
        <f t="shared" si="12"/>
        <v>0</v>
      </c>
      <c r="I327" s="2">
        <f t="shared" si="13"/>
        <v>0</v>
      </c>
      <c r="J327" s="2">
        <f t="shared" si="14"/>
        <v>0</v>
      </c>
    </row>
    <row r="328" spans="1:10">
      <c r="A328" s="235" t="s">
        <v>338</v>
      </c>
      <c r="B328" s="236">
        <v>10980</v>
      </c>
      <c r="C328" s="237"/>
      <c r="E328">
        <f>+IFERROR(VLOOKUP(A328,'TB final'!$A$4:$J$808,7,),0)</f>
        <v>10980</v>
      </c>
      <c r="F328">
        <f>+IFERROR(VLOOKUP(A328,'TB final'!$A$4:$J$808,10,),0)</f>
        <v>0</v>
      </c>
      <c r="H328" s="2">
        <f t="shared" si="12"/>
        <v>0</v>
      </c>
      <c r="I328" s="2">
        <f t="shared" si="13"/>
        <v>0</v>
      </c>
      <c r="J328" s="2">
        <f t="shared" si="14"/>
        <v>0</v>
      </c>
    </row>
    <row r="329" spans="1:10">
      <c r="A329" s="235" t="s">
        <v>339</v>
      </c>
      <c r="B329" s="236">
        <v>3229</v>
      </c>
      <c r="C329" s="237"/>
      <c r="E329">
        <f>+IFERROR(VLOOKUP(A329,'TB final'!$A$4:$J$808,7,),0)</f>
        <v>3229</v>
      </c>
      <c r="F329">
        <f>+IFERROR(VLOOKUP(A329,'TB final'!$A$4:$J$808,10,),0)</f>
        <v>0</v>
      </c>
      <c r="H329" s="2">
        <f t="shared" si="12"/>
        <v>0</v>
      </c>
      <c r="I329" s="2">
        <f t="shared" si="13"/>
        <v>0</v>
      </c>
      <c r="J329" s="2">
        <f t="shared" si="14"/>
        <v>0</v>
      </c>
    </row>
    <row r="330" spans="1:10">
      <c r="A330" s="235" t="s">
        <v>340</v>
      </c>
      <c r="B330" s="237"/>
      <c r="C330" s="236">
        <v>3072538</v>
      </c>
      <c r="E330">
        <f>+IFERROR(VLOOKUP(A330,'TB final'!$A$4:$J$808,7,),0)</f>
        <v>0</v>
      </c>
      <c r="F330">
        <f>+IFERROR(VLOOKUP(A330,'TB final'!$A$4:$J$808,10,),0)</f>
        <v>3072538</v>
      </c>
      <c r="H330" s="2">
        <f t="shared" si="12"/>
        <v>0</v>
      </c>
      <c r="I330" s="2">
        <f t="shared" si="13"/>
        <v>0</v>
      </c>
      <c r="J330" s="2">
        <f t="shared" si="14"/>
        <v>0</v>
      </c>
    </row>
    <row r="331" spans="1:10">
      <c r="A331" s="235" t="s">
        <v>341</v>
      </c>
      <c r="B331" s="236">
        <v>2100000</v>
      </c>
      <c r="C331" s="237"/>
      <c r="E331">
        <f>+IFERROR(VLOOKUP(A331,'TB final'!$A$4:$J$808,7,),0)</f>
        <v>2100000</v>
      </c>
      <c r="F331">
        <f>+IFERROR(VLOOKUP(A331,'TB final'!$A$4:$J$808,10,),0)</f>
        <v>0</v>
      </c>
      <c r="H331" s="2">
        <f t="shared" si="12"/>
        <v>0</v>
      </c>
      <c r="I331" s="2">
        <f t="shared" si="13"/>
        <v>0</v>
      </c>
      <c r="J331" s="2">
        <f t="shared" si="14"/>
        <v>0</v>
      </c>
    </row>
    <row r="332" spans="1:10">
      <c r="A332" s="235" t="s">
        <v>342</v>
      </c>
      <c r="B332" s="237"/>
      <c r="C332" s="236">
        <v>11175</v>
      </c>
      <c r="E332">
        <f>+IFERROR(VLOOKUP(A332,'TB final'!$A$4:$J$808,7,),0)</f>
        <v>0</v>
      </c>
      <c r="F332">
        <f>+IFERROR(VLOOKUP(A332,'TB final'!$A$4:$J$808,10,),0)</f>
        <v>11175</v>
      </c>
      <c r="H332" s="2">
        <f t="shared" si="12"/>
        <v>0</v>
      </c>
      <c r="I332" s="2">
        <f t="shared" si="13"/>
        <v>0</v>
      </c>
      <c r="J332" s="2">
        <f t="shared" si="14"/>
        <v>0</v>
      </c>
    </row>
    <row r="333" spans="1:10">
      <c r="A333" s="235" t="s">
        <v>343</v>
      </c>
      <c r="B333" s="236">
        <v>14890</v>
      </c>
      <c r="C333" s="237"/>
      <c r="E333">
        <f>+IFERROR(VLOOKUP(A333,'TB final'!$A$4:$J$808,7,),0)</f>
        <v>14890</v>
      </c>
      <c r="F333">
        <f>+IFERROR(VLOOKUP(A333,'TB final'!$A$4:$J$808,10,),0)</f>
        <v>0</v>
      </c>
      <c r="H333" s="2">
        <f t="shared" ref="H333:H389" si="15">+B333-E333</f>
        <v>0</v>
      </c>
      <c r="I333" s="2">
        <f t="shared" ref="I333:I389" si="16">+C333-F333</f>
        <v>0</v>
      </c>
      <c r="J333" s="2">
        <f t="shared" ref="J333:J389" si="17">+H333+I333</f>
        <v>0</v>
      </c>
    </row>
    <row r="334" spans="1:10">
      <c r="A334" s="235" t="s">
        <v>344</v>
      </c>
      <c r="B334" s="237"/>
      <c r="C334" s="236">
        <v>56842407.57</v>
      </c>
      <c r="E334">
        <f>+IFERROR(VLOOKUP(A334,'TB final'!$A$4:$J$808,7,),0)</f>
        <v>0</v>
      </c>
      <c r="F334">
        <f>+IFERROR(VLOOKUP(A334,'TB final'!$A$4:$J$808,10,),0)</f>
        <v>56842407.57</v>
      </c>
      <c r="H334" s="2">
        <f t="shared" si="15"/>
        <v>0</v>
      </c>
      <c r="I334" s="2">
        <f t="shared" si="16"/>
        <v>0</v>
      </c>
      <c r="J334" s="2">
        <f t="shared" si="17"/>
        <v>0</v>
      </c>
    </row>
    <row r="335" spans="1:10">
      <c r="A335" s="235" t="s">
        <v>345</v>
      </c>
      <c r="B335" s="236">
        <v>3832008</v>
      </c>
      <c r="C335" s="237"/>
      <c r="E335">
        <f>+IFERROR(VLOOKUP(A335,'TB final'!$A$4:$J$808,7,),0)</f>
        <v>3832008</v>
      </c>
      <c r="F335">
        <f>+IFERROR(VLOOKUP(A335,'TB final'!$A$4:$J$808,10,),0)</f>
        <v>0</v>
      </c>
      <c r="H335" s="2">
        <f t="shared" si="15"/>
        <v>0</v>
      </c>
      <c r="I335" s="2">
        <f t="shared" si="16"/>
        <v>0</v>
      </c>
      <c r="J335" s="2">
        <f t="shared" si="17"/>
        <v>0</v>
      </c>
    </row>
    <row r="336" spans="1:10">
      <c r="A336" s="235" t="s">
        <v>346</v>
      </c>
      <c r="B336" s="236">
        <v>183140.58</v>
      </c>
      <c r="C336" s="237"/>
      <c r="E336">
        <f>+IFERROR(VLOOKUP(A336,'TB final'!$A$4:$J$808,7,),0)</f>
        <v>183140.58</v>
      </c>
      <c r="F336">
        <f>+IFERROR(VLOOKUP(A336,'TB final'!$A$4:$J$808,10,),0)</f>
        <v>0</v>
      </c>
      <c r="H336" s="2">
        <f t="shared" si="15"/>
        <v>0</v>
      </c>
      <c r="I336" s="2">
        <f t="shared" si="16"/>
        <v>0</v>
      </c>
      <c r="J336" s="2">
        <f t="shared" si="17"/>
        <v>0</v>
      </c>
    </row>
    <row r="337" spans="1:10">
      <c r="A337" s="235" t="s">
        <v>347</v>
      </c>
      <c r="B337" s="236">
        <v>275000</v>
      </c>
      <c r="C337" s="237"/>
      <c r="E337">
        <f>+IFERROR(VLOOKUP(A337,'TB final'!$A$4:$J$808,7,),0)</f>
        <v>275000</v>
      </c>
      <c r="F337">
        <f>+IFERROR(VLOOKUP(A337,'TB final'!$A$4:$J$808,10,),0)</f>
        <v>0</v>
      </c>
      <c r="H337" s="2">
        <f t="shared" si="15"/>
        <v>0</v>
      </c>
      <c r="I337" s="2">
        <f t="shared" si="16"/>
        <v>0</v>
      </c>
      <c r="J337" s="2">
        <f t="shared" si="17"/>
        <v>0</v>
      </c>
    </row>
    <row r="338" spans="1:10">
      <c r="A338" s="235" t="s">
        <v>348</v>
      </c>
      <c r="B338" s="236">
        <v>15000</v>
      </c>
      <c r="C338" s="237"/>
      <c r="E338">
        <f>+IFERROR(VLOOKUP(A338,'TB final'!$A$4:$J$808,7,),0)</f>
        <v>15000</v>
      </c>
      <c r="F338">
        <f>+IFERROR(VLOOKUP(A338,'TB final'!$A$4:$J$808,10,),0)</f>
        <v>0</v>
      </c>
      <c r="H338" s="2">
        <f t="shared" si="15"/>
        <v>0</v>
      </c>
      <c r="I338" s="2">
        <f t="shared" si="16"/>
        <v>0</v>
      </c>
      <c r="J338" s="2">
        <f t="shared" si="17"/>
        <v>0</v>
      </c>
    </row>
    <row r="339" spans="1:10">
      <c r="A339" s="235" t="s">
        <v>349</v>
      </c>
      <c r="B339" s="236">
        <v>5000</v>
      </c>
      <c r="C339" s="237"/>
      <c r="E339">
        <f>+IFERROR(VLOOKUP(A339,'TB final'!$A$4:$J$808,7,),0)</f>
        <v>5000</v>
      </c>
      <c r="F339">
        <f>+IFERROR(VLOOKUP(A339,'TB final'!$A$4:$J$808,10,),0)</f>
        <v>0</v>
      </c>
      <c r="H339" s="2">
        <f t="shared" si="15"/>
        <v>0</v>
      </c>
      <c r="I339" s="2">
        <f t="shared" si="16"/>
        <v>0</v>
      </c>
      <c r="J339" s="2">
        <f t="shared" si="17"/>
        <v>0</v>
      </c>
    </row>
    <row r="340" spans="1:10">
      <c r="A340" s="235" t="s">
        <v>350</v>
      </c>
      <c r="B340" s="236">
        <v>1500</v>
      </c>
      <c r="C340" s="237"/>
      <c r="E340">
        <f>+IFERROR(VLOOKUP(A340,'TB final'!$A$4:$J$808,7,),0)</f>
        <v>1500</v>
      </c>
      <c r="F340">
        <f>+IFERROR(VLOOKUP(A340,'TB final'!$A$4:$J$808,10,),0)</f>
        <v>0</v>
      </c>
      <c r="H340" s="2">
        <f t="shared" si="15"/>
        <v>0</v>
      </c>
      <c r="I340" s="2">
        <f t="shared" si="16"/>
        <v>0</v>
      </c>
      <c r="J340" s="2">
        <f t="shared" si="17"/>
        <v>0</v>
      </c>
    </row>
    <row r="341" spans="1:10">
      <c r="A341" s="235" t="s">
        <v>351</v>
      </c>
      <c r="B341" s="236">
        <v>11000</v>
      </c>
      <c r="C341" s="237"/>
      <c r="E341">
        <f>+IFERROR(VLOOKUP(A341,'TB final'!$A$4:$J$808,7,),0)</f>
        <v>11000</v>
      </c>
      <c r="F341">
        <f>+IFERROR(VLOOKUP(A341,'TB final'!$A$4:$J$808,10,),0)</f>
        <v>0</v>
      </c>
      <c r="H341" s="2">
        <f t="shared" si="15"/>
        <v>0</v>
      </c>
      <c r="I341" s="2">
        <f t="shared" si="16"/>
        <v>0</v>
      </c>
      <c r="J341" s="2">
        <f t="shared" si="17"/>
        <v>0</v>
      </c>
    </row>
    <row r="342" spans="1:10">
      <c r="A342" s="235" t="s">
        <v>352</v>
      </c>
      <c r="B342" s="237"/>
      <c r="C342" s="236">
        <v>261379</v>
      </c>
      <c r="E342">
        <f>+IFERROR(VLOOKUP(A342,'TB final'!$A$4:$J$808,7,),0)</f>
        <v>0</v>
      </c>
      <c r="F342">
        <f>+IFERROR(VLOOKUP(A342,'TB final'!$A$4:$J$808,10,),0)</f>
        <v>261379</v>
      </c>
      <c r="H342" s="2">
        <f t="shared" si="15"/>
        <v>0</v>
      </c>
      <c r="I342" s="2">
        <f t="shared" si="16"/>
        <v>0</v>
      </c>
      <c r="J342" s="2">
        <f t="shared" si="17"/>
        <v>0</v>
      </c>
    </row>
    <row r="343" spans="1:10">
      <c r="A343" s="235" t="s">
        <v>353</v>
      </c>
      <c r="B343" s="237"/>
      <c r="C343" s="236">
        <v>28255.9</v>
      </c>
      <c r="E343">
        <f>+IFERROR(VLOOKUP(A343,'TB final'!$A$4:$J$808,7,),0)</f>
        <v>0</v>
      </c>
      <c r="F343">
        <f>+IFERROR(VLOOKUP(A343,'TB final'!$A$4:$J$808,10,),0)</f>
        <v>28255.9</v>
      </c>
      <c r="H343" s="2">
        <f t="shared" si="15"/>
        <v>0</v>
      </c>
      <c r="I343" s="2">
        <f t="shared" si="16"/>
        <v>0</v>
      </c>
      <c r="J343" s="2">
        <f t="shared" si="17"/>
        <v>0</v>
      </c>
    </row>
    <row r="344" spans="1:10">
      <c r="A344" s="235" t="s">
        <v>354</v>
      </c>
      <c r="B344" s="236">
        <v>1000</v>
      </c>
      <c r="C344" s="237"/>
      <c r="E344">
        <f>+IFERROR(VLOOKUP(A344,'TB final'!$A$4:$J$808,7,),0)</f>
        <v>1000</v>
      </c>
      <c r="F344">
        <f>+IFERROR(VLOOKUP(A344,'TB final'!$A$4:$J$808,10,),0)</f>
        <v>0</v>
      </c>
      <c r="H344" s="2">
        <f t="shared" si="15"/>
        <v>0</v>
      </c>
      <c r="I344" s="2">
        <f t="shared" si="16"/>
        <v>0</v>
      </c>
      <c r="J344" s="2">
        <f t="shared" si="17"/>
        <v>0</v>
      </c>
    </row>
    <row r="345" spans="1:10">
      <c r="A345" s="235" t="s">
        <v>355</v>
      </c>
      <c r="B345" s="236">
        <v>14000</v>
      </c>
      <c r="C345" s="237"/>
      <c r="E345">
        <f>+IFERROR(VLOOKUP(A345,'TB final'!$A$4:$J$808,7,),0)</f>
        <v>14000</v>
      </c>
      <c r="F345">
        <f>+IFERROR(VLOOKUP(A345,'TB final'!$A$4:$J$808,10,),0)</f>
        <v>0</v>
      </c>
      <c r="H345" s="2">
        <f t="shared" si="15"/>
        <v>0</v>
      </c>
      <c r="I345" s="2">
        <f t="shared" si="16"/>
        <v>0</v>
      </c>
      <c r="J345" s="2">
        <f t="shared" si="17"/>
        <v>0</v>
      </c>
    </row>
    <row r="346" spans="1:10">
      <c r="A346" s="235" t="s">
        <v>356</v>
      </c>
      <c r="B346" s="236">
        <v>700000</v>
      </c>
      <c r="C346" s="237"/>
      <c r="E346">
        <f>+IFERROR(VLOOKUP(A346,'TB final'!$A$4:$J$808,7,),0)</f>
        <v>700000</v>
      </c>
      <c r="F346">
        <f>+IFERROR(VLOOKUP(A346,'TB final'!$A$4:$J$808,10,),0)</f>
        <v>0</v>
      </c>
      <c r="H346" s="2">
        <f t="shared" si="15"/>
        <v>0</v>
      </c>
      <c r="I346" s="2">
        <f t="shared" si="16"/>
        <v>0</v>
      </c>
      <c r="J346" s="2">
        <f t="shared" si="17"/>
        <v>0</v>
      </c>
    </row>
    <row r="347" spans="1:10">
      <c r="A347" s="235" t="s">
        <v>357</v>
      </c>
      <c r="B347" s="237"/>
      <c r="C347" s="236">
        <v>361080</v>
      </c>
      <c r="E347">
        <f>+IFERROR(VLOOKUP(A347,'TB final'!$A$4:$J$808,7,),0)</f>
        <v>0</v>
      </c>
      <c r="F347">
        <f>+IFERROR(VLOOKUP(A347,'TB final'!$A$4:$J$808,10,),0)</f>
        <v>361080</v>
      </c>
      <c r="H347" s="2">
        <f t="shared" si="15"/>
        <v>0</v>
      </c>
      <c r="I347" s="2">
        <f t="shared" si="16"/>
        <v>0</v>
      </c>
      <c r="J347" s="2">
        <f t="shared" si="17"/>
        <v>0</v>
      </c>
    </row>
    <row r="348" spans="1:10">
      <c r="A348" s="235" t="s">
        <v>359</v>
      </c>
      <c r="B348" s="236">
        <v>81429.8</v>
      </c>
      <c r="C348" s="237"/>
      <c r="E348">
        <f>+IFERROR(VLOOKUP(A348,'TB final'!$A$4:$J$808,7,),0)</f>
        <v>81429.8</v>
      </c>
      <c r="F348">
        <f>+IFERROR(VLOOKUP(A348,'TB final'!$A$4:$J$808,10,),0)</f>
        <v>0</v>
      </c>
      <c r="H348" s="2">
        <f t="shared" si="15"/>
        <v>0</v>
      </c>
      <c r="I348" s="2">
        <f t="shared" si="16"/>
        <v>0</v>
      </c>
      <c r="J348" s="2">
        <f t="shared" si="17"/>
        <v>0</v>
      </c>
    </row>
    <row r="349" spans="1:10">
      <c r="A349" s="235" t="s">
        <v>360</v>
      </c>
      <c r="B349" s="237"/>
      <c r="C349" s="236">
        <v>12998.22</v>
      </c>
      <c r="E349">
        <f>+IFERROR(VLOOKUP(A349,'TB final'!$A$4:$J$808,7,),0)</f>
        <v>0</v>
      </c>
      <c r="F349">
        <f>+IFERROR(VLOOKUP(A349,'TB final'!$A$4:$J$808,10,),0)</f>
        <v>12998.22</v>
      </c>
      <c r="H349" s="2">
        <f t="shared" si="15"/>
        <v>0</v>
      </c>
      <c r="I349" s="2">
        <f t="shared" si="16"/>
        <v>0</v>
      </c>
      <c r="J349" s="2">
        <f t="shared" si="17"/>
        <v>0</v>
      </c>
    </row>
    <row r="350" spans="1:10">
      <c r="A350" s="235" t="s">
        <v>362</v>
      </c>
      <c r="B350" s="236">
        <v>36262</v>
      </c>
      <c r="C350" s="237"/>
      <c r="E350">
        <f>+IFERROR(VLOOKUP(A350,'TB final'!$A$4:$J$808,7,),0)</f>
        <v>36262</v>
      </c>
      <c r="F350">
        <f>+IFERROR(VLOOKUP(A350,'TB final'!$A$4:$J$808,10,),0)</f>
        <v>0</v>
      </c>
      <c r="H350" s="2">
        <f t="shared" si="15"/>
        <v>0</v>
      </c>
      <c r="I350" s="2">
        <f t="shared" si="16"/>
        <v>0</v>
      </c>
      <c r="J350" s="2">
        <f t="shared" si="17"/>
        <v>0</v>
      </c>
    </row>
    <row r="351" spans="1:10">
      <c r="A351" s="235" t="s">
        <v>363</v>
      </c>
      <c r="B351" s="237"/>
      <c r="C351" s="236">
        <v>11758</v>
      </c>
      <c r="E351">
        <f>+IFERROR(VLOOKUP(A351,'TB final'!$A$4:$J$808,7,),0)</f>
        <v>0</v>
      </c>
      <c r="F351">
        <f>+IFERROR(VLOOKUP(A351,'TB final'!$A$4:$J$808,10,),0)</f>
        <v>11758</v>
      </c>
      <c r="H351" s="2">
        <f t="shared" si="15"/>
        <v>0</v>
      </c>
      <c r="I351" s="2">
        <f t="shared" si="16"/>
        <v>0</v>
      </c>
      <c r="J351" s="2">
        <f t="shared" si="17"/>
        <v>0</v>
      </c>
    </row>
    <row r="352" spans="1:10">
      <c r="A352" s="235" t="s">
        <v>364</v>
      </c>
      <c r="B352" s="237"/>
      <c r="C352" s="236">
        <v>44158.04</v>
      </c>
      <c r="E352">
        <f>+IFERROR(VLOOKUP(A352,'TB final'!$A$4:$J$808,7,),0)</f>
        <v>0</v>
      </c>
      <c r="F352">
        <f>+IFERROR(VLOOKUP(A352,'TB final'!$A$4:$J$808,10,),0)</f>
        <v>44158.04</v>
      </c>
      <c r="H352" s="2">
        <f t="shared" si="15"/>
        <v>0</v>
      </c>
      <c r="I352" s="2">
        <f t="shared" si="16"/>
        <v>0</v>
      </c>
      <c r="J352" s="2">
        <f t="shared" si="17"/>
        <v>0</v>
      </c>
    </row>
    <row r="353" spans="1:10">
      <c r="A353" s="235" t="s">
        <v>365</v>
      </c>
      <c r="B353" s="237"/>
      <c r="C353" s="236">
        <v>47015</v>
      </c>
      <c r="E353">
        <f>+IFERROR(VLOOKUP(A353,'TB final'!$A$4:$J$808,7,),0)</f>
        <v>0</v>
      </c>
      <c r="F353">
        <f>+IFERROR(VLOOKUP(A353,'TB final'!$A$4:$J$808,10,),0)</f>
        <v>47015</v>
      </c>
      <c r="H353" s="2">
        <f t="shared" si="15"/>
        <v>0</v>
      </c>
      <c r="I353" s="2">
        <f t="shared" si="16"/>
        <v>0</v>
      </c>
      <c r="J353" s="2">
        <f t="shared" si="17"/>
        <v>0</v>
      </c>
    </row>
    <row r="354" spans="1:10">
      <c r="A354" s="235" t="s">
        <v>366</v>
      </c>
      <c r="B354" s="237"/>
      <c r="C354" s="236">
        <v>5000</v>
      </c>
      <c r="E354">
        <f>+IFERROR(VLOOKUP(A354,'TB final'!$A$4:$J$808,7,),0)</f>
        <v>0</v>
      </c>
      <c r="F354">
        <f>+IFERROR(VLOOKUP(A354,'TB final'!$A$4:$J$808,10,),0)</f>
        <v>5000</v>
      </c>
      <c r="H354" s="2">
        <f t="shared" si="15"/>
        <v>0</v>
      </c>
      <c r="I354" s="2">
        <f t="shared" si="16"/>
        <v>0</v>
      </c>
      <c r="J354" s="2">
        <f t="shared" si="17"/>
        <v>0</v>
      </c>
    </row>
    <row r="355" spans="1:10">
      <c r="A355" s="235" t="s">
        <v>367</v>
      </c>
      <c r="B355" s="237"/>
      <c r="C355" s="236">
        <v>86477</v>
      </c>
      <c r="E355">
        <f>+IFERROR(VLOOKUP(A355,'TB final'!$A$4:$J$808,7,),0)</f>
        <v>0</v>
      </c>
      <c r="F355">
        <f>+IFERROR(VLOOKUP(A355,'TB final'!$A$4:$J$808,10,),0)</f>
        <v>86477</v>
      </c>
      <c r="H355" s="2">
        <f t="shared" si="15"/>
        <v>0</v>
      </c>
      <c r="I355" s="2">
        <f t="shared" si="16"/>
        <v>0</v>
      </c>
      <c r="J355" s="2">
        <f t="shared" si="17"/>
        <v>0</v>
      </c>
    </row>
    <row r="356" spans="1:10">
      <c r="A356" s="235" t="s">
        <v>368</v>
      </c>
      <c r="B356" s="237"/>
      <c r="C356" s="236">
        <v>91593</v>
      </c>
      <c r="E356">
        <f>+IFERROR(VLOOKUP(A356,'TB final'!$A$4:$J$808,7,),0)</f>
        <v>0</v>
      </c>
      <c r="F356">
        <f>+IFERROR(VLOOKUP(A356,'TB final'!$A$4:$J$808,10,),0)</f>
        <v>91593</v>
      </c>
      <c r="H356" s="2">
        <f t="shared" si="15"/>
        <v>0</v>
      </c>
      <c r="I356" s="2">
        <f t="shared" si="16"/>
        <v>0</v>
      </c>
      <c r="J356" s="2">
        <f t="shared" si="17"/>
        <v>0</v>
      </c>
    </row>
    <row r="357" spans="1:10">
      <c r="A357" s="235" t="s">
        <v>369</v>
      </c>
      <c r="B357" s="237"/>
      <c r="C357" s="236">
        <v>59000</v>
      </c>
      <c r="E357">
        <f>+IFERROR(VLOOKUP(A357,'TB final'!$A$4:$J$808,7,),0)</f>
        <v>0</v>
      </c>
      <c r="F357">
        <f>+IFERROR(VLOOKUP(A357,'TB final'!$A$4:$J$808,10,),0)</f>
        <v>59000</v>
      </c>
      <c r="H357" s="2">
        <f t="shared" si="15"/>
        <v>0</v>
      </c>
      <c r="I357" s="2">
        <f t="shared" si="16"/>
        <v>0</v>
      </c>
      <c r="J357" s="2">
        <f t="shared" si="17"/>
        <v>0</v>
      </c>
    </row>
    <row r="358" spans="1:10">
      <c r="A358" s="235" t="s">
        <v>370</v>
      </c>
      <c r="B358" s="237"/>
      <c r="C358" s="236">
        <v>7000</v>
      </c>
      <c r="E358">
        <f>+IFERROR(VLOOKUP(A358,'TB final'!$A$4:$J$808,7,),0)</f>
        <v>0</v>
      </c>
      <c r="F358">
        <f>+IFERROR(VLOOKUP(A358,'TB final'!$A$4:$J$808,10,),0)</f>
        <v>7000</v>
      </c>
      <c r="H358" s="2">
        <f t="shared" si="15"/>
        <v>0</v>
      </c>
      <c r="I358" s="2">
        <f t="shared" si="16"/>
        <v>0</v>
      </c>
      <c r="J358" s="2">
        <f t="shared" si="17"/>
        <v>0</v>
      </c>
    </row>
    <row r="359" spans="1:10">
      <c r="A359" s="235" t="s">
        <v>371</v>
      </c>
      <c r="B359" s="237"/>
      <c r="C359" s="236">
        <v>4651</v>
      </c>
      <c r="E359">
        <f>+IFERROR(VLOOKUP(A359,'TB final'!$A$4:$J$808,7,),0)</f>
        <v>0</v>
      </c>
      <c r="F359">
        <f>+IFERROR(VLOOKUP(A359,'TB final'!$A$4:$J$808,10,),0)</f>
        <v>4651</v>
      </c>
      <c r="H359" s="2">
        <f t="shared" si="15"/>
        <v>0</v>
      </c>
      <c r="I359" s="2">
        <f t="shared" si="16"/>
        <v>0</v>
      </c>
      <c r="J359" s="2">
        <f t="shared" si="17"/>
        <v>0</v>
      </c>
    </row>
    <row r="360" spans="1:10">
      <c r="A360" s="235" t="s">
        <v>372</v>
      </c>
      <c r="B360" s="236">
        <v>616388</v>
      </c>
      <c r="C360" s="237"/>
      <c r="E360">
        <f>+IFERROR(VLOOKUP(A360,'TB final'!$A$4:$J$808,7,),0)</f>
        <v>616388</v>
      </c>
      <c r="F360">
        <f>+IFERROR(VLOOKUP(A360,'TB final'!$A$4:$J$808,10,),0)</f>
        <v>0</v>
      </c>
      <c r="H360" s="2">
        <f t="shared" si="15"/>
        <v>0</v>
      </c>
      <c r="I360" s="2">
        <f t="shared" si="16"/>
        <v>0</v>
      </c>
      <c r="J360" s="2">
        <f t="shared" si="17"/>
        <v>0</v>
      </c>
    </row>
    <row r="361" spans="1:10">
      <c r="A361" s="235" t="s">
        <v>373</v>
      </c>
      <c r="B361" s="236">
        <v>70996</v>
      </c>
      <c r="C361" s="237"/>
      <c r="E361">
        <f>+IFERROR(VLOOKUP(A361,'TB final'!$A$4:$J$808,7,),0)</f>
        <v>70996</v>
      </c>
      <c r="F361">
        <f>+IFERROR(VLOOKUP(A361,'TB final'!$A$4:$J$808,10,),0)</f>
        <v>0</v>
      </c>
      <c r="H361" s="2">
        <f t="shared" si="15"/>
        <v>0</v>
      </c>
      <c r="I361" s="2">
        <f t="shared" si="16"/>
        <v>0</v>
      </c>
      <c r="J361" s="2">
        <f t="shared" si="17"/>
        <v>0</v>
      </c>
    </row>
    <row r="362" spans="1:10">
      <c r="A362" s="235" t="s">
        <v>374</v>
      </c>
      <c r="B362" s="237"/>
      <c r="C362" s="236">
        <v>3708</v>
      </c>
      <c r="E362">
        <f>+IFERROR(VLOOKUP(A362,'TB final'!$A$4:$J$808,7,),0)</f>
        <v>0</v>
      </c>
      <c r="F362">
        <f>+IFERROR(VLOOKUP(A362,'TB final'!$A$4:$J$808,10,),0)</f>
        <v>3708</v>
      </c>
      <c r="H362" s="2">
        <f t="shared" si="15"/>
        <v>0</v>
      </c>
      <c r="I362" s="2">
        <f t="shared" si="16"/>
        <v>0</v>
      </c>
      <c r="J362" s="2">
        <f t="shared" si="17"/>
        <v>0</v>
      </c>
    </row>
    <row r="363" spans="1:10">
      <c r="A363" s="235" t="s">
        <v>375</v>
      </c>
      <c r="B363" s="236">
        <v>103100</v>
      </c>
      <c r="C363" s="237"/>
      <c r="E363">
        <f>+IFERROR(VLOOKUP(A363,'TB final'!$A$4:$J$808,7,),0)</f>
        <v>103100</v>
      </c>
      <c r="F363">
        <f>+IFERROR(VLOOKUP(A363,'TB final'!$A$4:$J$808,10,),0)</f>
        <v>0</v>
      </c>
      <c r="H363" s="2">
        <f t="shared" si="15"/>
        <v>0</v>
      </c>
      <c r="I363" s="2">
        <f t="shared" si="16"/>
        <v>0</v>
      </c>
      <c r="J363" s="2">
        <f t="shared" si="17"/>
        <v>0</v>
      </c>
    </row>
    <row r="364" spans="1:10">
      <c r="A364" s="235" t="s">
        <v>376</v>
      </c>
      <c r="B364" s="236">
        <v>199577.3</v>
      </c>
      <c r="C364" s="237"/>
      <c r="E364">
        <f>+IFERROR(VLOOKUP(A364,'TB final'!$A$4:$J$808,7,),0)</f>
        <v>199577.3</v>
      </c>
      <c r="F364">
        <f>+IFERROR(VLOOKUP(A364,'TB final'!$A$4:$J$808,10,),0)</f>
        <v>0</v>
      </c>
      <c r="H364" s="2">
        <f t="shared" si="15"/>
        <v>0</v>
      </c>
      <c r="I364" s="2">
        <f t="shared" si="16"/>
        <v>0</v>
      </c>
      <c r="J364" s="2">
        <f t="shared" si="17"/>
        <v>0</v>
      </c>
    </row>
    <row r="365" spans="1:10">
      <c r="A365" s="235" t="s">
        <v>377</v>
      </c>
      <c r="B365" s="236">
        <v>282444</v>
      </c>
      <c r="C365" s="237"/>
      <c r="E365">
        <f>+IFERROR(VLOOKUP(A365,'TB final'!$A$4:$J$808,7,),0)</f>
        <v>282444</v>
      </c>
      <c r="F365">
        <f>+IFERROR(VLOOKUP(A365,'TB final'!$A$4:$J$808,10,),0)</f>
        <v>0</v>
      </c>
      <c r="H365" s="2">
        <f t="shared" si="15"/>
        <v>0</v>
      </c>
      <c r="I365" s="2">
        <f t="shared" si="16"/>
        <v>0</v>
      </c>
      <c r="J365" s="2">
        <f t="shared" si="17"/>
        <v>0</v>
      </c>
    </row>
    <row r="366" spans="1:10">
      <c r="A366" s="235" t="s">
        <v>378</v>
      </c>
      <c r="B366" s="237"/>
      <c r="C366" s="236">
        <v>411065</v>
      </c>
      <c r="E366">
        <f>+IFERROR(VLOOKUP(A366,'TB final'!$A$4:$J$808,7,),0)</f>
        <v>0</v>
      </c>
      <c r="F366">
        <f>+IFERROR(VLOOKUP(A366,'TB final'!$A$4:$J$808,10,),0)</f>
        <v>411065</v>
      </c>
      <c r="H366" s="2">
        <f t="shared" si="15"/>
        <v>0</v>
      </c>
      <c r="I366" s="2">
        <f t="shared" si="16"/>
        <v>0</v>
      </c>
      <c r="J366" s="2">
        <f t="shared" si="17"/>
        <v>0</v>
      </c>
    </row>
    <row r="367" spans="1:10">
      <c r="A367" s="235" t="s">
        <v>379</v>
      </c>
      <c r="B367" s="236">
        <v>365534</v>
      </c>
      <c r="C367" s="237"/>
      <c r="E367">
        <f>+IFERROR(VLOOKUP(A367,'TB final'!$A$4:$J$808,7,),0)</f>
        <v>365534</v>
      </c>
      <c r="F367">
        <f>+IFERROR(VLOOKUP(A367,'TB final'!$A$4:$J$808,10,),0)</f>
        <v>0</v>
      </c>
      <c r="H367" s="2">
        <f t="shared" si="15"/>
        <v>0</v>
      </c>
      <c r="I367" s="2">
        <f t="shared" si="16"/>
        <v>0</v>
      </c>
      <c r="J367" s="2">
        <f t="shared" si="17"/>
        <v>0</v>
      </c>
    </row>
    <row r="368" spans="1:10">
      <c r="A368" s="235" t="s">
        <v>380</v>
      </c>
      <c r="B368" s="236">
        <v>150000</v>
      </c>
      <c r="C368" s="237"/>
      <c r="E368">
        <f>+IFERROR(VLOOKUP(A368,'TB final'!$A$4:$J$808,7,),0)</f>
        <v>150000</v>
      </c>
      <c r="F368">
        <f>+IFERROR(VLOOKUP(A368,'TB final'!$A$4:$J$808,10,),0)</f>
        <v>0</v>
      </c>
      <c r="H368" s="2">
        <f t="shared" si="15"/>
        <v>0</v>
      </c>
      <c r="I368" s="2">
        <f t="shared" si="16"/>
        <v>0</v>
      </c>
      <c r="J368" s="2">
        <f t="shared" si="17"/>
        <v>0</v>
      </c>
    </row>
    <row r="369" spans="1:10">
      <c r="A369" s="235" t="s">
        <v>381</v>
      </c>
      <c r="B369" s="236">
        <v>938042.5</v>
      </c>
      <c r="C369" s="237"/>
      <c r="E369">
        <f>+IFERROR(VLOOKUP(A369,'TB final'!$A$4:$J$808,7,),0)</f>
        <v>938042.5</v>
      </c>
      <c r="F369">
        <f>+IFERROR(VLOOKUP(A369,'TB final'!$A$4:$J$808,10,),0)</f>
        <v>0</v>
      </c>
      <c r="H369" s="2">
        <f t="shared" si="15"/>
        <v>0</v>
      </c>
      <c r="I369" s="2">
        <f t="shared" si="16"/>
        <v>0</v>
      </c>
      <c r="J369" s="2">
        <f t="shared" si="17"/>
        <v>0</v>
      </c>
    </row>
    <row r="370" spans="1:10">
      <c r="A370" s="235" t="s">
        <v>382</v>
      </c>
      <c r="B370" s="237"/>
      <c r="C370" s="236">
        <v>207360</v>
      </c>
      <c r="E370">
        <f>+IFERROR(VLOOKUP(A370,'TB final'!$A$4:$J$808,7,),0)</f>
        <v>0</v>
      </c>
      <c r="F370">
        <f>+IFERROR(VLOOKUP(A370,'TB final'!$A$4:$J$808,10,),0)</f>
        <v>207360</v>
      </c>
      <c r="H370" s="2">
        <f t="shared" si="15"/>
        <v>0</v>
      </c>
      <c r="I370" s="2">
        <f t="shared" si="16"/>
        <v>0</v>
      </c>
      <c r="J370" s="2">
        <f t="shared" si="17"/>
        <v>0</v>
      </c>
    </row>
    <row r="371" spans="1:10">
      <c r="A371" s="235" t="s">
        <v>383</v>
      </c>
      <c r="B371" s="237"/>
      <c r="C371" s="236">
        <v>377600</v>
      </c>
      <c r="E371">
        <f>+IFERROR(VLOOKUP(A371,'TB final'!$A$4:$J$808,7,),0)</f>
        <v>0</v>
      </c>
      <c r="F371">
        <f>+IFERROR(VLOOKUP(A371,'TB final'!$A$4:$J$808,10,),0)</f>
        <v>377600</v>
      </c>
      <c r="H371" s="2">
        <f t="shared" si="15"/>
        <v>0</v>
      </c>
      <c r="I371" s="2">
        <f t="shared" si="16"/>
        <v>0</v>
      </c>
      <c r="J371" s="2">
        <f t="shared" si="17"/>
        <v>0</v>
      </c>
    </row>
    <row r="372" spans="1:10">
      <c r="A372" s="235" t="s">
        <v>384</v>
      </c>
      <c r="B372" s="236">
        <v>2991111</v>
      </c>
      <c r="C372" s="237"/>
      <c r="E372">
        <f>+IFERROR(VLOOKUP(A372,'TB final'!$A$4:$J$808,7,),0)</f>
        <v>2991111</v>
      </c>
      <c r="F372">
        <f>+IFERROR(VLOOKUP(A372,'TB final'!$A$4:$J$808,10,),0)</f>
        <v>0</v>
      </c>
      <c r="H372" s="2">
        <f t="shared" si="15"/>
        <v>0</v>
      </c>
      <c r="I372" s="2">
        <f t="shared" si="16"/>
        <v>0</v>
      </c>
      <c r="J372" s="2">
        <f t="shared" si="17"/>
        <v>0</v>
      </c>
    </row>
    <row r="373" spans="1:10">
      <c r="A373" s="235" t="s">
        <v>385</v>
      </c>
      <c r="B373" s="236">
        <v>677742</v>
      </c>
      <c r="C373" s="237"/>
      <c r="E373">
        <f>+IFERROR(VLOOKUP(A373,'TB final'!$A$4:$J$808,7,),0)</f>
        <v>677742</v>
      </c>
      <c r="F373">
        <f>+IFERROR(VLOOKUP(A373,'TB final'!$A$4:$J$808,10,),0)</f>
        <v>0</v>
      </c>
      <c r="H373" s="2">
        <f t="shared" si="15"/>
        <v>0</v>
      </c>
      <c r="I373" s="2">
        <f t="shared" si="16"/>
        <v>0</v>
      </c>
      <c r="J373" s="2">
        <f t="shared" si="17"/>
        <v>0</v>
      </c>
    </row>
    <row r="374" spans="1:10">
      <c r="A374" s="235" t="s">
        <v>386</v>
      </c>
      <c r="B374" s="236">
        <v>295158.12</v>
      </c>
      <c r="C374" s="237"/>
      <c r="E374">
        <f>+IFERROR(VLOOKUP(A374,'TB final'!$A$4:$J$808,7,),0)</f>
        <v>295158.12</v>
      </c>
      <c r="F374">
        <f>+IFERROR(VLOOKUP(A374,'TB final'!$A$4:$J$808,10,),0)</f>
        <v>0</v>
      </c>
      <c r="H374" s="2">
        <f t="shared" si="15"/>
        <v>0</v>
      </c>
      <c r="I374" s="2">
        <f t="shared" si="16"/>
        <v>0</v>
      </c>
      <c r="J374" s="2">
        <f t="shared" si="17"/>
        <v>0</v>
      </c>
    </row>
    <row r="375" spans="1:10">
      <c r="A375" s="235" t="s">
        <v>387</v>
      </c>
      <c r="B375" s="237"/>
      <c r="C375" s="236">
        <v>6011326</v>
      </c>
      <c r="E375">
        <f>+IFERROR(VLOOKUP(A375,'TB final'!$A$4:$J$808,7,),0)</f>
        <v>0</v>
      </c>
      <c r="F375">
        <f>+IFERROR(VLOOKUP(A375,'TB final'!$A$4:$J$808,10,),0)</f>
        <v>6011326</v>
      </c>
      <c r="H375" s="2">
        <f t="shared" si="15"/>
        <v>0</v>
      </c>
      <c r="I375" s="2">
        <f t="shared" si="16"/>
        <v>0</v>
      </c>
      <c r="J375" s="2">
        <f t="shared" si="17"/>
        <v>0</v>
      </c>
    </row>
    <row r="376" spans="1:10">
      <c r="A376" s="235" t="s">
        <v>388</v>
      </c>
      <c r="B376" s="237"/>
      <c r="C376" s="236">
        <v>1659637</v>
      </c>
      <c r="E376">
        <f>+IFERROR(VLOOKUP(A376,'TB final'!$A$4:$J$808,7,),0)</f>
        <v>0</v>
      </c>
      <c r="F376">
        <f>+IFERROR(VLOOKUP(A376,'TB final'!$A$4:$J$808,10,),0)</f>
        <v>1659637</v>
      </c>
      <c r="H376" s="2">
        <f t="shared" si="15"/>
        <v>0</v>
      </c>
      <c r="I376" s="2">
        <f t="shared" si="16"/>
        <v>0</v>
      </c>
      <c r="J376" s="2">
        <f t="shared" si="17"/>
        <v>0</v>
      </c>
    </row>
    <row r="377" spans="1:10">
      <c r="A377" s="235" t="s">
        <v>389</v>
      </c>
      <c r="B377" s="236">
        <v>633</v>
      </c>
      <c r="C377" s="237"/>
      <c r="E377">
        <f>+IFERROR(VLOOKUP(A377,'TB final'!$A$4:$J$808,7,),0)</f>
        <v>633</v>
      </c>
      <c r="F377">
        <f>+IFERROR(VLOOKUP(A377,'TB final'!$A$4:$J$808,10,),0)</f>
        <v>0</v>
      </c>
      <c r="H377" s="2">
        <f t="shared" si="15"/>
        <v>0</v>
      </c>
      <c r="I377" s="2">
        <f t="shared" si="16"/>
        <v>0</v>
      </c>
      <c r="J377" s="2">
        <f t="shared" si="17"/>
        <v>0</v>
      </c>
    </row>
    <row r="378" spans="1:10">
      <c r="A378" s="235" t="s">
        <v>390</v>
      </c>
      <c r="B378" s="237"/>
      <c r="C378" s="236">
        <v>226800</v>
      </c>
      <c r="E378">
        <f>+IFERROR(VLOOKUP(A378,'TB final'!$A$4:$J$808,7,),0)</f>
        <v>0</v>
      </c>
      <c r="F378">
        <f>+IFERROR(VLOOKUP(A378,'TB final'!$A$4:$J$808,10,),0)</f>
        <v>226800</v>
      </c>
      <c r="H378" s="2">
        <f t="shared" si="15"/>
        <v>0</v>
      </c>
      <c r="I378" s="2">
        <f t="shared" si="16"/>
        <v>0</v>
      </c>
      <c r="J378" s="2">
        <f t="shared" si="17"/>
        <v>0</v>
      </c>
    </row>
    <row r="379" spans="1:10">
      <c r="A379" s="235" t="s">
        <v>391</v>
      </c>
      <c r="B379" s="236">
        <v>170365</v>
      </c>
      <c r="C379" s="237"/>
      <c r="E379">
        <f>+IFERROR(VLOOKUP(A379,'TB final'!$A$4:$J$808,7,),0)</f>
        <v>170365</v>
      </c>
      <c r="F379">
        <f>+IFERROR(VLOOKUP(A379,'TB final'!$A$4:$J$808,10,),0)</f>
        <v>0</v>
      </c>
      <c r="H379" s="2">
        <f t="shared" si="15"/>
        <v>0</v>
      </c>
      <c r="I379" s="2">
        <f t="shared" si="16"/>
        <v>0</v>
      </c>
      <c r="J379" s="2">
        <f t="shared" si="17"/>
        <v>0</v>
      </c>
    </row>
    <row r="380" spans="1:10">
      <c r="A380" s="235" t="s">
        <v>392</v>
      </c>
      <c r="B380" s="236">
        <v>6303933</v>
      </c>
      <c r="C380" s="237"/>
      <c r="E380">
        <f>+IFERROR(VLOOKUP(A380,'TB final'!$A$4:$J$808,7,),0)</f>
        <v>6303933</v>
      </c>
      <c r="F380">
        <f>+IFERROR(VLOOKUP(A380,'TB final'!$A$4:$J$808,10,),0)</f>
        <v>0</v>
      </c>
      <c r="H380" s="2">
        <f t="shared" si="15"/>
        <v>0</v>
      </c>
      <c r="I380" s="2">
        <f t="shared" si="16"/>
        <v>0</v>
      </c>
      <c r="J380" s="2">
        <f t="shared" si="17"/>
        <v>0</v>
      </c>
    </row>
    <row r="381" spans="1:10">
      <c r="A381" s="235" t="s">
        <v>393</v>
      </c>
      <c r="B381" s="236">
        <v>637901422.5</v>
      </c>
      <c r="C381" s="237"/>
      <c r="E381">
        <f>+IFERROR(VLOOKUP(A381,'TB final'!$A$4:$J$808,7,),0)</f>
        <v>637901422.5</v>
      </c>
      <c r="F381">
        <f>+IFERROR(VLOOKUP(A381,'TB final'!$A$4:$J$808,10,),0)</f>
        <v>0</v>
      </c>
      <c r="H381" s="2">
        <f t="shared" si="15"/>
        <v>0</v>
      </c>
      <c r="I381" s="2">
        <f t="shared" si="16"/>
        <v>0</v>
      </c>
      <c r="J381" s="2">
        <f t="shared" si="17"/>
        <v>0</v>
      </c>
    </row>
    <row r="382" spans="1:10">
      <c r="A382" s="235" t="s">
        <v>394</v>
      </c>
      <c r="B382" s="236">
        <v>4265067.0199999996</v>
      </c>
      <c r="C382" s="237"/>
      <c r="E382">
        <f>+IFERROR(VLOOKUP(A382,'TB final'!$A$4:$J$808,7,),0)</f>
        <v>4265067.0199999996</v>
      </c>
      <c r="F382">
        <f>+IFERROR(VLOOKUP(A382,'TB final'!$A$4:$J$808,10,),0)</f>
        <v>0</v>
      </c>
      <c r="H382" s="2">
        <f t="shared" si="15"/>
        <v>0</v>
      </c>
      <c r="I382" s="2">
        <f t="shared" si="16"/>
        <v>0</v>
      </c>
      <c r="J382" s="2">
        <f t="shared" si="17"/>
        <v>0</v>
      </c>
    </row>
    <row r="383" spans="1:10">
      <c r="A383" s="235" t="s">
        <v>395</v>
      </c>
      <c r="B383" s="236">
        <v>1138497.31</v>
      </c>
      <c r="C383" s="237"/>
      <c r="E383">
        <f>+IFERROR(VLOOKUP(A383,'TB final'!$A$4:$J$808,7,),0)</f>
        <v>1138497.31</v>
      </c>
      <c r="F383">
        <f>+IFERROR(VLOOKUP(A383,'TB final'!$A$4:$J$808,10,),0)</f>
        <v>0</v>
      </c>
      <c r="H383" s="2">
        <f t="shared" si="15"/>
        <v>0</v>
      </c>
      <c r="I383" s="2">
        <f t="shared" si="16"/>
        <v>0</v>
      </c>
      <c r="J383" s="2">
        <f t="shared" si="17"/>
        <v>0</v>
      </c>
    </row>
    <row r="384" spans="1:10">
      <c r="A384" s="235" t="s">
        <v>396</v>
      </c>
      <c r="B384" s="236">
        <v>4115523</v>
      </c>
      <c r="C384" s="237"/>
      <c r="E384">
        <f>+IFERROR(VLOOKUP(A384,'TB final'!$A$4:$J$808,7,),0)</f>
        <v>4115523</v>
      </c>
      <c r="F384">
        <f>+IFERROR(VLOOKUP(A384,'TB final'!$A$4:$J$808,10,),0)</f>
        <v>0</v>
      </c>
      <c r="H384" s="2">
        <f t="shared" si="15"/>
        <v>0</v>
      </c>
      <c r="I384" s="2">
        <f t="shared" si="16"/>
        <v>0</v>
      </c>
      <c r="J384" s="2">
        <f t="shared" si="17"/>
        <v>0</v>
      </c>
    </row>
    <row r="385" spans="1:10">
      <c r="A385" s="235" t="s">
        <v>397</v>
      </c>
      <c r="B385" s="236">
        <v>15442705.91</v>
      </c>
      <c r="C385" s="237"/>
      <c r="E385">
        <f>+IFERROR(VLOOKUP(A385,'TB final'!$A$4:$J$808,7,),0)</f>
        <v>15442705.91</v>
      </c>
      <c r="F385">
        <f>+IFERROR(VLOOKUP(A385,'TB final'!$A$4:$J$808,10,),0)</f>
        <v>0</v>
      </c>
      <c r="H385" s="2">
        <f t="shared" si="15"/>
        <v>0</v>
      </c>
      <c r="I385" s="2">
        <f t="shared" si="16"/>
        <v>0</v>
      </c>
      <c r="J385" s="2">
        <f t="shared" si="17"/>
        <v>0</v>
      </c>
    </row>
    <row r="386" spans="1:10">
      <c r="A386" s="235" t="s">
        <v>398</v>
      </c>
      <c r="B386" s="236">
        <v>16722713</v>
      </c>
      <c r="C386" s="237"/>
      <c r="E386">
        <f>+IFERROR(VLOOKUP(A386,'TB final'!$A$4:$J$808,7,),0)</f>
        <v>16722713</v>
      </c>
      <c r="F386">
        <f>+IFERROR(VLOOKUP(A386,'TB final'!$A$4:$J$808,10,),0)</f>
        <v>0</v>
      </c>
      <c r="H386" s="2">
        <f t="shared" si="15"/>
        <v>0</v>
      </c>
      <c r="I386" s="2">
        <f t="shared" si="16"/>
        <v>0</v>
      </c>
      <c r="J386" s="2">
        <f t="shared" si="17"/>
        <v>0</v>
      </c>
    </row>
    <row r="387" spans="1:10">
      <c r="A387" s="235" t="s">
        <v>399</v>
      </c>
      <c r="B387" s="236">
        <v>24987</v>
      </c>
      <c r="C387" s="237"/>
      <c r="E387">
        <f>+IFERROR(VLOOKUP(A387,'TB final'!$A$4:$J$808,7,),0)</f>
        <v>24987</v>
      </c>
      <c r="F387">
        <f>+IFERROR(VLOOKUP(A387,'TB final'!$A$4:$J$808,10,),0)</f>
        <v>0</v>
      </c>
      <c r="H387" s="2">
        <f t="shared" si="15"/>
        <v>0</v>
      </c>
      <c r="I387" s="2">
        <f t="shared" si="16"/>
        <v>0</v>
      </c>
      <c r="J387" s="2">
        <f t="shared" si="17"/>
        <v>0</v>
      </c>
    </row>
    <row r="388" spans="1:10">
      <c r="A388" s="235" t="s">
        <v>400</v>
      </c>
      <c r="B388" s="236">
        <v>43044826</v>
      </c>
      <c r="C388" s="237"/>
      <c r="E388">
        <f>+IFERROR(VLOOKUP(A388,'TB final'!$A$4:$J$808,7,),0)</f>
        <v>43044826</v>
      </c>
      <c r="F388">
        <f>+IFERROR(VLOOKUP(A388,'TB final'!$A$4:$J$808,10,),0)</f>
        <v>0</v>
      </c>
      <c r="H388" s="2">
        <f t="shared" si="15"/>
        <v>0</v>
      </c>
      <c r="I388" s="2">
        <f t="shared" si="16"/>
        <v>0</v>
      </c>
      <c r="J388" s="2">
        <f t="shared" si="17"/>
        <v>0</v>
      </c>
    </row>
    <row r="389" spans="1:10">
      <c r="A389" s="392" t="s">
        <v>401</v>
      </c>
      <c r="B389" s="238">
        <v>1825195884.8299999</v>
      </c>
      <c r="C389" s="238">
        <v>1825195884.8299999</v>
      </c>
      <c r="E389">
        <f>+IFERROR(VLOOKUP(A389,'TB final'!$A$4:$J$808,7,),0)</f>
        <v>0</v>
      </c>
      <c r="F389">
        <f>+IFERROR(VLOOKUP(A389,'TB final'!$A$4:$J$808,10,),0)</f>
        <v>0</v>
      </c>
      <c r="H389" s="2">
        <f t="shared" si="15"/>
        <v>1825195884.8299999</v>
      </c>
      <c r="I389" s="2">
        <f t="shared" si="16"/>
        <v>1825195884.8299999</v>
      </c>
      <c r="J389" s="2">
        <f t="shared" si="17"/>
        <v>3650391769.6599998</v>
      </c>
    </row>
  </sheetData>
  <autoFilter ref="A11:J389"/>
  <mergeCells count="10">
    <mergeCell ref="B8:C8"/>
    <mergeCell ref="B9:C9"/>
    <mergeCell ref="B10:C10"/>
    <mergeCell ref="A1:C1"/>
    <mergeCell ref="A2:C2"/>
    <mergeCell ref="A3:C3"/>
    <mergeCell ref="A4:C4"/>
    <mergeCell ref="A5:C5"/>
    <mergeCell ref="A6:C6"/>
    <mergeCell ref="A7: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Extract</vt:lpstr>
      <vt:lpstr>Result 1 P&amp;L</vt:lpstr>
      <vt:lpstr>Result 2 B&amp;S</vt:lpstr>
      <vt:lpstr>Result 3 CF</vt:lpstr>
      <vt:lpstr>Cash Flow</vt:lpstr>
      <vt:lpstr>BSPL</vt:lpstr>
      <vt:lpstr>Depreciation</vt:lpstr>
      <vt:lpstr>CLOSING STOCK21-22</vt:lpstr>
      <vt:lpstr>Working Capital</vt:lpstr>
      <vt:lpstr>Ratio Analysis</vt:lpstr>
      <vt:lpstr>Financial Ratios</vt:lpstr>
      <vt:lpstr>3CD ratios</vt:lpstr>
      <vt:lpstr>COI</vt:lpstr>
      <vt:lpstr>Pivot</vt:lpstr>
      <vt:lpstr>Share Holding</vt:lpstr>
      <vt:lpstr>FG Valuation</vt:lpstr>
      <vt:lpstr>DEBTORS AGEING 21-22</vt:lpstr>
      <vt:lpstr>DT</vt:lpstr>
      <vt:lpstr>IT Dep</vt:lpstr>
      <vt:lpstr>Ratios (2)</vt:lpstr>
      <vt:lpstr>Cost Sheet</vt:lpstr>
      <vt:lpstr>Loans to staff</vt:lpstr>
      <vt:lpstr>Advance to Supplier</vt:lpstr>
      <vt:lpstr>IPS Sanction Letter &amp; Books</vt:lpstr>
      <vt:lpstr>Advance for Capital Good</vt:lpstr>
      <vt:lpstr>FDR</vt:lpstr>
      <vt:lpstr>Bonus Sal</vt:lpstr>
      <vt:lpstr>Leave encashment</vt:lpstr>
      <vt:lpstr>Bank TL &amp; Int.</vt:lpstr>
      <vt:lpstr>Unsecured Loan Int</vt:lpstr>
      <vt:lpstr>Director Remuneration</vt:lpstr>
      <vt:lpstr>Directors Rem</vt:lpstr>
      <vt:lpstr>Sheet1</vt:lpstr>
      <vt:lpstr>TB final</vt:lpstr>
      <vt:lpstr>2122</vt:lpstr>
      <vt:lpstr>BSPL!Print_Area</vt:lpstr>
      <vt:lpstr>'Cash Flow'!Print_Area</vt:lpstr>
      <vt:lpstr>'CLOSING STOCK21-22'!Print_Area</vt:lpstr>
      <vt:lpstr>COI!Print_Area</vt:lpstr>
      <vt:lpstr>'DEBTORS AGEING 21-22'!Print_Area</vt:lpstr>
      <vt:lpstr>Depreciation!Print_Area</vt:lpstr>
      <vt:lpstr>DT!Print_Area</vt:lpstr>
      <vt:lpstr>Extract!Print_Area</vt:lpstr>
      <vt:lpstr>'IT Dep'!Print_Area</vt:lpstr>
      <vt:lpstr>'Leave encashment'!Print_Area</vt:lpstr>
      <vt:lpstr>'Ratio Analysis'!Print_Area</vt:lpstr>
      <vt:lpstr>'Result 1 P&amp;L'!Print_Area</vt:lpstr>
      <vt:lpstr>'Result 2 B&amp;S'!Print_Area</vt:lpstr>
      <vt:lpstr>'Result 3 CF'!Print_Area</vt:lpstr>
      <vt:lpstr>'DEBTORS AGEING 21-22'!Print_Titles</vt:lpstr>
      <vt:lpstr>Pivot!Print_Titles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Windows User</cp:lastModifiedBy>
  <cp:lastPrinted>2022-06-20T12:04:27Z</cp:lastPrinted>
  <dcterms:created xsi:type="dcterms:W3CDTF">2015-06-05T18:17:20Z</dcterms:created>
  <dcterms:modified xsi:type="dcterms:W3CDTF">2022-07-08T06:17:15Z</dcterms:modified>
</cp:coreProperties>
</file>