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hinav Chaturvedi\VIS(2024-25)-PL261-222-290_Globus\Report\"/>
    </mc:Choice>
  </mc:AlternateContent>
  <xr:revisionPtr revIDLastSave="0" documentId="13_ncr:1_{04853A32-7EAB-41E6-89E5-DD63694DC8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uilding Sheet" sheetId="1" r:id="rId1"/>
    <sheet name="Boundary Wall Length" sheetId="2" r:id="rId2"/>
    <sheet name="Lenght or Area of Road" sheetId="3" r:id="rId3"/>
    <sheet name="Drainage length" sheetId="4" r:id="rId4"/>
    <sheet name="Land" sheetId="5" r:id="rId5"/>
    <sheet name="Sheet1" sheetId="6" r:id="rId6"/>
  </sheets>
  <definedNames>
    <definedName name="_xlnm._FilterDatabase" localSheetId="0" hidden="1">'Building Sheet'!$A$2:$H$38</definedName>
  </definedNames>
  <calcPr calcId="181029"/>
</workbook>
</file>

<file path=xl/calcChain.xml><?xml version="1.0" encoding="utf-8"?>
<calcChain xmlns="http://schemas.openxmlformats.org/spreadsheetml/2006/main">
  <c r="P1" i="1" l="1"/>
  <c r="Q16" i="6"/>
  <c r="H39" i="1"/>
  <c r="N39" i="1"/>
  <c r="L39" i="1"/>
  <c r="L3" i="1"/>
  <c r="H14" i="5"/>
  <c r="G14" i="5"/>
  <c r="F8" i="5"/>
  <c r="E8" i="5"/>
  <c r="Q18" i="6"/>
  <c r="Q19" i="6" s="1"/>
  <c r="Q15" i="6"/>
  <c r="E18" i="5"/>
  <c r="C14" i="5"/>
  <c r="I3" i="4"/>
  <c r="H3" i="4"/>
  <c r="K3" i="3"/>
  <c r="L3" i="3"/>
  <c r="M3" i="3" s="1"/>
  <c r="E17" i="5" s="1"/>
  <c r="J3" i="3"/>
  <c r="F3" i="3"/>
  <c r="J3" i="2"/>
  <c r="K3" i="2" s="1"/>
  <c r="E16" i="5" s="1"/>
  <c r="I3" i="2"/>
  <c r="H3" i="2"/>
  <c r="L1" i="1"/>
  <c r="L38" i="1"/>
  <c r="M38" i="1" s="1"/>
  <c r="N38" i="1" s="1"/>
  <c r="M37" i="1"/>
  <c r="N37" i="1" s="1"/>
  <c r="L37" i="1"/>
  <c r="L36" i="1"/>
  <c r="L35" i="1"/>
  <c r="L34" i="1"/>
  <c r="M34" i="1" s="1"/>
  <c r="N34" i="1" s="1"/>
  <c r="M33" i="1"/>
  <c r="N33" i="1" s="1"/>
  <c r="L33" i="1"/>
  <c r="L32" i="1"/>
  <c r="L31" i="1"/>
  <c r="L30" i="1"/>
  <c r="M30" i="1" s="1"/>
  <c r="N30" i="1" s="1"/>
  <c r="M29" i="1"/>
  <c r="N29" i="1" s="1"/>
  <c r="L29" i="1"/>
  <c r="L28" i="1"/>
  <c r="L27" i="1"/>
  <c r="L26" i="1"/>
  <c r="M26" i="1" s="1"/>
  <c r="N26" i="1" s="1"/>
  <c r="M25" i="1"/>
  <c r="N25" i="1" s="1"/>
  <c r="L25" i="1"/>
  <c r="L24" i="1"/>
  <c r="L23" i="1"/>
  <c r="L22" i="1"/>
  <c r="M22" i="1" s="1"/>
  <c r="N22" i="1" s="1"/>
  <c r="M21" i="1"/>
  <c r="N21" i="1" s="1"/>
  <c r="L21" i="1"/>
  <c r="L20" i="1"/>
  <c r="L19" i="1"/>
  <c r="L18" i="1"/>
  <c r="M18" i="1" s="1"/>
  <c r="N18" i="1" s="1"/>
  <c r="M17" i="1"/>
  <c r="N17" i="1" s="1"/>
  <c r="L17" i="1"/>
  <c r="L16" i="1"/>
  <c r="L15" i="1"/>
  <c r="L14" i="1"/>
  <c r="M14" i="1" s="1"/>
  <c r="N14" i="1" s="1"/>
  <c r="M13" i="1"/>
  <c r="N13" i="1" s="1"/>
  <c r="L13" i="1"/>
  <c r="L12" i="1"/>
  <c r="L11" i="1"/>
  <c r="L10" i="1"/>
  <c r="M10" i="1" s="1"/>
  <c r="N10" i="1" s="1"/>
  <c r="M9" i="1"/>
  <c r="N9" i="1" s="1"/>
  <c r="L9" i="1"/>
  <c r="L8" i="1"/>
  <c r="L7" i="1"/>
  <c r="L6" i="1"/>
  <c r="M6" i="1" s="1"/>
  <c r="N6" i="1" s="1"/>
  <c r="M5" i="1"/>
  <c r="N5" i="1" s="1"/>
  <c r="L5" i="1"/>
  <c r="L4" i="1"/>
  <c r="M3" i="1"/>
  <c r="N3" i="1" s="1"/>
  <c r="N1" i="1" s="1"/>
  <c r="E15" i="5" s="1"/>
  <c r="Q24" i="6"/>
  <c r="R24" i="6" s="1"/>
  <c r="P26" i="6"/>
  <c r="Q20" i="6"/>
  <c r="Q14" i="6"/>
  <c r="Q13" i="6"/>
  <c r="P12" i="6"/>
  <c r="O12" i="6"/>
  <c r="P11" i="6"/>
  <c r="Q11" i="6" s="1"/>
  <c r="D8" i="5"/>
  <c r="J10" i="5"/>
  <c r="J3" i="4" l="1"/>
  <c r="K3" i="4" s="1"/>
  <c r="N7" i="1"/>
  <c r="N23" i="1"/>
  <c r="N8" i="1"/>
  <c r="N24" i="1"/>
  <c r="N27" i="1"/>
  <c r="N12" i="1"/>
  <c r="M4" i="1"/>
  <c r="N4" i="1" s="1"/>
  <c r="M8" i="1"/>
  <c r="M12" i="1"/>
  <c r="M16" i="1"/>
  <c r="N16" i="1" s="1"/>
  <c r="M20" i="1"/>
  <c r="N20" i="1" s="1"/>
  <c r="M24" i="1"/>
  <c r="M28" i="1"/>
  <c r="N28" i="1" s="1"/>
  <c r="M32" i="1"/>
  <c r="N32" i="1" s="1"/>
  <c r="M36" i="1"/>
  <c r="N36" i="1" s="1"/>
  <c r="M7" i="1"/>
  <c r="M11" i="1"/>
  <c r="N11" i="1" s="1"/>
  <c r="M15" i="1"/>
  <c r="N15" i="1" s="1"/>
  <c r="M19" i="1"/>
  <c r="N19" i="1" s="1"/>
  <c r="M23" i="1"/>
  <c r="M27" i="1"/>
  <c r="M31" i="1"/>
  <c r="N31" i="1" s="1"/>
  <c r="M35" i="1"/>
  <c r="N35" i="1" s="1"/>
  <c r="Q12" i="6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Q21" i="6" l="1"/>
  <c r="D14" i="5"/>
  <c r="E14" i="5" s="1"/>
  <c r="E19" i="5" s="1"/>
  <c r="E20" i="5" s="1"/>
  <c r="G30" i="1"/>
  <c r="H30" i="1" s="1"/>
  <c r="G29" i="1"/>
  <c r="H29" i="1" s="1"/>
  <c r="G28" i="1"/>
  <c r="H28" i="1" s="1"/>
  <c r="G27" i="1"/>
  <c r="H27" i="1" s="1"/>
  <c r="G25" i="1"/>
  <c r="H25" i="1" s="1"/>
  <c r="G26" i="1"/>
  <c r="H26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4" i="1"/>
  <c r="H14" i="1" s="1"/>
  <c r="G13" i="1"/>
  <c r="H13" i="1" s="1"/>
  <c r="G12" i="1"/>
  <c r="H12" i="1" s="1"/>
  <c r="G11" i="1"/>
  <c r="H11" i="1" s="1"/>
  <c r="G9" i="1"/>
  <c r="H9" i="1" s="1"/>
  <c r="G8" i="1"/>
  <c r="H8" i="1" s="1"/>
  <c r="G7" i="1"/>
  <c r="H7" i="1" s="1"/>
  <c r="G17" i="1"/>
  <c r="H17" i="1" s="1"/>
  <c r="G16" i="1"/>
  <c r="H16" i="1" s="1"/>
  <c r="G15" i="1"/>
  <c r="H15" i="1" s="1"/>
  <c r="G10" i="1"/>
  <c r="H10" i="1" s="1"/>
  <c r="G6" i="1"/>
  <c r="H6" i="1" s="1"/>
  <c r="G5" i="1"/>
  <c r="H5" i="1" s="1"/>
  <c r="G4" i="1"/>
  <c r="H4" i="1" s="1"/>
  <c r="G3" i="1"/>
  <c r="E22" i="5" l="1"/>
  <c r="E21" i="5"/>
  <c r="H3" i="1"/>
  <c r="H1" i="1" s="1"/>
  <c r="G1" i="1"/>
</calcChain>
</file>

<file path=xl/sharedStrings.xml><?xml version="1.0" encoding="utf-8"?>
<sst xmlns="http://schemas.openxmlformats.org/spreadsheetml/2006/main" count="106" uniqueCount="80">
  <si>
    <t>Block Name</t>
  </si>
  <si>
    <t>Total Slabs/ Floors</t>
  </si>
  <si>
    <t>Year of construction</t>
  </si>
  <si>
    <t>RCC framed pillar beam column structure on RCC slab</t>
  </si>
  <si>
    <t>S.No.</t>
  </si>
  <si>
    <t>Area (in sq. mtr.)</t>
  </si>
  <si>
    <t>Area (sq. fts.)</t>
  </si>
  <si>
    <t>IMFL BOTTLING HALL</t>
  </si>
  <si>
    <t>GERNAL STORE</t>
  </si>
  <si>
    <t>CANTEEN</t>
  </si>
  <si>
    <t xml:space="preserve">WEIGH BRIDGE </t>
  </si>
  <si>
    <t>SECURITY CABIN</t>
  </si>
  <si>
    <t>CL BOTTLING HALL</t>
  </si>
  <si>
    <t>TOILETS -1</t>
  </si>
  <si>
    <t>TOILETS -2</t>
  </si>
  <si>
    <t>TOILETS -3</t>
  </si>
  <si>
    <t>OLD DISTILLATION BUILDING</t>
  </si>
  <si>
    <t>NEW DISTILLATION BUILDING</t>
  </si>
  <si>
    <t>MAZANINE FLOOR -ABOVE PG</t>
  </si>
  <si>
    <t>MAZANINE FLOOR -ABOVE FG</t>
  </si>
  <si>
    <t>IMFL BOTTLING HALL EXPANSION</t>
  </si>
  <si>
    <t>DRYER OLD- 120 KLPD</t>
  </si>
  <si>
    <t>DRYER OLD- 140 KLPD</t>
  </si>
  <si>
    <t>DRYER OLD- 60 KLPD</t>
  </si>
  <si>
    <t>OLD DEARATOR BUILDING</t>
  </si>
  <si>
    <t>OLD TURBINE BUILDING</t>
  </si>
  <si>
    <t>NEW DEARATOR BUILDING</t>
  </si>
  <si>
    <t>NEW TURBINE BUILDING</t>
  </si>
  <si>
    <t>GATE COMPLEX</t>
  </si>
  <si>
    <t xml:space="preserve">MS STRUCTURE COLUMN WITH ROOF TRUSS BUILDING WITH PPGI SHEET ROOM - BRICK WORK  WALL </t>
  </si>
  <si>
    <t>OLD DISTILLATION SECTION</t>
  </si>
  <si>
    <t>ENA STORAGE SECTION OLD</t>
  </si>
  <si>
    <t>ENA STORAGE SECTION NEW</t>
  </si>
  <si>
    <t>ENGINEERING OFFICE</t>
  </si>
  <si>
    <t>ENGINEERING WORK SHOP</t>
  </si>
  <si>
    <t>OLD BOILER</t>
  </si>
  <si>
    <t>NEW BOILER</t>
  </si>
  <si>
    <t>LENGTH OF BOUNDARY WALL</t>
  </si>
  <si>
    <t>MTR</t>
  </si>
  <si>
    <t>HEIGHT</t>
  </si>
  <si>
    <t>LENGTH OF ROAD</t>
  </si>
  <si>
    <t>AVERAGE WIDTH</t>
  </si>
  <si>
    <t>RMT.</t>
  </si>
  <si>
    <t>RMT</t>
  </si>
  <si>
    <t xml:space="preserve">DRAINAGE LENGTH </t>
  </si>
  <si>
    <t xml:space="preserve">MS STRUCTURE COLUMN WITH ROOF TRUSS BUILDING WITH PPGI SHEET ROOM - BRICK WORK  WALL  </t>
  </si>
  <si>
    <t>DDGS GODOWN OLD</t>
  </si>
  <si>
    <t>DDGS GODOWN NEW</t>
  </si>
  <si>
    <t>COAL GODOWN OLD</t>
  </si>
  <si>
    <t>COAL GODOWN NEW</t>
  </si>
  <si>
    <t>Lease Deed</t>
  </si>
  <si>
    <t>acre</t>
  </si>
  <si>
    <t>Possession Certificate-2</t>
  </si>
  <si>
    <t>Possession Certificate-1</t>
  </si>
  <si>
    <t>https://wbidc.com/wbidc-land/availability-of-land-modules</t>
  </si>
  <si>
    <t>https://wbidc.com/assets/pdf/Approved_Terms_Condition.pdf</t>
  </si>
  <si>
    <t>https://www.wbidc.com/home/industrial-parks/panagarh-industrial-park</t>
  </si>
  <si>
    <t>https://www.99acres.com/industrial-land-plot-for-sale-in-panagarh-durgapur-580800-sq-yard-r2-spid-B75137293</t>
  </si>
  <si>
    <t>https://www.magicbricks.com/propertyDetails/100-Acre-Industrial-Land-FOR-Sale-Panagarh-in-Durgapur-r2&amp;id=4d423731393734323637</t>
  </si>
  <si>
    <t>WBDCIL</t>
  </si>
  <si>
    <t>Land</t>
  </si>
  <si>
    <t>Building</t>
  </si>
  <si>
    <t>EL</t>
  </si>
  <si>
    <t>SV</t>
  </si>
  <si>
    <t>CoC</t>
  </si>
  <si>
    <t>GCRC</t>
  </si>
  <si>
    <t>Dep.</t>
  </si>
  <si>
    <t>DRC</t>
  </si>
  <si>
    <t>Height (ft.)</t>
  </si>
  <si>
    <t>Age</t>
  </si>
  <si>
    <t>Area (acre)</t>
  </si>
  <si>
    <t>Rate</t>
  </si>
  <si>
    <t>Value</t>
  </si>
  <si>
    <t>Boundary</t>
  </si>
  <si>
    <t>Road</t>
  </si>
  <si>
    <t>Drain</t>
  </si>
  <si>
    <t>Type of construction</t>
  </si>
  <si>
    <t>Depreciated Replacement Cost
(In Rs.)</t>
  </si>
  <si>
    <t>Gross Current Replacement Cost
(In Rs.)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</si>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</sst>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  <numFmt numFmtId="166" formatCode="_ * #,##0.0_ ;_ * \-#,##0.0_ ;_ * &quot;-&quot;?_ ;_ @_ "/>
    <numFmt numFmtId="167" formatCode="_ * #,##0_ ;_ * \-#,##0_ ;_ * &quot;-&quot;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43" fontId="0" fillId="0" borderId="0" xfId="2" applyFont="1"/>
    <xf numFmtId="164" fontId="0" fillId="0" borderId="0" xfId="2" applyNumberFormat="1" applyFont="1"/>
    <xf numFmtId="43" fontId="0" fillId="0" borderId="0" xfId="2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0" xfId="2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3" fontId="0" fillId="0" borderId="0" xfId="0" applyNumberFormat="1"/>
    <xf numFmtId="165" fontId="0" fillId="0" borderId="0" xfId="2" applyNumberFormat="1" applyFont="1" applyAlignment="1">
      <alignment horizontal="right" vertical="center"/>
    </xf>
    <xf numFmtId="43" fontId="0" fillId="0" borderId="0" xfId="0" applyNumberFormat="1"/>
    <xf numFmtId="9" fontId="0" fillId="0" borderId="0" xfId="0" applyNumberForma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43" fontId="1" fillId="0" borderId="0" xfId="2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/>
    <xf numFmtId="9" fontId="0" fillId="0" borderId="1" xfId="0" applyNumberFormat="1" applyBorder="1"/>
    <xf numFmtId="165" fontId="0" fillId="0" borderId="1" xfId="2" applyNumberFormat="1" applyFont="1" applyBorder="1"/>
    <xf numFmtId="165" fontId="1" fillId="4" borderId="0" xfId="2" applyNumberFormat="1" applyFont="1" applyFill="1" applyAlignment="1">
      <alignment horizontal="center" vertical="center"/>
    </xf>
    <xf numFmtId="165" fontId="1" fillId="4" borderId="0" xfId="0" applyNumberFormat="1" applyFont="1" applyFill="1"/>
    <xf numFmtId="0" fontId="1" fillId="4" borderId="0" xfId="0" applyFont="1" applyFill="1"/>
    <xf numFmtId="166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167" fontId="0" fillId="0" borderId="0" xfId="0" applyNumberFormat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457200</xdr:colOff>
      <xdr:row>19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955D0-E34F-927E-E3A3-84A680A07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875" t="8232" r="10042" b="1457"/>
        <a:stretch/>
      </xdr:blipFill>
      <xdr:spPr>
        <a:xfrm>
          <a:off x="0" y="0"/>
          <a:ext cx="5334000" cy="3657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Normal="100" workbookViewId="0">
      <selection activeCell="F5" sqref="F5:F14"/>
    </sheetView>
  </sheetViews>
  <sheetFormatPr defaultRowHeight="15" x14ac:dyDescent="0.25"/>
  <cols>
    <col min="1" max="1" width="6.5703125" style="2" customWidth="1"/>
    <col min="2" max="2" width="29.42578125" style="6" customWidth="1"/>
    <col min="3" max="3" width="12.5703125" style="1" customWidth="1"/>
    <col min="4" max="4" width="11.28515625" style="1" customWidth="1"/>
    <col min="5" max="5" width="12.28515625" style="1" customWidth="1"/>
    <col min="6" max="6" width="31" style="5" customWidth="1"/>
    <col min="7" max="7" width="9.7109375" style="15" hidden="1" customWidth="1"/>
    <col min="8" max="8" width="9.85546875" style="15" customWidth="1"/>
    <col min="9" max="11" width="0" hidden="1" customWidth="1"/>
    <col min="12" max="12" width="12.5703125" bestFit="1" customWidth="1"/>
    <col min="13" max="13" width="11.5703125" hidden="1" customWidth="1"/>
    <col min="14" max="14" width="12.5703125" bestFit="1" customWidth="1"/>
    <col min="16" max="16" width="14.28515625" bestFit="1" customWidth="1"/>
  </cols>
  <sheetData>
    <row r="1" spans="1:16" x14ac:dyDescent="0.25">
      <c r="G1" s="14">
        <f>SUM(G3:G38)</f>
        <v>21363.25</v>
      </c>
      <c r="H1" s="15">
        <f>SUM(H3:H38)</f>
        <v>229868.57</v>
      </c>
      <c r="L1" s="15">
        <f>SUM(L3:L38)</f>
        <v>332742240</v>
      </c>
      <c r="M1">
        <v>2024</v>
      </c>
      <c r="N1" s="15">
        <f>SUM(N3:N38)</f>
        <v>270157976.85333335</v>
      </c>
      <c r="P1" s="41">
        <f>L1*0.8</f>
        <v>266193792</v>
      </c>
    </row>
    <row r="2" spans="1:16" s="18" customFormat="1" ht="75" x14ac:dyDescent="0.25">
      <c r="A2" s="28" t="s">
        <v>4</v>
      </c>
      <c r="B2" s="28" t="s">
        <v>0</v>
      </c>
      <c r="C2" s="28" t="s">
        <v>1</v>
      </c>
      <c r="D2" s="28" t="s">
        <v>68</v>
      </c>
      <c r="E2" s="28" t="s">
        <v>2</v>
      </c>
      <c r="F2" s="28" t="s">
        <v>76</v>
      </c>
      <c r="G2" s="28" t="s">
        <v>5</v>
      </c>
      <c r="H2" s="28" t="s">
        <v>6</v>
      </c>
      <c r="I2" s="29" t="s">
        <v>62</v>
      </c>
      <c r="J2" s="29" t="s">
        <v>63</v>
      </c>
      <c r="K2" s="29" t="s">
        <v>64</v>
      </c>
      <c r="L2" s="28" t="s">
        <v>78</v>
      </c>
      <c r="M2" s="29" t="s">
        <v>66</v>
      </c>
      <c r="N2" s="28" t="s">
        <v>77</v>
      </c>
    </row>
    <row r="3" spans="1:16" x14ac:dyDescent="0.25">
      <c r="A3" s="3">
        <v>1</v>
      </c>
      <c r="B3" s="7" t="s">
        <v>11</v>
      </c>
      <c r="C3" s="4">
        <v>1</v>
      </c>
      <c r="D3" s="3">
        <v>13</v>
      </c>
      <c r="E3" s="3">
        <v>2016</v>
      </c>
      <c r="F3" s="37" t="s">
        <v>3</v>
      </c>
      <c r="G3" s="16">
        <f>2.5*2.5</f>
        <v>6.25</v>
      </c>
      <c r="H3" s="16">
        <f>G3*10.76</f>
        <v>67.25</v>
      </c>
      <c r="I3" s="30">
        <v>60</v>
      </c>
      <c r="J3" s="31">
        <v>0.95</v>
      </c>
      <c r="K3" s="30">
        <v>1600</v>
      </c>
      <c r="L3" s="32">
        <f>K3*H3</f>
        <v>107600</v>
      </c>
      <c r="M3" s="32">
        <f>L3*(J3/I3)*($M$1-E3)</f>
        <v>13629.333333333332</v>
      </c>
      <c r="N3" s="32">
        <f>L3-M3</f>
        <v>93970.666666666672</v>
      </c>
    </row>
    <row r="4" spans="1:16" x14ac:dyDescent="0.25">
      <c r="A4" s="3">
        <v>2</v>
      </c>
      <c r="B4" s="7" t="s">
        <v>10</v>
      </c>
      <c r="C4" s="4">
        <v>1</v>
      </c>
      <c r="D4" s="3">
        <v>12</v>
      </c>
      <c r="E4" s="3">
        <v>2016</v>
      </c>
      <c r="F4" s="37"/>
      <c r="G4" s="16">
        <f>3*3</f>
        <v>9</v>
      </c>
      <c r="H4" s="16">
        <f t="shared" ref="H4:H38" si="0">G4*10.76</f>
        <v>96.84</v>
      </c>
      <c r="I4" s="30">
        <v>60</v>
      </c>
      <c r="J4" s="31">
        <v>0.95</v>
      </c>
      <c r="K4" s="30">
        <v>1600</v>
      </c>
      <c r="L4" s="32">
        <f t="shared" ref="L4:L38" si="1">K4*H4</f>
        <v>154944</v>
      </c>
      <c r="M4" s="32">
        <f t="shared" ref="M4:M38" si="2">L4*(J4/I4)*($M$1-E4)</f>
        <v>19626.239999999998</v>
      </c>
      <c r="N4" s="32">
        <f t="shared" ref="N4:N38" si="3">L4-M4</f>
        <v>135317.76000000001</v>
      </c>
    </row>
    <row r="5" spans="1:16" ht="15" customHeight="1" x14ac:dyDescent="0.25">
      <c r="A5" s="3">
        <v>3</v>
      </c>
      <c r="B5" s="7" t="s">
        <v>9</v>
      </c>
      <c r="C5" s="4">
        <v>1</v>
      </c>
      <c r="D5" s="3">
        <v>12</v>
      </c>
      <c r="E5" s="3">
        <v>2016</v>
      </c>
      <c r="F5" s="37" t="s">
        <v>45</v>
      </c>
      <c r="G5" s="16">
        <f>16*10</f>
        <v>160</v>
      </c>
      <c r="H5" s="16">
        <f t="shared" si="0"/>
        <v>1721.6</v>
      </c>
      <c r="I5" s="30">
        <v>30</v>
      </c>
      <c r="J5" s="31">
        <v>0.95</v>
      </c>
      <c r="K5" s="30">
        <v>1400</v>
      </c>
      <c r="L5" s="32">
        <f t="shared" si="1"/>
        <v>2410240</v>
      </c>
      <c r="M5" s="32">
        <f t="shared" si="2"/>
        <v>610594.1333333333</v>
      </c>
      <c r="N5" s="32">
        <f t="shared" si="3"/>
        <v>1799645.8666666667</v>
      </c>
    </row>
    <row r="6" spans="1:16" ht="30" customHeight="1" x14ac:dyDescent="0.25">
      <c r="A6" s="3">
        <v>4</v>
      </c>
      <c r="B6" s="7" t="s">
        <v>8</v>
      </c>
      <c r="C6" s="4">
        <v>1</v>
      </c>
      <c r="D6" s="3">
        <v>12</v>
      </c>
      <c r="E6" s="3">
        <v>2016</v>
      </c>
      <c r="F6" s="37"/>
      <c r="G6" s="16">
        <f>24*12</f>
        <v>288</v>
      </c>
      <c r="H6" s="16">
        <f t="shared" si="0"/>
        <v>3098.88</v>
      </c>
      <c r="I6" s="30">
        <v>30</v>
      </c>
      <c r="J6" s="31">
        <v>0.95</v>
      </c>
      <c r="K6" s="30">
        <v>1400</v>
      </c>
      <c r="L6" s="32">
        <f t="shared" si="1"/>
        <v>4338432</v>
      </c>
      <c r="M6" s="32">
        <f t="shared" si="2"/>
        <v>1099069.4399999999</v>
      </c>
      <c r="N6" s="32">
        <f t="shared" si="3"/>
        <v>3239362.5600000001</v>
      </c>
    </row>
    <row r="7" spans="1:16" ht="30" customHeight="1" x14ac:dyDescent="0.25">
      <c r="A7" s="3">
        <v>5</v>
      </c>
      <c r="B7" s="7" t="s">
        <v>7</v>
      </c>
      <c r="C7" s="4"/>
      <c r="D7" s="3">
        <v>30</v>
      </c>
      <c r="E7" s="3">
        <v>2016</v>
      </c>
      <c r="F7" s="37"/>
      <c r="G7" s="16">
        <f>110*50</f>
        <v>5500</v>
      </c>
      <c r="H7" s="16">
        <f t="shared" si="0"/>
        <v>59180</v>
      </c>
      <c r="I7" s="30">
        <v>30</v>
      </c>
      <c r="J7" s="31">
        <v>0.95</v>
      </c>
      <c r="K7" s="30">
        <v>1600</v>
      </c>
      <c r="L7" s="32">
        <f t="shared" si="1"/>
        <v>94688000</v>
      </c>
      <c r="M7" s="32">
        <f t="shared" si="2"/>
        <v>23987626.666666664</v>
      </c>
      <c r="N7" s="32">
        <f t="shared" si="3"/>
        <v>70700373.333333343</v>
      </c>
    </row>
    <row r="8" spans="1:16" ht="30" customHeight="1" x14ac:dyDescent="0.25">
      <c r="A8" s="3"/>
      <c r="B8" s="7" t="s">
        <v>18</v>
      </c>
      <c r="C8" s="4"/>
      <c r="D8" s="3">
        <v>12</v>
      </c>
      <c r="E8" s="3">
        <v>2016</v>
      </c>
      <c r="F8" s="37"/>
      <c r="G8" s="16">
        <f>30*30</f>
        <v>900</v>
      </c>
      <c r="H8" s="16">
        <f t="shared" si="0"/>
        <v>9684</v>
      </c>
      <c r="I8" s="30">
        <v>30</v>
      </c>
      <c r="J8" s="31">
        <v>0.95</v>
      </c>
      <c r="K8" s="30">
        <v>1000</v>
      </c>
      <c r="L8" s="32">
        <f t="shared" si="1"/>
        <v>9684000</v>
      </c>
      <c r="M8" s="32">
        <f t="shared" si="2"/>
        <v>2453279.9999999995</v>
      </c>
      <c r="N8" s="32">
        <f t="shared" si="3"/>
        <v>7230720</v>
      </c>
    </row>
    <row r="9" spans="1:16" ht="30" customHeight="1" x14ac:dyDescent="0.25">
      <c r="A9" s="3"/>
      <c r="B9" s="7" t="s">
        <v>19</v>
      </c>
      <c r="C9" s="4"/>
      <c r="D9" s="3">
        <v>12</v>
      </c>
      <c r="E9" s="3">
        <v>2016</v>
      </c>
      <c r="F9" s="37"/>
      <c r="G9" s="16">
        <f>40*30</f>
        <v>1200</v>
      </c>
      <c r="H9" s="16">
        <f t="shared" si="0"/>
        <v>12912</v>
      </c>
      <c r="I9" s="30">
        <v>30</v>
      </c>
      <c r="J9" s="31">
        <v>0.95</v>
      </c>
      <c r="K9" s="30">
        <v>1000</v>
      </c>
      <c r="L9" s="32">
        <f t="shared" si="1"/>
        <v>12912000</v>
      </c>
      <c r="M9" s="32">
        <f t="shared" si="2"/>
        <v>3271039.9999999995</v>
      </c>
      <c r="N9" s="32">
        <f t="shared" si="3"/>
        <v>9640960</v>
      </c>
    </row>
    <row r="10" spans="1:16" ht="30" customHeight="1" x14ac:dyDescent="0.25">
      <c r="A10" s="3">
        <v>6</v>
      </c>
      <c r="B10" s="9" t="s">
        <v>12</v>
      </c>
      <c r="C10" s="4"/>
      <c r="D10" s="11">
        <v>30</v>
      </c>
      <c r="E10" s="3">
        <v>2016</v>
      </c>
      <c r="F10" s="37"/>
      <c r="G10" s="16">
        <f>70*24</f>
        <v>1680</v>
      </c>
      <c r="H10" s="16">
        <f t="shared" si="0"/>
        <v>18076.8</v>
      </c>
      <c r="I10" s="30">
        <v>30</v>
      </c>
      <c r="J10" s="31">
        <v>0.95</v>
      </c>
      <c r="K10" s="30">
        <v>1600</v>
      </c>
      <c r="L10" s="32">
        <f t="shared" si="1"/>
        <v>28922880</v>
      </c>
      <c r="M10" s="32">
        <f t="shared" si="2"/>
        <v>7327129.5999999987</v>
      </c>
      <c r="N10" s="32">
        <f t="shared" si="3"/>
        <v>21595750.400000002</v>
      </c>
    </row>
    <row r="11" spans="1:16" ht="30" customHeight="1" x14ac:dyDescent="0.25">
      <c r="A11" s="3"/>
      <c r="B11" s="7" t="s">
        <v>19</v>
      </c>
      <c r="C11" s="4"/>
      <c r="D11" s="11">
        <v>12</v>
      </c>
      <c r="E11" s="3">
        <v>2016</v>
      </c>
      <c r="F11" s="37"/>
      <c r="G11" s="16">
        <f>24*30</f>
        <v>720</v>
      </c>
      <c r="H11" s="16">
        <f t="shared" si="0"/>
        <v>7747.2</v>
      </c>
      <c r="I11" s="30">
        <v>30</v>
      </c>
      <c r="J11" s="31">
        <v>0.95</v>
      </c>
      <c r="K11" s="30">
        <v>1000</v>
      </c>
      <c r="L11" s="32">
        <f t="shared" si="1"/>
        <v>7747200</v>
      </c>
      <c r="M11" s="32">
        <f t="shared" si="2"/>
        <v>1962623.9999999998</v>
      </c>
      <c r="N11" s="32">
        <f t="shared" si="3"/>
        <v>5784576</v>
      </c>
    </row>
    <row r="12" spans="1:16" ht="30" x14ac:dyDescent="0.25">
      <c r="A12" s="3">
        <v>7</v>
      </c>
      <c r="B12" s="7" t="s">
        <v>20</v>
      </c>
      <c r="C12" s="4"/>
      <c r="D12" s="3">
        <v>30</v>
      </c>
      <c r="E12" s="3">
        <v>2022</v>
      </c>
      <c r="F12" s="37"/>
      <c r="G12" s="16">
        <f>78*28</f>
        <v>2184</v>
      </c>
      <c r="H12" s="16">
        <f t="shared" si="0"/>
        <v>23499.84</v>
      </c>
      <c r="I12" s="30">
        <v>30</v>
      </c>
      <c r="J12" s="31">
        <v>0.95</v>
      </c>
      <c r="K12" s="30">
        <v>1600</v>
      </c>
      <c r="L12" s="32">
        <f t="shared" si="1"/>
        <v>37599744</v>
      </c>
      <c r="M12" s="32">
        <f t="shared" si="2"/>
        <v>2381317.1199999996</v>
      </c>
      <c r="N12" s="32">
        <f t="shared" si="3"/>
        <v>35218426.880000003</v>
      </c>
    </row>
    <row r="13" spans="1:16" ht="30" customHeight="1" x14ac:dyDescent="0.25">
      <c r="A13" s="3"/>
      <c r="B13" s="7" t="s">
        <v>18</v>
      </c>
      <c r="C13" s="4">
        <v>1</v>
      </c>
      <c r="D13" s="3">
        <v>12</v>
      </c>
      <c r="E13" s="3">
        <v>2022</v>
      </c>
      <c r="F13" s="37"/>
      <c r="G13" s="16">
        <f>30*20</f>
        <v>600</v>
      </c>
      <c r="H13" s="16">
        <f t="shared" si="0"/>
        <v>6456</v>
      </c>
      <c r="I13" s="30">
        <v>30</v>
      </c>
      <c r="J13" s="31">
        <v>0.95</v>
      </c>
      <c r="K13" s="30">
        <v>1000</v>
      </c>
      <c r="L13" s="32">
        <f t="shared" si="1"/>
        <v>6456000</v>
      </c>
      <c r="M13" s="32">
        <f t="shared" si="2"/>
        <v>408879.99999999994</v>
      </c>
      <c r="N13" s="32">
        <f t="shared" si="3"/>
        <v>6047120</v>
      </c>
    </row>
    <row r="14" spans="1:16" ht="30" customHeight="1" x14ac:dyDescent="0.25">
      <c r="A14" s="3"/>
      <c r="B14" s="7" t="s">
        <v>19</v>
      </c>
      <c r="C14" s="4">
        <v>1</v>
      </c>
      <c r="D14" s="3">
        <v>12</v>
      </c>
      <c r="E14" s="3">
        <v>2022</v>
      </c>
      <c r="F14" s="37"/>
      <c r="G14" s="16">
        <f>15*30</f>
        <v>450</v>
      </c>
      <c r="H14" s="16">
        <f t="shared" si="0"/>
        <v>4842</v>
      </c>
      <c r="I14" s="30">
        <v>30</v>
      </c>
      <c r="J14" s="31">
        <v>0.95</v>
      </c>
      <c r="K14" s="30">
        <v>1000</v>
      </c>
      <c r="L14" s="32">
        <f t="shared" si="1"/>
        <v>4842000</v>
      </c>
      <c r="M14" s="32">
        <f t="shared" si="2"/>
        <v>306659.99999999994</v>
      </c>
      <c r="N14" s="32">
        <f t="shared" si="3"/>
        <v>4535340</v>
      </c>
    </row>
    <row r="15" spans="1:16" x14ac:dyDescent="0.25">
      <c r="A15" s="3">
        <v>8</v>
      </c>
      <c r="B15" s="9" t="s">
        <v>13</v>
      </c>
      <c r="C15" s="4">
        <v>1</v>
      </c>
      <c r="D15" s="10">
        <v>10</v>
      </c>
      <c r="E15" s="3">
        <v>2016</v>
      </c>
      <c r="F15" s="37" t="s">
        <v>3</v>
      </c>
      <c r="G15" s="16">
        <f>10*10</f>
        <v>100</v>
      </c>
      <c r="H15" s="16">
        <f t="shared" si="0"/>
        <v>1076</v>
      </c>
      <c r="I15" s="30">
        <v>60</v>
      </c>
      <c r="J15" s="31">
        <v>0.95</v>
      </c>
      <c r="K15" s="30">
        <v>1600</v>
      </c>
      <c r="L15" s="32">
        <f t="shared" si="1"/>
        <v>1721600</v>
      </c>
      <c r="M15" s="32">
        <f t="shared" si="2"/>
        <v>218069.33333333331</v>
      </c>
      <c r="N15" s="32">
        <f t="shared" si="3"/>
        <v>1503530.6666666667</v>
      </c>
    </row>
    <row r="16" spans="1:16" x14ac:dyDescent="0.25">
      <c r="A16" s="3">
        <v>9</v>
      </c>
      <c r="B16" s="9" t="s">
        <v>14</v>
      </c>
      <c r="C16" s="4">
        <v>1</v>
      </c>
      <c r="D16" s="11">
        <v>10</v>
      </c>
      <c r="E16" s="3">
        <v>2016</v>
      </c>
      <c r="F16" s="37"/>
      <c r="G16" s="16">
        <f>5*5</f>
        <v>25</v>
      </c>
      <c r="H16" s="16">
        <f t="shared" si="0"/>
        <v>269</v>
      </c>
      <c r="I16" s="30">
        <v>60</v>
      </c>
      <c r="J16" s="31">
        <v>0.95</v>
      </c>
      <c r="K16" s="30">
        <v>1600</v>
      </c>
      <c r="L16" s="32">
        <f t="shared" si="1"/>
        <v>430400</v>
      </c>
      <c r="M16" s="32">
        <f t="shared" si="2"/>
        <v>54517.333333333328</v>
      </c>
      <c r="N16" s="32">
        <f t="shared" si="3"/>
        <v>375882.66666666669</v>
      </c>
    </row>
    <row r="17" spans="1:14" x14ac:dyDescent="0.25">
      <c r="A17" s="3">
        <v>10</v>
      </c>
      <c r="B17" s="9" t="s">
        <v>15</v>
      </c>
      <c r="C17" s="4">
        <v>1</v>
      </c>
      <c r="D17" s="10">
        <v>10</v>
      </c>
      <c r="E17" s="3">
        <v>2016</v>
      </c>
      <c r="F17" s="37"/>
      <c r="G17" s="16">
        <f>5*5</f>
        <v>25</v>
      </c>
      <c r="H17" s="16">
        <f t="shared" si="0"/>
        <v>269</v>
      </c>
      <c r="I17" s="30">
        <v>60</v>
      </c>
      <c r="J17" s="31">
        <v>0.95</v>
      </c>
      <c r="K17" s="30">
        <v>1600</v>
      </c>
      <c r="L17" s="32">
        <f t="shared" si="1"/>
        <v>430400</v>
      </c>
      <c r="M17" s="32">
        <f t="shared" si="2"/>
        <v>54517.333333333328</v>
      </c>
      <c r="N17" s="32">
        <f t="shared" si="3"/>
        <v>375882.66666666669</v>
      </c>
    </row>
    <row r="18" spans="1:14" x14ac:dyDescent="0.25">
      <c r="A18" s="3">
        <v>11</v>
      </c>
      <c r="B18" s="9" t="s">
        <v>16</v>
      </c>
      <c r="C18" s="4">
        <v>2</v>
      </c>
      <c r="D18" s="10">
        <v>30</v>
      </c>
      <c r="E18" s="3">
        <v>2016</v>
      </c>
      <c r="F18" s="37"/>
      <c r="G18" s="16">
        <f>25*6</f>
        <v>150</v>
      </c>
      <c r="H18" s="16">
        <f t="shared" si="0"/>
        <v>1614</v>
      </c>
      <c r="I18" s="30">
        <v>60</v>
      </c>
      <c r="J18" s="31">
        <v>0.95</v>
      </c>
      <c r="K18" s="30">
        <v>1200</v>
      </c>
      <c r="L18" s="32">
        <f t="shared" si="1"/>
        <v>1936800</v>
      </c>
      <c r="M18" s="32">
        <f t="shared" si="2"/>
        <v>245327.99999999997</v>
      </c>
      <c r="N18" s="32">
        <f t="shared" si="3"/>
        <v>1691472</v>
      </c>
    </row>
    <row r="19" spans="1:14" ht="15" customHeight="1" x14ac:dyDescent="0.25">
      <c r="A19" s="3">
        <v>12</v>
      </c>
      <c r="B19" s="9" t="s">
        <v>17</v>
      </c>
      <c r="C19" s="4">
        <v>2</v>
      </c>
      <c r="D19" s="10">
        <v>30</v>
      </c>
      <c r="E19" s="3">
        <v>2021</v>
      </c>
      <c r="F19" s="37" t="s">
        <v>29</v>
      </c>
      <c r="G19" s="16">
        <f>25*6</f>
        <v>150</v>
      </c>
      <c r="H19" s="16">
        <f t="shared" si="0"/>
        <v>1614</v>
      </c>
      <c r="I19" s="30">
        <v>30</v>
      </c>
      <c r="J19" s="31">
        <v>0.95</v>
      </c>
      <c r="K19" s="30">
        <v>1600</v>
      </c>
      <c r="L19" s="32">
        <f t="shared" si="1"/>
        <v>2582400</v>
      </c>
      <c r="M19" s="32">
        <f t="shared" si="2"/>
        <v>245327.99999999994</v>
      </c>
      <c r="N19" s="32">
        <f t="shared" si="3"/>
        <v>2337072</v>
      </c>
    </row>
    <row r="20" spans="1:14" ht="30" customHeight="1" x14ac:dyDescent="0.25">
      <c r="A20" s="3">
        <v>13</v>
      </c>
      <c r="B20" s="9" t="s">
        <v>21</v>
      </c>
      <c r="C20" s="4">
        <v>2</v>
      </c>
      <c r="D20" s="10">
        <v>30</v>
      </c>
      <c r="E20" s="3">
        <v>2016</v>
      </c>
      <c r="F20" s="37"/>
      <c r="G20" s="16">
        <f>25*5</f>
        <v>125</v>
      </c>
      <c r="H20" s="16">
        <f t="shared" si="0"/>
        <v>1345</v>
      </c>
      <c r="I20" s="30">
        <v>30</v>
      </c>
      <c r="J20" s="31">
        <v>0.95</v>
      </c>
      <c r="K20" s="30">
        <v>1600</v>
      </c>
      <c r="L20" s="32">
        <f t="shared" si="1"/>
        <v>2152000</v>
      </c>
      <c r="M20" s="32">
        <f t="shared" si="2"/>
        <v>545173.33333333326</v>
      </c>
      <c r="N20" s="32">
        <f t="shared" si="3"/>
        <v>1606826.6666666667</v>
      </c>
    </row>
    <row r="21" spans="1:14" ht="30" customHeight="1" x14ac:dyDescent="0.25">
      <c r="A21" s="3">
        <v>14</v>
      </c>
      <c r="B21" s="9" t="s">
        <v>22</v>
      </c>
      <c r="C21" s="4">
        <v>2</v>
      </c>
      <c r="D21" s="10">
        <v>30</v>
      </c>
      <c r="E21" s="3">
        <v>2021</v>
      </c>
      <c r="F21" s="37"/>
      <c r="G21" s="16">
        <f>25*5</f>
        <v>125</v>
      </c>
      <c r="H21" s="16">
        <f t="shared" si="0"/>
        <v>1345</v>
      </c>
      <c r="I21" s="30">
        <v>30</v>
      </c>
      <c r="J21" s="31">
        <v>0.95</v>
      </c>
      <c r="K21" s="30">
        <v>1600</v>
      </c>
      <c r="L21" s="32">
        <f t="shared" si="1"/>
        <v>2152000</v>
      </c>
      <c r="M21" s="32">
        <f t="shared" si="2"/>
        <v>204439.99999999997</v>
      </c>
      <c r="N21" s="32">
        <f t="shared" si="3"/>
        <v>1947560</v>
      </c>
    </row>
    <row r="22" spans="1:14" ht="30" customHeight="1" x14ac:dyDescent="0.25">
      <c r="A22" s="3">
        <v>15</v>
      </c>
      <c r="B22" s="9" t="s">
        <v>23</v>
      </c>
      <c r="C22" s="4">
        <v>2</v>
      </c>
      <c r="D22" s="10">
        <v>30</v>
      </c>
      <c r="E22" s="3">
        <v>2023</v>
      </c>
      <c r="F22" s="37"/>
      <c r="G22" s="16">
        <f>8*4.5</f>
        <v>36</v>
      </c>
      <c r="H22" s="16">
        <f t="shared" si="0"/>
        <v>387.36</v>
      </c>
      <c r="I22" s="30">
        <v>30</v>
      </c>
      <c r="J22" s="31">
        <v>0.95</v>
      </c>
      <c r="K22" s="30">
        <v>1600</v>
      </c>
      <c r="L22" s="32">
        <f t="shared" si="1"/>
        <v>619776</v>
      </c>
      <c r="M22" s="32">
        <f t="shared" si="2"/>
        <v>19626.239999999998</v>
      </c>
      <c r="N22" s="32">
        <f t="shared" si="3"/>
        <v>600149.76000000001</v>
      </c>
    </row>
    <row r="23" spans="1:14" x14ac:dyDescent="0.25">
      <c r="A23" s="3">
        <v>16</v>
      </c>
      <c r="B23" s="9" t="s">
        <v>24</v>
      </c>
      <c r="C23" s="4">
        <v>2</v>
      </c>
      <c r="D23" s="10">
        <v>30</v>
      </c>
      <c r="E23" s="3">
        <v>2016</v>
      </c>
      <c r="F23" s="37" t="s">
        <v>3</v>
      </c>
      <c r="G23" s="16">
        <f>12*6</f>
        <v>72</v>
      </c>
      <c r="H23" s="16">
        <f t="shared" si="0"/>
        <v>774.72</v>
      </c>
      <c r="I23" s="30">
        <v>60</v>
      </c>
      <c r="J23" s="31">
        <v>0.95</v>
      </c>
      <c r="K23" s="30">
        <v>1200</v>
      </c>
      <c r="L23" s="32">
        <f t="shared" si="1"/>
        <v>929664</v>
      </c>
      <c r="M23" s="32">
        <f t="shared" si="2"/>
        <v>117757.43999999999</v>
      </c>
      <c r="N23" s="32">
        <f t="shared" si="3"/>
        <v>811906.56000000006</v>
      </c>
    </row>
    <row r="24" spans="1:14" x14ac:dyDescent="0.25">
      <c r="A24" s="3">
        <v>17</v>
      </c>
      <c r="B24" s="9" t="s">
        <v>25</v>
      </c>
      <c r="C24" s="4">
        <v>2</v>
      </c>
      <c r="D24" s="10">
        <v>30</v>
      </c>
      <c r="E24" s="3">
        <v>2016</v>
      </c>
      <c r="F24" s="37"/>
      <c r="G24" s="16">
        <f>20*15</f>
        <v>300</v>
      </c>
      <c r="H24" s="16">
        <f t="shared" si="0"/>
        <v>3228</v>
      </c>
      <c r="I24" s="30">
        <v>60</v>
      </c>
      <c r="J24" s="31">
        <v>0.95</v>
      </c>
      <c r="K24" s="30">
        <v>1200</v>
      </c>
      <c r="L24" s="32">
        <f t="shared" si="1"/>
        <v>3873600</v>
      </c>
      <c r="M24" s="32">
        <f t="shared" si="2"/>
        <v>490655.99999999994</v>
      </c>
      <c r="N24" s="32">
        <f t="shared" si="3"/>
        <v>3382944</v>
      </c>
    </row>
    <row r="25" spans="1:14" x14ac:dyDescent="0.25">
      <c r="A25" s="3">
        <v>18</v>
      </c>
      <c r="B25" s="9" t="s">
        <v>26</v>
      </c>
      <c r="C25" s="4">
        <v>2</v>
      </c>
      <c r="D25" s="10">
        <v>30</v>
      </c>
      <c r="E25" s="3">
        <v>2021</v>
      </c>
      <c r="F25" s="37"/>
      <c r="G25" s="16">
        <f>12*6</f>
        <v>72</v>
      </c>
      <c r="H25" s="16">
        <f t="shared" si="0"/>
        <v>774.72</v>
      </c>
      <c r="I25" s="30">
        <v>60</v>
      </c>
      <c r="J25" s="31">
        <v>0.95</v>
      </c>
      <c r="K25" s="30">
        <v>1200</v>
      </c>
      <c r="L25" s="32">
        <f t="shared" si="1"/>
        <v>929664</v>
      </c>
      <c r="M25" s="32">
        <f t="shared" si="2"/>
        <v>44159.039999999994</v>
      </c>
      <c r="N25" s="32">
        <f t="shared" si="3"/>
        <v>885504.96</v>
      </c>
    </row>
    <row r="26" spans="1:14" x14ac:dyDescent="0.25">
      <c r="A26" s="3">
        <v>19</v>
      </c>
      <c r="B26" s="9" t="s">
        <v>27</v>
      </c>
      <c r="C26" s="3">
        <v>2</v>
      </c>
      <c r="D26" s="3">
        <v>30</v>
      </c>
      <c r="E26" s="3">
        <v>2021</v>
      </c>
      <c r="F26" s="37"/>
      <c r="G26" s="16">
        <f>20*15</f>
        <v>300</v>
      </c>
      <c r="H26" s="16">
        <f t="shared" si="0"/>
        <v>3228</v>
      </c>
      <c r="I26" s="30">
        <v>60</v>
      </c>
      <c r="J26" s="31">
        <v>0.95</v>
      </c>
      <c r="K26" s="30">
        <v>1200</v>
      </c>
      <c r="L26" s="32">
        <f t="shared" si="1"/>
        <v>3873600</v>
      </c>
      <c r="M26" s="32">
        <f t="shared" si="2"/>
        <v>183995.99999999997</v>
      </c>
      <c r="N26" s="32">
        <f t="shared" si="3"/>
        <v>3689604</v>
      </c>
    </row>
    <row r="27" spans="1:14" x14ac:dyDescent="0.25">
      <c r="A27" s="3">
        <v>20</v>
      </c>
      <c r="B27" s="9" t="s">
        <v>28</v>
      </c>
      <c r="C27" s="3">
        <v>1</v>
      </c>
      <c r="D27" s="3">
        <v>12</v>
      </c>
      <c r="E27" s="3">
        <v>2022</v>
      </c>
      <c r="F27" s="37"/>
      <c r="G27" s="16">
        <f>14*8</f>
        <v>112</v>
      </c>
      <c r="H27" s="16">
        <f t="shared" si="0"/>
        <v>1205.1199999999999</v>
      </c>
      <c r="I27" s="30">
        <v>60</v>
      </c>
      <c r="J27" s="31">
        <v>0.95</v>
      </c>
      <c r="K27" s="30">
        <v>1600</v>
      </c>
      <c r="L27" s="32">
        <f t="shared" si="1"/>
        <v>1928191.9999999998</v>
      </c>
      <c r="M27" s="32">
        <f t="shared" si="2"/>
        <v>61059.413333333316</v>
      </c>
      <c r="N27" s="32">
        <f t="shared" si="3"/>
        <v>1867132.5866666664</v>
      </c>
    </row>
    <row r="28" spans="1:14" x14ac:dyDescent="0.25">
      <c r="A28" s="3">
        <v>21</v>
      </c>
      <c r="B28" s="8" t="s">
        <v>30</v>
      </c>
      <c r="C28" s="3">
        <v>1</v>
      </c>
      <c r="D28" s="3">
        <v>15</v>
      </c>
      <c r="E28" s="3">
        <v>2016</v>
      </c>
      <c r="F28" s="37"/>
      <c r="G28" s="16">
        <f>25*20</f>
        <v>500</v>
      </c>
      <c r="H28" s="16">
        <f t="shared" si="0"/>
        <v>5380</v>
      </c>
      <c r="I28" s="30">
        <v>60</v>
      </c>
      <c r="J28" s="31">
        <v>0.95</v>
      </c>
      <c r="K28" s="30">
        <v>1600</v>
      </c>
      <c r="L28" s="32">
        <f t="shared" si="1"/>
        <v>8608000</v>
      </c>
      <c r="M28" s="32">
        <f t="shared" si="2"/>
        <v>1090346.6666666665</v>
      </c>
      <c r="N28" s="32">
        <f t="shared" si="3"/>
        <v>7517653.333333334</v>
      </c>
    </row>
    <row r="29" spans="1:14" x14ac:dyDescent="0.25">
      <c r="A29" s="3">
        <v>22</v>
      </c>
      <c r="B29" s="9" t="s">
        <v>31</v>
      </c>
      <c r="C29" s="3">
        <v>1</v>
      </c>
      <c r="D29" s="11">
        <v>30</v>
      </c>
      <c r="E29" s="3">
        <v>2016</v>
      </c>
      <c r="F29" s="37"/>
      <c r="G29" s="16">
        <f>20*8</f>
        <v>160</v>
      </c>
      <c r="H29" s="16">
        <f t="shared" si="0"/>
        <v>1721.6</v>
      </c>
      <c r="I29" s="30">
        <v>60</v>
      </c>
      <c r="J29" s="31">
        <v>0.95</v>
      </c>
      <c r="K29" s="30">
        <v>1200</v>
      </c>
      <c r="L29" s="32">
        <f t="shared" si="1"/>
        <v>2065920</v>
      </c>
      <c r="M29" s="32">
        <f t="shared" si="2"/>
        <v>261683.19999999995</v>
      </c>
      <c r="N29" s="32">
        <f t="shared" si="3"/>
        <v>1804236.8</v>
      </c>
    </row>
    <row r="30" spans="1:14" x14ac:dyDescent="0.25">
      <c r="A30" s="3">
        <v>23</v>
      </c>
      <c r="B30" s="9" t="s">
        <v>32</v>
      </c>
      <c r="C30" s="3">
        <v>1</v>
      </c>
      <c r="D30" s="11">
        <v>30</v>
      </c>
      <c r="E30" s="3">
        <v>2021</v>
      </c>
      <c r="F30" s="37"/>
      <c r="G30" s="16">
        <f>20*8</f>
        <v>160</v>
      </c>
      <c r="H30" s="16">
        <f t="shared" si="0"/>
        <v>1721.6</v>
      </c>
      <c r="I30" s="30">
        <v>60</v>
      </c>
      <c r="J30" s="31">
        <v>0.95</v>
      </c>
      <c r="K30" s="30">
        <v>1200</v>
      </c>
      <c r="L30" s="32">
        <f t="shared" si="1"/>
        <v>2065920</v>
      </c>
      <c r="M30" s="32">
        <f t="shared" si="2"/>
        <v>98131.199999999983</v>
      </c>
      <c r="N30" s="32">
        <f t="shared" si="3"/>
        <v>1967788.8</v>
      </c>
    </row>
    <row r="31" spans="1:14" x14ac:dyDescent="0.25">
      <c r="A31" s="3">
        <v>24</v>
      </c>
      <c r="B31" s="9" t="s">
        <v>33</v>
      </c>
      <c r="C31" s="3">
        <v>1</v>
      </c>
      <c r="D31" s="11">
        <v>12</v>
      </c>
      <c r="E31" s="3">
        <v>2020</v>
      </c>
      <c r="F31" s="37"/>
      <c r="G31" s="16">
        <f>10*5</f>
        <v>50</v>
      </c>
      <c r="H31" s="16">
        <f t="shared" si="0"/>
        <v>538</v>
      </c>
      <c r="I31" s="30">
        <v>60</v>
      </c>
      <c r="J31" s="31">
        <v>0.95</v>
      </c>
      <c r="K31" s="30">
        <v>1600</v>
      </c>
      <c r="L31" s="32">
        <f t="shared" si="1"/>
        <v>860800</v>
      </c>
      <c r="M31" s="32">
        <f t="shared" si="2"/>
        <v>54517.333333333328</v>
      </c>
      <c r="N31" s="32">
        <f t="shared" si="3"/>
        <v>806282.66666666663</v>
      </c>
    </row>
    <row r="32" spans="1:14" x14ac:dyDescent="0.25">
      <c r="A32" s="3">
        <v>25</v>
      </c>
      <c r="B32" s="9" t="s">
        <v>34</v>
      </c>
      <c r="C32" s="3">
        <v>1</v>
      </c>
      <c r="D32" s="11">
        <v>12</v>
      </c>
      <c r="E32" s="3">
        <v>2020</v>
      </c>
      <c r="F32" s="37"/>
      <c r="G32" s="16">
        <f>10*10</f>
        <v>100</v>
      </c>
      <c r="H32" s="16">
        <f t="shared" si="0"/>
        <v>1076</v>
      </c>
      <c r="I32" s="30">
        <v>60</v>
      </c>
      <c r="J32" s="31">
        <v>0.95</v>
      </c>
      <c r="K32" s="30">
        <v>1600</v>
      </c>
      <c r="L32" s="32">
        <f t="shared" si="1"/>
        <v>1721600</v>
      </c>
      <c r="M32" s="32">
        <f t="shared" si="2"/>
        <v>109034.66666666666</v>
      </c>
      <c r="N32" s="32">
        <f t="shared" si="3"/>
        <v>1612565.3333333333</v>
      </c>
    </row>
    <row r="33" spans="1:14" x14ac:dyDescent="0.25">
      <c r="A33" s="3">
        <v>26</v>
      </c>
      <c r="B33" s="9" t="s">
        <v>35</v>
      </c>
      <c r="C33" s="3">
        <v>1</v>
      </c>
      <c r="D33" s="11">
        <v>15</v>
      </c>
      <c r="E33" s="3">
        <v>2016</v>
      </c>
      <c r="F33" s="37"/>
      <c r="G33" s="16">
        <f>15*15</f>
        <v>225</v>
      </c>
      <c r="H33" s="16">
        <f t="shared" si="0"/>
        <v>2421</v>
      </c>
      <c r="I33" s="30">
        <v>60</v>
      </c>
      <c r="J33" s="31">
        <v>0.95</v>
      </c>
      <c r="K33" s="30">
        <v>800</v>
      </c>
      <c r="L33" s="32">
        <f t="shared" si="1"/>
        <v>1936800</v>
      </c>
      <c r="M33" s="32">
        <f t="shared" si="2"/>
        <v>245327.99999999997</v>
      </c>
      <c r="N33" s="32">
        <f t="shared" si="3"/>
        <v>1691472</v>
      </c>
    </row>
    <row r="34" spans="1:14" x14ac:dyDescent="0.25">
      <c r="A34" s="3">
        <v>27</v>
      </c>
      <c r="B34" s="9" t="s">
        <v>36</v>
      </c>
      <c r="C34" s="3">
        <v>1</v>
      </c>
      <c r="D34" s="11">
        <v>15</v>
      </c>
      <c r="E34" s="3">
        <v>2016</v>
      </c>
      <c r="F34" s="37"/>
      <c r="G34" s="16">
        <f>15*15</f>
        <v>225</v>
      </c>
      <c r="H34" s="16">
        <f t="shared" si="0"/>
        <v>2421</v>
      </c>
      <c r="I34" s="30">
        <v>60</v>
      </c>
      <c r="J34" s="31">
        <v>0.95</v>
      </c>
      <c r="K34" s="30">
        <v>800</v>
      </c>
      <c r="L34" s="32">
        <f t="shared" si="1"/>
        <v>1936800</v>
      </c>
      <c r="M34" s="32">
        <f t="shared" si="2"/>
        <v>245327.99999999997</v>
      </c>
      <c r="N34" s="32">
        <f t="shared" si="3"/>
        <v>1691472</v>
      </c>
    </row>
    <row r="35" spans="1:14" ht="15" customHeight="1" x14ac:dyDescent="0.25">
      <c r="A35" s="3">
        <v>28</v>
      </c>
      <c r="B35" s="9" t="s">
        <v>46</v>
      </c>
      <c r="C35" s="3">
        <v>1</v>
      </c>
      <c r="D35" s="11">
        <v>25</v>
      </c>
      <c r="E35" s="3">
        <v>2016</v>
      </c>
      <c r="F35" s="37" t="s">
        <v>45</v>
      </c>
      <c r="G35" s="16">
        <f>24*16</f>
        <v>384</v>
      </c>
      <c r="H35" s="16">
        <f t="shared" si="0"/>
        <v>4131.84</v>
      </c>
      <c r="I35" s="30">
        <v>30</v>
      </c>
      <c r="J35" s="31">
        <v>0.95</v>
      </c>
      <c r="K35" s="30">
        <v>1600</v>
      </c>
      <c r="L35" s="32">
        <f t="shared" si="1"/>
        <v>6610944</v>
      </c>
      <c r="M35" s="32">
        <f t="shared" si="2"/>
        <v>1674772.4799999997</v>
      </c>
      <c r="N35" s="32">
        <f t="shared" si="3"/>
        <v>4936171.5200000005</v>
      </c>
    </row>
    <row r="36" spans="1:14" ht="30" customHeight="1" x14ac:dyDescent="0.25">
      <c r="A36" s="3">
        <v>29</v>
      </c>
      <c r="B36" s="9" t="s">
        <v>47</v>
      </c>
      <c r="C36" s="3">
        <v>1</v>
      </c>
      <c r="D36" s="11">
        <v>25</v>
      </c>
      <c r="E36" s="3">
        <v>2021</v>
      </c>
      <c r="F36" s="37"/>
      <c r="G36" s="16">
        <f>14*25</f>
        <v>350</v>
      </c>
      <c r="H36" s="16">
        <f t="shared" si="0"/>
        <v>3766</v>
      </c>
      <c r="I36" s="30">
        <v>30</v>
      </c>
      <c r="J36" s="31">
        <v>0.95</v>
      </c>
      <c r="K36" s="30">
        <v>1600</v>
      </c>
      <c r="L36" s="32">
        <f t="shared" si="1"/>
        <v>6025600</v>
      </c>
      <c r="M36" s="32">
        <f t="shared" si="2"/>
        <v>572431.99999999988</v>
      </c>
      <c r="N36" s="32">
        <f t="shared" si="3"/>
        <v>5453168</v>
      </c>
    </row>
    <row r="37" spans="1:14" ht="30" customHeight="1" x14ac:dyDescent="0.25">
      <c r="A37" s="3">
        <v>30</v>
      </c>
      <c r="B37" s="9" t="s">
        <v>48</v>
      </c>
      <c r="C37" s="3">
        <v>1</v>
      </c>
      <c r="D37" s="11">
        <v>30</v>
      </c>
      <c r="E37" s="3">
        <v>2016</v>
      </c>
      <c r="F37" s="37"/>
      <c r="G37" s="16">
        <f>56*36</f>
        <v>2016</v>
      </c>
      <c r="H37" s="16">
        <f t="shared" si="0"/>
        <v>21692.16</v>
      </c>
      <c r="I37" s="30">
        <v>30</v>
      </c>
      <c r="J37" s="31">
        <v>0.95</v>
      </c>
      <c r="K37" s="30">
        <v>1600</v>
      </c>
      <c r="L37" s="32">
        <f t="shared" si="1"/>
        <v>34707456</v>
      </c>
      <c r="M37" s="32">
        <f t="shared" si="2"/>
        <v>8792555.5199999996</v>
      </c>
      <c r="N37" s="32">
        <f t="shared" si="3"/>
        <v>25914900.48</v>
      </c>
    </row>
    <row r="38" spans="1:14" ht="30" customHeight="1" x14ac:dyDescent="0.25">
      <c r="A38" s="3">
        <v>31</v>
      </c>
      <c r="B38" s="9" t="s">
        <v>49</v>
      </c>
      <c r="C38" s="3">
        <v>1</v>
      </c>
      <c r="D38" s="3">
        <v>30</v>
      </c>
      <c r="E38" s="3">
        <v>2021</v>
      </c>
      <c r="F38" s="37"/>
      <c r="G38" s="16">
        <f>56*34</f>
        <v>1904</v>
      </c>
      <c r="H38" s="16">
        <f t="shared" si="0"/>
        <v>20487.04</v>
      </c>
      <c r="I38" s="30">
        <v>30</v>
      </c>
      <c r="J38" s="31">
        <v>0.95</v>
      </c>
      <c r="K38" s="30">
        <v>1600</v>
      </c>
      <c r="L38" s="32">
        <f t="shared" si="1"/>
        <v>32779264</v>
      </c>
      <c r="M38" s="32">
        <f t="shared" si="2"/>
        <v>3114030.0799999996</v>
      </c>
      <c r="N38" s="32">
        <f t="shared" si="3"/>
        <v>29665233.920000002</v>
      </c>
    </row>
    <row r="39" spans="1:14" x14ac:dyDescent="0.25">
      <c r="A39" s="38" t="s">
        <v>79</v>
      </c>
      <c r="B39" s="39"/>
      <c r="C39" s="39"/>
      <c r="D39" s="39"/>
      <c r="E39" s="39"/>
      <c r="F39" s="40"/>
      <c r="G39" s="33"/>
      <c r="H39" s="34">
        <f>SUM(H3:H38)</f>
        <v>229868.57</v>
      </c>
      <c r="I39" s="35"/>
      <c r="J39" s="35"/>
      <c r="K39" s="35"/>
      <c r="L39" s="34">
        <f>SUM(L3:L38)</f>
        <v>332742240</v>
      </c>
      <c r="M39" s="35"/>
      <c r="N39" s="34">
        <f>SUM(N3:N38)</f>
        <v>270157976.85333335</v>
      </c>
    </row>
  </sheetData>
  <autoFilter ref="A2:H38" xr:uid="{00000000-0001-0000-0000-000000000000}"/>
  <mergeCells count="7">
    <mergeCell ref="F3:F4"/>
    <mergeCell ref="A39:F39"/>
    <mergeCell ref="F5:F14"/>
    <mergeCell ref="F19:F22"/>
    <mergeCell ref="F35:F38"/>
    <mergeCell ref="F15:F18"/>
    <mergeCell ref="F23:F34"/>
  </mergeCells>
  <dataValidations count="1">
    <dataValidation type="list" allowBlank="1" showInputMessage="1" showErrorMessage="1" sqref="F23 F15 F3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"/>
  <sheetViews>
    <sheetView workbookViewId="0">
      <selection activeCell="C3" sqref="C3"/>
    </sheetView>
  </sheetViews>
  <sheetFormatPr defaultRowHeight="15" x14ac:dyDescent="0.25"/>
  <cols>
    <col min="2" max="2" width="27" bestFit="1" customWidth="1"/>
    <col min="9" max="9" width="14.28515625" bestFit="1" customWidth="1"/>
    <col min="10" max="10" width="10" bestFit="1" customWidth="1"/>
    <col min="11" max="11" width="11.5703125" bestFit="1" customWidth="1"/>
  </cols>
  <sheetData>
    <row r="2" spans="1:11" x14ac:dyDescent="0.25">
      <c r="C2" s="24" t="s">
        <v>38</v>
      </c>
      <c r="D2" s="24" t="s">
        <v>39</v>
      </c>
      <c r="E2" s="24" t="s">
        <v>64</v>
      </c>
      <c r="F2" s="24" t="s">
        <v>62</v>
      </c>
      <c r="G2" s="24" t="s">
        <v>63</v>
      </c>
      <c r="H2" s="24"/>
      <c r="I2" s="24" t="s">
        <v>65</v>
      </c>
      <c r="J2" s="24" t="s">
        <v>66</v>
      </c>
      <c r="K2" s="24" t="s">
        <v>67</v>
      </c>
    </row>
    <row r="3" spans="1:11" x14ac:dyDescent="0.25">
      <c r="A3">
        <v>1</v>
      </c>
      <c r="B3" t="s">
        <v>37</v>
      </c>
      <c r="C3">
        <v>2100</v>
      </c>
      <c r="D3">
        <v>3.5</v>
      </c>
      <c r="E3">
        <v>8000</v>
      </c>
      <c r="F3">
        <v>25</v>
      </c>
      <c r="G3" s="23">
        <v>0.95</v>
      </c>
      <c r="H3">
        <f>2024-2016</f>
        <v>8</v>
      </c>
      <c r="I3" s="17">
        <f>E3*C3</f>
        <v>16800000</v>
      </c>
      <c r="J3" s="19">
        <f>I3*(G3/F3)*H3</f>
        <v>5107200</v>
      </c>
      <c r="K3" s="19">
        <f>I3-J3</f>
        <v>11692800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"/>
  <sheetViews>
    <sheetView workbookViewId="0">
      <selection activeCell="D3" sqref="D3"/>
    </sheetView>
  </sheetViews>
  <sheetFormatPr defaultRowHeight="15" x14ac:dyDescent="0.25"/>
  <cols>
    <col min="2" max="2" width="16.42578125" bestFit="1" customWidth="1"/>
    <col min="5" max="5" width="15.85546875" bestFit="1" customWidth="1"/>
    <col min="8" max="8" width="14.28515625" bestFit="1" customWidth="1"/>
    <col min="11" max="12" width="11.5703125" bestFit="1" customWidth="1"/>
    <col min="13" max="13" width="10" bestFit="1" customWidth="1"/>
  </cols>
  <sheetData>
    <row r="2" spans="1:13" x14ac:dyDescent="0.25">
      <c r="D2" t="s">
        <v>42</v>
      </c>
      <c r="E2" t="s">
        <v>41</v>
      </c>
      <c r="G2" t="s">
        <v>64</v>
      </c>
      <c r="H2" s="24" t="s">
        <v>62</v>
      </c>
      <c r="I2" s="24" t="s">
        <v>63</v>
      </c>
      <c r="J2" s="24" t="s">
        <v>69</v>
      </c>
      <c r="K2" s="24" t="s">
        <v>65</v>
      </c>
      <c r="L2" s="24" t="s">
        <v>66</v>
      </c>
      <c r="M2" s="24" t="s">
        <v>67</v>
      </c>
    </row>
    <row r="3" spans="1:13" x14ac:dyDescent="0.25">
      <c r="A3">
        <v>1</v>
      </c>
      <c r="B3" t="s">
        <v>40</v>
      </c>
      <c r="D3">
        <v>1600</v>
      </c>
      <c r="E3">
        <v>7</v>
      </c>
      <c r="F3">
        <f>E3*D3</f>
        <v>11200</v>
      </c>
      <c r="G3">
        <v>1600</v>
      </c>
      <c r="H3">
        <v>15</v>
      </c>
      <c r="I3" s="23">
        <v>0.95</v>
      </c>
      <c r="J3">
        <f>2024-2016</f>
        <v>8</v>
      </c>
      <c r="K3" s="17">
        <f>G3*F3</f>
        <v>17920000</v>
      </c>
      <c r="L3" s="19">
        <f>K3*(I3/H3)*J3</f>
        <v>9079466.666666666</v>
      </c>
      <c r="M3" s="19">
        <f>K3-L3</f>
        <v>8840533.333333334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3"/>
  <sheetViews>
    <sheetView workbookViewId="0">
      <selection activeCell="C3" sqref="C3"/>
    </sheetView>
  </sheetViews>
  <sheetFormatPr defaultRowHeight="15" x14ac:dyDescent="0.25"/>
  <cols>
    <col min="2" max="2" width="18.28515625" bestFit="1" customWidth="1"/>
    <col min="9" max="11" width="10" bestFit="1" customWidth="1"/>
  </cols>
  <sheetData>
    <row r="2" spans="1:11" x14ac:dyDescent="0.25">
      <c r="C2" t="s">
        <v>43</v>
      </c>
      <c r="E2" t="s">
        <v>64</v>
      </c>
      <c r="F2" s="24" t="s">
        <v>62</v>
      </c>
      <c r="G2" s="24" t="s">
        <v>63</v>
      </c>
      <c r="H2" s="24" t="s">
        <v>69</v>
      </c>
      <c r="I2" s="24" t="s">
        <v>65</v>
      </c>
      <c r="J2" s="24" t="s">
        <v>66</v>
      </c>
      <c r="K2" s="24" t="s">
        <v>67</v>
      </c>
    </row>
    <row r="3" spans="1:11" x14ac:dyDescent="0.25">
      <c r="A3">
        <v>1</v>
      </c>
      <c r="B3" t="s">
        <v>44</v>
      </c>
      <c r="C3">
        <v>2300</v>
      </c>
      <c r="E3">
        <v>2000</v>
      </c>
      <c r="F3">
        <v>15</v>
      </c>
      <c r="G3" s="23">
        <v>0.95</v>
      </c>
      <c r="H3">
        <f>2024-2016</f>
        <v>8</v>
      </c>
      <c r="I3" s="17">
        <f>E3*C3</f>
        <v>4600000</v>
      </c>
      <c r="J3" s="19">
        <f>I3*(G3/F3)*H3</f>
        <v>2330666.6666666665</v>
      </c>
      <c r="K3" s="19">
        <f>I3-J3</f>
        <v>2269333.3333333335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J22"/>
  <sheetViews>
    <sheetView workbookViewId="0">
      <selection activeCell="E19" sqref="E19"/>
    </sheetView>
  </sheetViews>
  <sheetFormatPr defaultRowHeight="15" x14ac:dyDescent="0.25"/>
  <cols>
    <col min="2" max="2" width="9.42578125" bestFit="1" customWidth="1"/>
    <col min="3" max="3" width="20.7109375" bestFit="1" customWidth="1"/>
    <col min="4" max="4" width="12.5703125" style="12" bestFit="1" customWidth="1"/>
    <col min="5" max="5" width="15.28515625" style="17" bestFit="1" customWidth="1"/>
    <col min="6" max="6" width="11.5703125" bestFit="1" customWidth="1"/>
    <col min="7" max="7" width="15.28515625" bestFit="1" customWidth="1"/>
    <col min="8" max="8" width="14.28515625" bestFit="1" customWidth="1"/>
    <col min="10" max="10" width="11.5703125" bestFit="1" customWidth="1"/>
  </cols>
  <sheetData>
    <row r="3" spans="2:10" x14ac:dyDescent="0.25">
      <c r="D3" s="12" t="s">
        <v>51</v>
      </c>
    </row>
    <row r="4" spans="2:10" x14ac:dyDescent="0.25">
      <c r="C4" t="s">
        <v>50</v>
      </c>
      <c r="D4" s="12">
        <v>19.28</v>
      </c>
    </row>
    <row r="5" spans="2:10" x14ac:dyDescent="0.25">
      <c r="C5" t="s">
        <v>53</v>
      </c>
      <c r="D5" s="13">
        <v>6.0839999999999996</v>
      </c>
    </row>
    <row r="6" spans="2:10" x14ac:dyDescent="0.25">
      <c r="C6" t="s">
        <v>52</v>
      </c>
      <c r="D6" s="12">
        <v>5</v>
      </c>
    </row>
    <row r="8" spans="2:10" x14ac:dyDescent="0.25">
      <c r="D8" s="13">
        <f>SUM(D4:D7)</f>
        <v>30.364000000000001</v>
      </c>
      <c r="E8" s="12">
        <f>D8/2.471</f>
        <v>12.288142452448401</v>
      </c>
      <c r="F8" s="17">
        <f>D8*4046.845</f>
        <v>122878.40157999999</v>
      </c>
    </row>
    <row r="9" spans="2:10" x14ac:dyDescent="0.25">
      <c r="J9" s="12">
        <v>147104.85</v>
      </c>
    </row>
    <row r="10" spans="2:10" x14ac:dyDescent="0.25">
      <c r="J10" s="12">
        <f>J9/4046.84</f>
        <v>36.350547587747478</v>
      </c>
    </row>
    <row r="13" spans="2:10" x14ac:dyDescent="0.25">
      <c r="C13" s="24" t="s">
        <v>70</v>
      </c>
      <c r="D13" s="26" t="s">
        <v>71</v>
      </c>
      <c r="E13" s="27" t="s">
        <v>72</v>
      </c>
    </row>
    <row r="14" spans="2:10" x14ac:dyDescent="0.25">
      <c r="B14" t="s">
        <v>60</v>
      </c>
      <c r="C14" s="25">
        <f>Land!D8</f>
        <v>30.364000000000001</v>
      </c>
      <c r="D14" s="17">
        <f>Sheet1!Q19</f>
        <v>6500000</v>
      </c>
      <c r="E14" s="17">
        <f>D14*C14</f>
        <v>197366000</v>
      </c>
      <c r="G14" s="17">
        <f>57*10^7</f>
        <v>570000000</v>
      </c>
      <c r="H14" s="17">
        <f>G14/19.28</f>
        <v>29564315.352697093</v>
      </c>
    </row>
    <row r="15" spans="2:10" x14ac:dyDescent="0.25">
      <c r="B15" t="s">
        <v>61</v>
      </c>
      <c r="E15" s="17">
        <f>'Building Sheet'!N1</f>
        <v>270157976.85333335</v>
      </c>
    </row>
    <row r="16" spans="2:10" x14ac:dyDescent="0.25">
      <c r="B16" t="s">
        <v>73</v>
      </c>
      <c r="E16" s="17">
        <f>'Boundary Wall Length'!K3</f>
        <v>11692800</v>
      </c>
    </row>
    <row r="17" spans="2:5" x14ac:dyDescent="0.25">
      <c r="B17" t="s">
        <v>74</v>
      </c>
      <c r="E17" s="17">
        <f>'Lenght or Area of Road'!M3</f>
        <v>8840533.333333334</v>
      </c>
    </row>
    <row r="18" spans="2:5" x14ac:dyDescent="0.25">
      <c r="B18" t="s">
        <v>75</v>
      </c>
      <c r="E18" s="17">
        <f>'Drainage length'!K3</f>
        <v>2269333.3333333335</v>
      </c>
    </row>
    <row r="19" spans="2:5" x14ac:dyDescent="0.25">
      <c r="E19" s="17">
        <f>SUM(E14:E18)</f>
        <v>490326643.51999998</v>
      </c>
    </row>
    <row r="20" spans="2:5" x14ac:dyDescent="0.25">
      <c r="E20" s="17">
        <f>ROUND(E19,-6)</f>
        <v>490000000</v>
      </c>
    </row>
    <row r="21" spans="2:5" x14ac:dyDescent="0.25">
      <c r="E21" s="17">
        <f>E20*0.85</f>
        <v>416500000</v>
      </c>
    </row>
    <row r="22" spans="2:5" x14ac:dyDescent="0.25">
      <c r="E22" s="17">
        <f>E20*0.75</f>
        <v>367500000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37BA-EF19-4BCE-8C74-588A92A174A4}">
  <dimension ref="N3:T26"/>
  <sheetViews>
    <sheetView workbookViewId="0">
      <selection activeCell="J13" sqref="J13"/>
    </sheetView>
  </sheetViews>
  <sheetFormatPr defaultRowHeight="15" x14ac:dyDescent="0.25"/>
  <cols>
    <col min="15" max="16" width="15.28515625" style="17" bestFit="1" customWidth="1"/>
    <col min="17" max="17" width="12.5703125" bestFit="1" customWidth="1"/>
    <col min="18" max="19" width="14.28515625" bestFit="1" customWidth="1"/>
    <col min="20" max="20" width="13.28515625" bestFit="1" customWidth="1"/>
  </cols>
  <sheetData>
    <row r="3" spans="14:18" x14ac:dyDescent="0.25">
      <c r="N3" t="s">
        <v>54</v>
      </c>
    </row>
    <row r="4" spans="14:18" x14ac:dyDescent="0.25">
      <c r="N4" t="s">
        <v>55</v>
      </c>
    </row>
    <row r="5" spans="14:18" x14ac:dyDescent="0.25">
      <c r="N5" t="s">
        <v>56</v>
      </c>
    </row>
    <row r="10" spans="14:18" x14ac:dyDescent="0.25">
      <c r="Q10" s="17"/>
    </row>
    <row r="11" spans="14:18" x14ac:dyDescent="0.25">
      <c r="O11" s="17">
        <v>759061.34</v>
      </c>
      <c r="P11" s="17">
        <f>150*10^7</f>
        <v>1500000000</v>
      </c>
      <c r="Q11" s="17">
        <f>P11/(O11/4046.845)</f>
        <v>7997071.0930950586</v>
      </c>
      <c r="R11" t="s">
        <v>57</v>
      </c>
    </row>
    <row r="12" spans="14:18" x14ac:dyDescent="0.25">
      <c r="O12" s="17">
        <f>100*4046.845</f>
        <v>404684.5</v>
      </c>
      <c r="P12" s="17">
        <f>56*10^7</f>
        <v>560000000</v>
      </c>
      <c r="Q12" s="17">
        <f>P12/(O12/4046.845)</f>
        <v>5600000</v>
      </c>
      <c r="R12" t="s">
        <v>58</v>
      </c>
    </row>
    <row r="13" spans="14:18" x14ac:dyDescent="0.25">
      <c r="Q13" s="17">
        <f>56.5*10^5</f>
        <v>5650000</v>
      </c>
      <c r="R13" t="s">
        <v>59</v>
      </c>
    </row>
    <row r="14" spans="14:18" x14ac:dyDescent="0.25">
      <c r="Q14" s="17">
        <f>69.598*10^5</f>
        <v>6959800</v>
      </c>
      <c r="R14" t="s">
        <v>54</v>
      </c>
    </row>
    <row r="15" spans="14:18" x14ac:dyDescent="0.25">
      <c r="Q15" s="17">
        <f>75*10^5</f>
        <v>7500000</v>
      </c>
    </row>
    <row r="16" spans="14:18" x14ac:dyDescent="0.25">
      <c r="N16">
        <v>45</v>
      </c>
      <c r="Q16" s="17">
        <f>52.5*10^5</f>
        <v>5250000</v>
      </c>
    </row>
    <row r="17" spans="14:20" x14ac:dyDescent="0.25">
      <c r="N17">
        <v>60</v>
      </c>
    </row>
    <row r="18" spans="14:20" x14ac:dyDescent="0.25">
      <c r="Q18" s="19">
        <f>AVERAGE(Q11:Q16)</f>
        <v>6492811.8488491764</v>
      </c>
    </row>
    <row r="19" spans="14:20" x14ac:dyDescent="0.25">
      <c r="Q19" s="19">
        <f>ROUND(Q18,-5)</f>
        <v>6500000</v>
      </c>
      <c r="R19" s="36"/>
      <c r="S19" s="36"/>
      <c r="T19" s="36"/>
    </row>
    <row r="20" spans="14:20" x14ac:dyDescent="0.25">
      <c r="Q20">
        <f>Land!D8</f>
        <v>30.364000000000001</v>
      </c>
    </row>
    <row r="21" spans="14:20" x14ac:dyDescent="0.25">
      <c r="Q21" s="19">
        <f>Q20*Q19</f>
        <v>197366000</v>
      </c>
    </row>
    <row r="24" spans="14:20" x14ac:dyDescent="0.25">
      <c r="O24" s="21" t="s">
        <v>60</v>
      </c>
      <c r="P24" s="17">
        <v>572663718</v>
      </c>
      <c r="Q24" s="22">
        <f>Land!D4</f>
        <v>19.28</v>
      </c>
      <c r="R24" s="17">
        <f>P24/Q24</f>
        <v>29702475</v>
      </c>
    </row>
    <row r="25" spans="14:20" x14ac:dyDescent="0.25">
      <c r="O25" s="21" t="s">
        <v>61</v>
      </c>
      <c r="P25" s="20">
        <v>203816820</v>
      </c>
    </row>
    <row r="26" spans="14:20" x14ac:dyDescent="0.25">
      <c r="P26" s="17">
        <f>SUM(P24:P25)</f>
        <v>776480538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Building Sheet</vt:lpstr>
      <vt:lpstr>Boundary Wall Length</vt:lpstr>
      <vt:lpstr>Lenght or Area of Road</vt:lpstr>
      <vt:lpstr>Drainage length</vt:lpstr>
      <vt:lpstr>Land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Mohit Agarwal</dc:creator>
  <cp:lastModifiedBy>Abhinav Chaturvedi</cp:lastModifiedBy>
  <cp:lastPrinted>2024-08-09T10:43:53Z</cp:lastPrinted>
  <dcterms:created xsi:type="dcterms:W3CDTF">2016-02-17T05:50:56Z</dcterms:created>
  <dcterms:modified xsi:type="dcterms:W3CDTF">2024-08-28T13:51:54Z</dcterms:modified>
</cp:coreProperties>
</file>