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X:\In Progress Files\Abhinav\VIS(2024-25)-PL293-253-334_Globus Bihar\Report\"/>
    </mc:Choice>
  </mc:AlternateContent>
  <xr:revisionPtr revIDLastSave="0" documentId="13_ncr:1_{D7E70295-7202-4CE7-B787-51F6235B7F75}" xr6:coauthVersionLast="47" xr6:coauthVersionMax="47" xr10:uidLastSave="{00000000-0000-0000-0000-000000000000}"/>
  <bookViews>
    <workbookView xWindow="-120" yWindow="-120" windowWidth="24240" windowHeight="13140" activeTab="1" xr2:uid="{00000000-000D-0000-FFFF-FFFF00000000}"/>
  </bookViews>
  <sheets>
    <sheet name="Building Sheet" sheetId="1" r:id="rId1"/>
    <sheet name="Boundary Wall Length" sheetId="2" r:id="rId2"/>
  </sheets>
  <externalReferences>
    <externalReference r:id="rId3"/>
  </externalReferences>
  <definedNames>
    <definedName name="_xlnm._FilterDatabase" localSheetId="0" hidden="1">'Building Sheet'!$A$3:$O$26</definedName>
  </definedNames>
  <calcPr calcId="181029"/>
</workbook>
</file>

<file path=xl/calcChain.xml><?xml version="1.0" encoding="utf-8"?>
<calcChain xmlns="http://schemas.openxmlformats.org/spreadsheetml/2006/main">
  <c r="F5" i="2" l="1"/>
  <c r="O28" i="1" l="1"/>
  <c r="F3" i="2"/>
  <c r="I27" i="1"/>
  <c r="T13" i="1"/>
  <c r="M26" i="1"/>
  <c r="N26" i="1" s="1"/>
  <c r="O26" i="1" s="1"/>
  <c r="M9" i="1"/>
  <c r="N9" i="1" s="1"/>
  <c r="O9" i="1" s="1"/>
  <c r="H26" i="1"/>
  <c r="H9" i="1"/>
  <c r="H13" i="1"/>
  <c r="I13" i="1" s="1"/>
  <c r="M13" i="1" s="1"/>
  <c r="I9" i="1"/>
  <c r="H23" i="1"/>
  <c r="I23" i="1" s="1"/>
  <c r="M23" i="1" s="1"/>
  <c r="N23" i="1" s="1"/>
  <c r="O23" i="1" s="1"/>
  <c r="H24" i="1"/>
  <c r="I24" i="1" s="1"/>
  <c r="M24" i="1" s="1"/>
  <c r="N24" i="1" s="1"/>
  <c r="O24" i="1" s="1"/>
  <c r="N13" i="1" l="1"/>
  <c r="O13" i="1" s="1"/>
  <c r="H25" i="1"/>
  <c r="I25" i="1" s="1"/>
  <c r="M25" i="1" s="1"/>
  <c r="N25" i="1" s="1"/>
  <c r="O25" i="1" s="1"/>
  <c r="H19" i="1"/>
  <c r="H22" i="1" l="1"/>
  <c r="H21" i="1"/>
  <c r="H18" i="1" l="1"/>
  <c r="H17" i="1"/>
  <c r="I17" i="1" s="1"/>
  <c r="M17" i="1" s="1"/>
  <c r="N17" i="1" s="1"/>
  <c r="O17" i="1" s="1"/>
  <c r="H16" i="1"/>
  <c r="H15" i="1"/>
  <c r="H12" i="1"/>
  <c r="H11" i="1"/>
  <c r="H10" i="1"/>
  <c r="H14" i="1"/>
  <c r="H7" i="1"/>
  <c r="H8" i="1"/>
  <c r="H6" i="1"/>
  <c r="H4" i="1"/>
  <c r="I22" i="1" l="1"/>
  <c r="M22" i="1" s="1"/>
  <c r="I21" i="1"/>
  <c r="M21" i="1" s="1"/>
  <c r="H20" i="1"/>
  <c r="I20" i="1" s="1"/>
  <c r="M20" i="1" s="1"/>
  <c r="N20" i="1" s="1"/>
  <c r="O20" i="1" s="1"/>
  <c r="I19" i="1"/>
  <c r="M19" i="1" s="1"/>
  <c r="N19" i="1" s="1"/>
  <c r="O19" i="1" s="1"/>
  <c r="N22" i="1" l="1"/>
  <c r="O22" i="1" s="1"/>
  <c r="N21" i="1"/>
  <c r="O21" i="1" s="1"/>
  <c r="I18" i="1"/>
  <c r="M18" i="1" s="1"/>
  <c r="I16" i="1"/>
  <c r="M16" i="1" s="1"/>
  <c r="N16" i="1" s="1"/>
  <c r="O16" i="1" s="1"/>
  <c r="I15" i="1"/>
  <c r="M15" i="1" s="1"/>
  <c r="I14" i="1"/>
  <c r="M14" i="1" s="1"/>
  <c r="N14" i="1" s="1"/>
  <c r="O14" i="1" s="1"/>
  <c r="I8" i="1"/>
  <c r="M8" i="1" s="1"/>
  <c r="N8" i="1" s="1"/>
  <c r="O8" i="1" s="1"/>
  <c r="I7" i="1"/>
  <c r="M7" i="1" s="1"/>
  <c r="I6" i="1"/>
  <c r="M6" i="1" s="1"/>
  <c r="N6" i="1" s="1"/>
  <c r="O6" i="1" s="1"/>
  <c r="I12" i="1"/>
  <c r="M12" i="1" s="1"/>
  <c r="N12" i="1" s="1"/>
  <c r="O12" i="1" s="1"/>
  <c r="I11" i="1"/>
  <c r="M11" i="1" s="1"/>
  <c r="I10" i="1"/>
  <c r="M10" i="1" s="1"/>
  <c r="N10" i="1" s="1"/>
  <c r="O10" i="1" s="1"/>
  <c r="H5" i="1"/>
  <c r="I4" i="1"/>
  <c r="M4" i="1" s="1"/>
  <c r="A5" i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N7" i="1" l="1"/>
  <c r="O7" i="1" s="1"/>
  <c r="O27" i="1" s="1"/>
  <c r="F4" i="2" s="1"/>
  <c r="F6" i="2" s="1"/>
  <c r="F7" i="2" s="1"/>
  <c r="M27" i="1"/>
  <c r="N4" i="1"/>
  <c r="N18" i="1"/>
  <c r="O18" i="1" s="1"/>
  <c r="N15" i="1"/>
  <c r="O15" i="1" s="1"/>
  <c r="N11" i="1"/>
  <c r="O11" i="1" s="1"/>
  <c r="I5" i="1"/>
  <c r="I2" i="1" s="1"/>
  <c r="H2" i="1"/>
  <c r="F9" i="2" l="1"/>
  <c r="F8" i="2"/>
  <c r="O4" i="1"/>
  <c r="T14" i="1"/>
  <c r="M5" i="1"/>
  <c r="M2" i="1" s="1"/>
  <c r="Q2" i="1" s="1"/>
  <c r="N5" i="1" l="1"/>
  <c r="N2" i="1" s="1"/>
  <c r="O5" i="1" l="1"/>
  <c r="O2" i="1" s="1"/>
</calcChain>
</file>

<file path=xl/sharedStrings.xml><?xml version="1.0" encoding="utf-8"?>
<sst xmlns="http://schemas.openxmlformats.org/spreadsheetml/2006/main" count="71" uniqueCount="47">
  <si>
    <t>Block Name</t>
  </si>
  <si>
    <t>Total Slabs/ Floors</t>
  </si>
  <si>
    <t>Year of construction</t>
  </si>
  <si>
    <t>Structure condition</t>
  </si>
  <si>
    <t>RCC framed pillar beam column structure on RCC slab</t>
  </si>
  <si>
    <t>S.No.</t>
  </si>
  <si>
    <t>Area (in sq. mtr.)</t>
  </si>
  <si>
    <t>Area (sq. fts.)</t>
  </si>
  <si>
    <t>Floor wise Height (ft.)</t>
  </si>
  <si>
    <t>IMFL BOTTLING HALL</t>
  </si>
  <si>
    <t xml:space="preserve">WEIGH BRIDGE </t>
  </si>
  <si>
    <t>SECURITY CABIN</t>
  </si>
  <si>
    <t>TOILETS -1</t>
  </si>
  <si>
    <t>TOILETS -2</t>
  </si>
  <si>
    <t>TOILETS -3</t>
  </si>
  <si>
    <t>NEW DISTILLATION BUILDING</t>
  </si>
  <si>
    <t>MAZANINE FLOOR -ABOVE PG</t>
  </si>
  <si>
    <t>MAZANINE FLOOR -ABOVE FG</t>
  </si>
  <si>
    <t xml:space="preserve">MS STRUCTURE COLUMN WITH ROOF TRUSS BUILDING WITH PPGI SHEET ROOM - BRICK WORK  WALL </t>
  </si>
  <si>
    <t>ENA STORAGE SECTION OLD</t>
  </si>
  <si>
    <t>LENGTH OF BOUNDARY WALL</t>
  </si>
  <si>
    <t>MTR</t>
  </si>
  <si>
    <t>HEIGHT</t>
  </si>
  <si>
    <t>DDGS GODOWN OLD</t>
  </si>
  <si>
    <t>COAL GODOWN OLD</t>
  </si>
  <si>
    <t>COAL GODOWN NEW</t>
  </si>
  <si>
    <t>Good</t>
  </si>
  <si>
    <t xml:space="preserve">DRYER </t>
  </si>
  <si>
    <t>DEARATOR BUILDING</t>
  </si>
  <si>
    <t>TURBINE BUILDING</t>
  </si>
  <si>
    <t>BOILER</t>
  </si>
  <si>
    <t xml:space="preserve">Grain unloading section </t>
  </si>
  <si>
    <t xml:space="preserve">Milling section </t>
  </si>
  <si>
    <t xml:space="preserve">Fermentation  section Liqifaction </t>
  </si>
  <si>
    <t>Meter Room</t>
  </si>
  <si>
    <t>MAZANINE FLOOR</t>
  </si>
  <si>
    <t>TOILETS -4</t>
  </si>
  <si>
    <t>SV</t>
  </si>
  <si>
    <t>Dep.</t>
  </si>
  <si>
    <t>Type of construction</t>
  </si>
  <si>
    <t>Replacement Cost</t>
  </si>
  <si>
    <t>Depreciated Replacement Cost</t>
  </si>
  <si>
    <t>Construction Cost (In Rs/sqft)</t>
  </si>
  <si>
    <t>Economic Life (Year)</t>
  </si>
  <si>
    <t>Total</t>
  </si>
  <si>
    <t>Building</t>
  </si>
  <si>
    <t>Land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</si>
</sst>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43" fontId="4" fillId="0" borderId="0" applyFont="0" applyFill="0" applyBorder="0" applyAlignment="0" applyProtection="0"/>
  </cellStyleXfs>
  <cellXfs count="33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3" fillId="2" borderId="1" xfId="1" applyFont="1" applyFill="1" applyBorder="1" applyAlignment="1">
      <alignment horizontal="left" vertical="center" wrapText="1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top"/>
    </xf>
    <xf numFmtId="0" fontId="1" fillId="0" borderId="0" xfId="0" applyFont="1"/>
    <xf numFmtId="0" fontId="1" fillId="0" borderId="1" xfId="0" applyFont="1" applyBorder="1" applyAlignment="1">
      <alignment horizontal="center" vertical="top"/>
    </xf>
    <xf numFmtId="1" fontId="0" fillId="0" borderId="1" xfId="0" applyNumberFormat="1" applyBorder="1" applyAlignment="1">
      <alignment horizontal="center" vertical="center" wrapText="1"/>
    </xf>
    <xf numFmtId="164" fontId="0" fillId="0" borderId="0" xfId="2" applyNumberFormat="1" applyFont="1" applyAlignment="1">
      <alignment horizontal="center" vertical="center"/>
    </xf>
    <xf numFmtId="164" fontId="0" fillId="0" borderId="1" xfId="2" applyNumberFormat="1" applyFont="1" applyBorder="1" applyAlignment="1">
      <alignment horizontal="center" vertical="center"/>
    </xf>
    <xf numFmtId="164" fontId="0" fillId="0" borderId="0" xfId="2" applyNumberFormat="1" applyFont="1"/>
    <xf numFmtId="43" fontId="0" fillId="0" borderId="0" xfId="0" applyNumberFormat="1"/>
    <xf numFmtId="164" fontId="0" fillId="0" borderId="0" xfId="0" applyNumberFormat="1"/>
    <xf numFmtId="164" fontId="1" fillId="0" borderId="0" xfId="2" applyNumberFormat="1" applyFont="1"/>
    <xf numFmtId="0" fontId="0" fillId="0" borderId="1" xfId="0" applyBorder="1"/>
    <xf numFmtId="9" fontId="0" fillId="0" borderId="1" xfId="0" applyNumberFormat="1" applyBorder="1"/>
    <xf numFmtId="164" fontId="0" fillId="0" borderId="1" xfId="2" applyNumberFormat="1" applyFont="1" applyBorder="1"/>
    <xf numFmtId="0" fontId="5" fillId="3" borderId="1" xfId="0" applyFont="1" applyFill="1" applyBorder="1" applyAlignment="1">
      <alignment horizontal="center" vertical="center" wrapText="1"/>
    </xf>
    <xf numFmtId="164" fontId="5" fillId="3" borderId="1" xfId="2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64" fontId="1" fillId="0" borderId="1" xfId="2" applyNumberFormat="1" applyFont="1" applyBorder="1" applyAlignment="1">
      <alignment horizontal="center" vertical="center"/>
    </xf>
    <xf numFmtId="164" fontId="1" fillId="0" borderId="1" xfId="2" applyNumberFormat="1" applyFont="1" applyBorder="1"/>
    <xf numFmtId="0" fontId="1" fillId="0" borderId="1" xfId="0" applyFont="1" applyBorder="1"/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right" vertical="center"/>
    </xf>
  </cellXfs>
  <cellStyles count="3">
    <cellStyle name="Comma" xfId="2" builtinId="3"/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X:\In%20Progress%20Files\Abhinav\VIS(2024-25)-PL293-253-334_Globus%20Bihar\Report\Land.xlsx" TargetMode="External"/><Relationship Id="rId1" Type="http://schemas.openxmlformats.org/officeDocument/2006/relationships/externalLinkPath" Target="Lan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  <sheetName val="Deed Details"/>
    </sheetNames>
    <sheetDataSet>
      <sheetData sheetId="0">
        <row r="12">
          <cell r="Z12">
            <v>191078369.76274797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8"/>
  <sheetViews>
    <sheetView zoomScale="85" zoomScaleNormal="85" workbookViewId="0">
      <selection activeCell="Q2" sqref="Q2"/>
    </sheetView>
  </sheetViews>
  <sheetFormatPr defaultRowHeight="15" x14ac:dyDescent="0.25"/>
  <cols>
    <col min="1" max="1" width="7.42578125" style="2" customWidth="1"/>
    <col min="2" max="2" width="27.7109375" style="6" bestFit="1" customWidth="1"/>
    <col min="3" max="3" width="16.42578125" style="1" hidden="1" customWidth="1"/>
    <col min="4" max="5" width="12.5703125" style="1" customWidth="1"/>
    <col min="6" max="6" width="28.140625" style="5" customWidth="1"/>
    <col min="7" max="7" width="14.140625" style="1" hidden="1" customWidth="1"/>
    <col min="8" max="8" width="13.5703125" style="15" hidden="1" customWidth="1"/>
    <col min="9" max="9" width="11.42578125" style="15" customWidth="1"/>
    <col min="11" max="11" width="0" hidden="1" customWidth="1"/>
    <col min="12" max="12" width="11.28515625" customWidth="1"/>
    <col min="13" max="13" width="12.7109375" style="17" bestFit="1" customWidth="1"/>
    <col min="14" max="14" width="11.7109375" style="17" hidden="1" customWidth="1"/>
    <col min="15" max="15" width="12.7109375" style="17" bestFit="1" customWidth="1"/>
    <col min="17" max="17" width="15.42578125" bestFit="1" customWidth="1"/>
    <col min="20" max="20" width="10.28515625" style="17" bestFit="1" customWidth="1"/>
  </cols>
  <sheetData>
    <row r="1" spans="1:20" x14ac:dyDescent="0.25">
      <c r="N1" s="17">
        <v>2024</v>
      </c>
    </row>
    <row r="2" spans="1:20" x14ac:dyDescent="0.25">
      <c r="H2" s="15">
        <f>SUM(H4:H26)</f>
        <v>13753.369509476031</v>
      </c>
      <c r="I2" s="15">
        <f>SUBTOTAL(9,I4:I26)</f>
        <v>147987.64599999998</v>
      </c>
      <c r="M2" s="15">
        <f t="shared" ref="M2:O2" si="0">SUBTOTAL(9,M4:M26)</f>
        <v>117654281.8</v>
      </c>
      <c r="N2" s="15">
        <f t="shared" si="0"/>
        <v>26173523.415999997</v>
      </c>
      <c r="O2" s="15">
        <f t="shared" si="0"/>
        <v>91480758.383999988</v>
      </c>
      <c r="Q2" s="19">
        <f>M2*0.8</f>
        <v>94123425.439999998</v>
      </c>
    </row>
    <row r="3" spans="1:20" ht="45" x14ac:dyDescent="0.25">
      <c r="A3" s="24" t="s">
        <v>5</v>
      </c>
      <c r="B3" s="24" t="s">
        <v>0</v>
      </c>
      <c r="C3" s="24" t="s">
        <v>1</v>
      </c>
      <c r="D3" s="24" t="s">
        <v>8</v>
      </c>
      <c r="E3" s="24" t="s">
        <v>2</v>
      </c>
      <c r="F3" s="24" t="s">
        <v>39</v>
      </c>
      <c r="G3" s="24" t="s">
        <v>3</v>
      </c>
      <c r="H3" s="25" t="s">
        <v>6</v>
      </c>
      <c r="I3" s="25" t="s">
        <v>7</v>
      </c>
      <c r="J3" s="26" t="s">
        <v>43</v>
      </c>
      <c r="K3" s="24" t="s">
        <v>37</v>
      </c>
      <c r="L3" s="26" t="s">
        <v>42</v>
      </c>
      <c r="M3" s="26" t="s">
        <v>40</v>
      </c>
      <c r="N3" s="25" t="s">
        <v>38</v>
      </c>
      <c r="O3" s="26" t="s">
        <v>41</v>
      </c>
    </row>
    <row r="4" spans="1:20" x14ac:dyDescent="0.25">
      <c r="A4" s="3">
        <v>1</v>
      </c>
      <c r="B4" s="7" t="s">
        <v>11</v>
      </c>
      <c r="C4" s="4">
        <v>1</v>
      </c>
      <c r="D4" s="3">
        <v>10</v>
      </c>
      <c r="E4" s="3">
        <v>2020</v>
      </c>
      <c r="F4" s="31" t="s">
        <v>4</v>
      </c>
      <c r="G4" s="3" t="s">
        <v>26</v>
      </c>
      <c r="H4" s="16">
        <f>6*3</f>
        <v>18</v>
      </c>
      <c r="I4" s="16">
        <f>H4*10.76</f>
        <v>193.68</v>
      </c>
      <c r="J4" s="21">
        <v>60</v>
      </c>
      <c r="K4" s="22">
        <v>0.95</v>
      </c>
      <c r="L4" s="21">
        <v>1400</v>
      </c>
      <c r="M4" s="23">
        <f>L4*I4</f>
        <v>271152</v>
      </c>
      <c r="N4" s="23">
        <f t="shared" ref="N4:N26" si="1">M4*($N$1-E4)*K4/J4</f>
        <v>17172.96</v>
      </c>
      <c r="O4" s="23">
        <f>M4-N4</f>
        <v>253979.04</v>
      </c>
      <c r="T4" s="17">
        <v>1086</v>
      </c>
    </row>
    <row r="5" spans="1:20" x14ac:dyDescent="0.25">
      <c r="A5" s="3">
        <f t="shared" ref="A5:A26" si="2">A4+1</f>
        <v>2</v>
      </c>
      <c r="B5" s="7" t="s">
        <v>10</v>
      </c>
      <c r="C5" s="4">
        <v>1</v>
      </c>
      <c r="D5" s="3">
        <v>10</v>
      </c>
      <c r="E5" s="3">
        <v>2016</v>
      </c>
      <c r="F5" s="31"/>
      <c r="G5" s="3" t="s">
        <v>26</v>
      </c>
      <c r="H5" s="16">
        <f>3*3</f>
        <v>9</v>
      </c>
      <c r="I5" s="16">
        <f>H5*10.76</f>
        <v>96.84</v>
      </c>
      <c r="J5" s="21">
        <v>60</v>
      </c>
      <c r="K5" s="22">
        <v>0.95</v>
      </c>
      <c r="L5" s="21">
        <v>1200</v>
      </c>
      <c r="M5" s="23">
        <f t="shared" ref="M5" si="3">L5*I5</f>
        <v>116208</v>
      </c>
      <c r="N5" s="23">
        <f t="shared" si="1"/>
        <v>14719.679999999998</v>
      </c>
      <c r="O5" s="23">
        <f t="shared" ref="O5" si="4">M5-N5</f>
        <v>101488.32000000001</v>
      </c>
      <c r="T5" s="17">
        <v>4304</v>
      </c>
    </row>
    <row r="6" spans="1:20" ht="30" customHeight="1" x14ac:dyDescent="0.25">
      <c r="A6" s="3">
        <f t="shared" si="2"/>
        <v>3</v>
      </c>
      <c r="B6" s="7" t="s">
        <v>9</v>
      </c>
      <c r="C6" s="4">
        <v>1</v>
      </c>
      <c r="D6" s="3">
        <v>30</v>
      </c>
      <c r="E6" s="3">
        <v>2016</v>
      </c>
      <c r="F6" s="31" t="s">
        <v>18</v>
      </c>
      <c r="G6" s="3" t="s">
        <v>26</v>
      </c>
      <c r="H6" s="16">
        <f>105*40</f>
        <v>4200</v>
      </c>
      <c r="I6" s="16">
        <f>H6*10.76</f>
        <v>45192</v>
      </c>
      <c r="J6" s="21">
        <v>30</v>
      </c>
      <c r="K6" s="22">
        <v>0.95</v>
      </c>
      <c r="L6" s="21">
        <v>1000</v>
      </c>
      <c r="M6" s="23">
        <f>L6*I6</f>
        <v>45192000</v>
      </c>
      <c r="N6" s="23">
        <f t="shared" si="1"/>
        <v>11448640</v>
      </c>
      <c r="O6" s="23">
        <f>M6-N6</f>
        <v>33743360</v>
      </c>
      <c r="T6" s="17">
        <v>3066</v>
      </c>
    </row>
    <row r="7" spans="1:20" ht="30" customHeight="1" x14ac:dyDescent="0.25">
      <c r="A7" s="3">
        <f t="shared" si="2"/>
        <v>4</v>
      </c>
      <c r="B7" s="7" t="s">
        <v>16</v>
      </c>
      <c r="C7" s="4">
        <v>1</v>
      </c>
      <c r="D7" s="3">
        <v>10</v>
      </c>
      <c r="E7" s="3">
        <v>2016</v>
      </c>
      <c r="F7" s="31"/>
      <c r="G7" s="3" t="s">
        <v>26</v>
      </c>
      <c r="H7" s="16">
        <f>22.5*30</f>
        <v>675</v>
      </c>
      <c r="I7" s="16">
        <f>H7*10.76</f>
        <v>7263</v>
      </c>
      <c r="J7" s="21">
        <v>30</v>
      </c>
      <c r="K7" s="22">
        <v>0.95</v>
      </c>
      <c r="L7" s="21">
        <v>400</v>
      </c>
      <c r="M7" s="23">
        <f>L7*I7</f>
        <v>2905200</v>
      </c>
      <c r="N7" s="23">
        <f t="shared" si="1"/>
        <v>735984</v>
      </c>
      <c r="O7" s="23">
        <f>M7-N7</f>
        <v>2169216</v>
      </c>
      <c r="T7" s="17">
        <v>6778</v>
      </c>
    </row>
    <row r="8" spans="1:20" ht="30" customHeight="1" x14ac:dyDescent="0.25">
      <c r="A8" s="3">
        <f t="shared" si="2"/>
        <v>5</v>
      </c>
      <c r="B8" s="7" t="s">
        <v>17</v>
      </c>
      <c r="C8" s="4">
        <v>1</v>
      </c>
      <c r="D8" s="3">
        <v>10</v>
      </c>
      <c r="E8" s="3">
        <v>2016</v>
      </c>
      <c r="F8" s="31"/>
      <c r="G8" s="3" t="s">
        <v>26</v>
      </c>
      <c r="H8" s="16">
        <f>40*35</f>
        <v>1400</v>
      </c>
      <c r="I8" s="16">
        <f>H8*10.76</f>
        <v>15064</v>
      </c>
      <c r="J8" s="21">
        <v>30</v>
      </c>
      <c r="K8" s="22">
        <v>0.95</v>
      </c>
      <c r="L8" s="21">
        <v>400</v>
      </c>
      <c r="M8" s="23">
        <f t="shared" ref="M8" si="5">L8*I8</f>
        <v>6025600</v>
      </c>
      <c r="N8" s="23">
        <f t="shared" si="1"/>
        <v>1526485.3333333333</v>
      </c>
      <c r="O8" s="23">
        <f t="shared" ref="O8" si="6">M8-N8</f>
        <v>4499114.666666667</v>
      </c>
      <c r="T8" s="17">
        <v>5164</v>
      </c>
    </row>
    <row r="9" spans="1:20" x14ac:dyDescent="0.25">
      <c r="A9" s="3">
        <f t="shared" si="2"/>
        <v>6</v>
      </c>
      <c r="B9" s="7" t="s">
        <v>35</v>
      </c>
      <c r="C9" s="4">
        <v>1</v>
      </c>
      <c r="D9" s="3">
        <v>10</v>
      </c>
      <c r="E9" s="3">
        <v>2016</v>
      </c>
      <c r="F9" s="31" t="s">
        <v>4</v>
      </c>
      <c r="G9" s="3" t="s">
        <v>26</v>
      </c>
      <c r="H9" s="16">
        <f>I9/10.764</f>
        <v>318.71980676328502</v>
      </c>
      <c r="I9" s="16">
        <f>145*23.66</f>
        <v>3430.7</v>
      </c>
      <c r="J9" s="21">
        <v>60</v>
      </c>
      <c r="K9" s="22">
        <v>0.95</v>
      </c>
      <c r="L9" s="21">
        <v>400</v>
      </c>
      <c r="M9" s="23">
        <f t="shared" ref="M9:M15" si="7">L9*I9</f>
        <v>1372280</v>
      </c>
      <c r="N9" s="23">
        <f t="shared" si="1"/>
        <v>173822.13333333333</v>
      </c>
      <c r="O9" s="23">
        <f t="shared" ref="O9:O15" si="8">M9-N9</f>
        <v>1198457.8666666667</v>
      </c>
      <c r="T9" s="17">
        <v>3432</v>
      </c>
    </row>
    <row r="10" spans="1:20" x14ac:dyDescent="0.25">
      <c r="A10" s="3">
        <f t="shared" si="2"/>
        <v>7</v>
      </c>
      <c r="B10" s="9" t="s">
        <v>12</v>
      </c>
      <c r="C10" s="4">
        <v>1</v>
      </c>
      <c r="D10" s="10">
        <v>10</v>
      </c>
      <c r="E10" s="3">
        <v>2024</v>
      </c>
      <c r="F10" s="31"/>
      <c r="G10" s="3" t="s">
        <v>26</v>
      </c>
      <c r="H10" s="16">
        <f>6*3</f>
        <v>18</v>
      </c>
      <c r="I10" s="16">
        <f t="shared" ref="I10:I25" si="9">H10*10.76</f>
        <v>193.68</v>
      </c>
      <c r="J10" s="21">
        <v>60</v>
      </c>
      <c r="K10" s="22">
        <v>0.95</v>
      </c>
      <c r="L10" s="21">
        <v>1200</v>
      </c>
      <c r="M10" s="23">
        <f t="shared" si="7"/>
        <v>232416</v>
      </c>
      <c r="N10" s="23">
        <f t="shared" si="1"/>
        <v>0</v>
      </c>
      <c r="O10" s="23">
        <f t="shared" si="8"/>
        <v>232416</v>
      </c>
      <c r="T10" s="17">
        <v>8231</v>
      </c>
    </row>
    <row r="11" spans="1:20" x14ac:dyDescent="0.25">
      <c r="A11" s="3">
        <f t="shared" si="2"/>
        <v>8</v>
      </c>
      <c r="B11" s="9" t="s">
        <v>13</v>
      </c>
      <c r="C11" s="4">
        <v>1</v>
      </c>
      <c r="D11" s="11">
        <v>10</v>
      </c>
      <c r="E11" s="3">
        <v>2024</v>
      </c>
      <c r="F11" s="31"/>
      <c r="G11" s="3" t="s">
        <v>26</v>
      </c>
      <c r="H11" s="16">
        <f>6*3</f>
        <v>18</v>
      </c>
      <c r="I11" s="16">
        <f t="shared" si="9"/>
        <v>193.68</v>
      </c>
      <c r="J11" s="21">
        <v>60</v>
      </c>
      <c r="K11" s="22">
        <v>0.95</v>
      </c>
      <c r="L11" s="21">
        <v>1200</v>
      </c>
      <c r="M11" s="23">
        <f t="shared" si="7"/>
        <v>232416</v>
      </c>
      <c r="N11" s="23">
        <f t="shared" si="1"/>
        <v>0</v>
      </c>
      <c r="O11" s="23">
        <f t="shared" si="8"/>
        <v>232416</v>
      </c>
      <c r="T11" s="17">
        <v>12266</v>
      </c>
    </row>
    <row r="12" spans="1:20" x14ac:dyDescent="0.25">
      <c r="A12" s="3">
        <f t="shared" si="2"/>
        <v>9</v>
      </c>
      <c r="B12" s="9" t="s">
        <v>14</v>
      </c>
      <c r="C12" s="4">
        <v>1</v>
      </c>
      <c r="D12" s="10">
        <v>10</v>
      </c>
      <c r="E12" s="3">
        <v>2024</v>
      </c>
      <c r="F12" s="31"/>
      <c r="G12" s="3" t="s">
        <v>26</v>
      </c>
      <c r="H12" s="16">
        <f>6*3</f>
        <v>18</v>
      </c>
      <c r="I12" s="16">
        <f t="shared" si="9"/>
        <v>193.68</v>
      </c>
      <c r="J12" s="21">
        <v>60</v>
      </c>
      <c r="K12" s="22">
        <v>0.95</v>
      </c>
      <c r="L12" s="21">
        <v>1200</v>
      </c>
      <c r="M12" s="23">
        <f t="shared" si="7"/>
        <v>232416</v>
      </c>
      <c r="N12" s="23">
        <f t="shared" si="1"/>
        <v>0</v>
      </c>
      <c r="O12" s="23">
        <f t="shared" si="8"/>
        <v>232416</v>
      </c>
      <c r="T12" s="17">
        <v>50270</v>
      </c>
    </row>
    <row r="13" spans="1:20" x14ac:dyDescent="0.25">
      <c r="A13" s="3">
        <f t="shared" si="2"/>
        <v>10</v>
      </c>
      <c r="B13" s="9" t="s">
        <v>36</v>
      </c>
      <c r="C13" s="4">
        <v>1</v>
      </c>
      <c r="D13" s="10">
        <v>10</v>
      </c>
      <c r="E13" s="3">
        <v>2024</v>
      </c>
      <c r="F13" s="31"/>
      <c r="G13" s="3" t="s">
        <v>26</v>
      </c>
      <c r="H13" s="16">
        <f>6*3</f>
        <v>18</v>
      </c>
      <c r="I13" s="16">
        <f t="shared" si="9"/>
        <v>193.68</v>
      </c>
      <c r="J13" s="21">
        <v>60</v>
      </c>
      <c r="K13" s="22">
        <v>0.95</v>
      </c>
      <c r="L13" s="21">
        <v>1200</v>
      </c>
      <c r="M13" s="23">
        <f t="shared" si="7"/>
        <v>232416</v>
      </c>
      <c r="N13" s="23">
        <f t="shared" si="1"/>
        <v>0</v>
      </c>
      <c r="O13" s="23">
        <f t="shared" si="8"/>
        <v>232416</v>
      </c>
      <c r="T13" s="17">
        <f>SUM(T4:T12)</f>
        <v>94597</v>
      </c>
    </row>
    <row r="14" spans="1:20" ht="30" customHeight="1" x14ac:dyDescent="0.25">
      <c r="A14" s="3">
        <f t="shared" si="2"/>
        <v>11</v>
      </c>
      <c r="B14" s="9" t="s">
        <v>15</v>
      </c>
      <c r="C14" s="4">
        <v>5</v>
      </c>
      <c r="D14" s="4">
        <v>20</v>
      </c>
      <c r="E14" s="3">
        <v>2016</v>
      </c>
      <c r="F14" s="31" t="s">
        <v>18</v>
      </c>
      <c r="G14" s="3" t="s">
        <v>26</v>
      </c>
      <c r="H14" s="16">
        <f>20*20</f>
        <v>400</v>
      </c>
      <c r="I14" s="16">
        <f t="shared" si="9"/>
        <v>4304</v>
      </c>
      <c r="J14" s="21">
        <v>30</v>
      </c>
      <c r="K14" s="22">
        <v>0.95</v>
      </c>
      <c r="L14" s="21">
        <v>600</v>
      </c>
      <c r="M14" s="23">
        <f t="shared" si="7"/>
        <v>2582400</v>
      </c>
      <c r="N14" s="23">
        <f t="shared" si="1"/>
        <v>654208</v>
      </c>
      <c r="O14" s="23">
        <f t="shared" si="8"/>
        <v>1928192</v>
      </c>
      <c r="T14" s="17">
        <f>I2-T13</f>
        <v>53390.645999999979</v>
      </c>
    </row>
    <row r="15" spans="1:20" ht="30" customHeight="1" x14ac:dyDescent="0.25">
      <c r="A15" s="3">
        <f t="shared" si="2"/>
        <v>12</v>
      </c>
      <c r="B15" s="9" t="s">
        <v>27</v>
      </c>
      <c r="C15" s="4">
        <v>5</v>
      </c>
      <c r="D15" s="4">
        <v>20</v>
      </c>
      <c r="E15" s="3">
        <v>2016</v>
      </c>
      <c r="F15" s="31"/>
      <c r="G15" s="3" t="s">
        <v>26</v>
      </c>
      <c r="H15" s="16">
        <f>21*22.5</f>
        <v>472.5</v>
      </c>
      <c r="I15" s="16">
        <f t="shared" si="9"/>
        <v>5084.0999999999995</v>
      </c>
      <c r="J15" s="21">
        <v>30</v>
      </c>
      <c r="K15" s="22">
        <v>0.95</v>
      </c>
      <c r="L15" s="21">
        <v>800</v>
      </c>
      <c r="M15" s="23">
        <f t="shared" si="7"/>
        <v>4067279.9999999995</v>
      </c>
      <c r="N15" s="23">
        <f t="shared" si="1"/>
        <v>1030377.5999999999</v>
      </c>
      <c r="O15" s="23">
        <f t="shared" si="8"/>
        <v>3036902.3999999994</v>
      </c>
    </row>
    <row r="16" spans="1:20" ht="30" customHeight="1" x14ac:dyDescent="0.25">
      <c r="A16" s="3">
        <f t="shared" si="2"/>
        <v>13</v>
      </c>
      <c r="B16" s="9" t="s">
        <v>28</v>
      </c>
      <c r="C16" s="4">
        <v>2</v>
      </c>
      <c r="D16" s="4">
        <v>15</v>
      </c>
      <c r="E16" s="3">
        <v>2016</v>
      </c>
      <c r="F16" s="31"/>
      <c r="G16" s="3" t="s">
        <v>26</v>
      </c>
      <c r="H16" s="16">
        <f>18.6*6</f>
        <v>111.60000000000001</v>
      </c>
      <c r="I16" s="16">
        <f t="shared" si="9"/>
        <v>1200.816</v>
      </c>
      <c r="J16" s="21">
        <v>30</v>
      </c>
      <c r="K16" s="22">
        <v>0.95</v>
      </c>
      <c r="L16" s="21">
        <v>800</v>
      </c>
      <c r="M16" s="23">
        <f t="shared" ref="M16:M17" si="10">L16*I16</f>
        <v>960652.80000000005</v>
      </c>
      <c r="N16" s="23">
        <f t="shared" si="1"/>
        <v>243365.37600000002</v>
      </c>
      <c r="O16" s="23">
        <f t="shared" ref="O16:O17" si="11">M16-N16</f>
        <v>717287.424</v>
      </c>
    </row>
    <row r="17" spans="1:20" ht="30" customHeight="1" x14ac:dyDescent="0.25">
      <c r="A17" s="3">
        <f t="shared" si="2"/>
        <v>14</v>
      </c>
      <c r="B17" s="9" t="s">
        <v>29</v>
      </c>
      <c r="C17" s="4">
        <v>2</v>
      </c>
      <c r="D17" s="4">
        <v>15</v>
      </c>
      <c r="E17" s="3">
        <v>2016</v>
      </c>
      <c r="F17" s="31"/>
      <c r="G17" s="3" t="s">
        <v>26</v>
      </c>
      <c r="H17" s="16">
        <f>15*25</f>
        <v>375</v>
      </c>
      <c r="I17" s="16">
        <f t="shared" si="9"/>
        <v>4035</v>
      </c>
      <c r="J17" s="21">
        <v>30</v>
      </c>
      <c r="K17" s="22">
        <v>0.95</v>
      </c>
      <c r="L17" s="21">
        <v>800</v>
      </c>
      <c r="M17" s="23">
        <f t="shared" si="10"/>
        <v>3228000</v>
      </c>
      <c r="N17" s="23">
        <f t="shared" si="1"/>
        <v>817760</v>
      </c>
      <c r="O17" s="23">
        <f t="shared" si="11"/>
        <v>2410240</v>
      </c>
    </row>
    <row r="18" spans="1:20" ht="30" customHeight="1" x14ac:dyDescent="0.25">
      <c r="A18" s="3">
        <f t="shared" si="2"/>
        <v>15</v>
      </c>
      <c r="B18" s="9" t="s">
        <v>19</v>
      </c>
      <c r="C18" s="4">
        <v>1</v>
      </c>
      <c r="D18" s="4">
        <v>27</v>
      </c>
      <c r="E18" s="3">
        <v>2016</v>
      </c>
      <c r="F18" s="31"/>
      <c r="G18" s="3" t="s">
        <v>26</v>
      </c>
      <c r="H18" s="16">
        <f>18*12</f>
        <v>216</v>
      </c>
      <c r="I18" s="16">
        <f t="shared" si="9"/>
        <v>2324.16</v>
      </c>
      <c r="J18" s="21">
        <v>30</v>
      </c>
      <c r="K18" s="22">
        <v>0.95</v>
      </c>
      <c r="L18" s="21">
        <v>1000</v>
      </c>
      <c r="M18" s="23">
        <f>L18*I18</f>
        <v>2324160</v>
      </c>
      <c r="N18" s="23">
        <f t="shared" si="1"/>
        <v>588787.19999999995</v>
      </c>
      <c r="O18" s="23">
        <f>M18-N18</f>
        <v>1735372.8</v>
      </c>
    </row>
    <row r="19" spans="1:20" s="12" customFormat="1" ht="30" customHeight="1" x14ac:dyDescent="0.25">
      <c r="A19" s="3">
        <f t="shared" si="2"/>
        <v>16</v>
      </c>
      <c r="B19" s="9" t="s">
        <v>30</v>
      </c>
      <c r="C19" s="4">
        <v>1</v>
      </c>
      <c r="D19" s="4">
        <v>3</v>
      </c>
      <c r="E19" s="3">
        <v>2016</v>
      </c>
      <c r="F19" s="31"/>
      <c r="G19" s="3" t="s">
        <v>26</v>
      </c>
      <c r="H19" s="16">
        <f>20*20</f>
        <v>400</v>
      </c>
      <c r="I19" s="16">
        <f t="shared" si="9"/>
        <v>4304</v>
      </c>
      <c r="J19" s="21">
        <v>30</v>
      </c>
      <c r="K19" s="22">
        <v>0.95</v>
      </c>
      <c r="L19" s="21">
        <v>500</v>
      </c>
      <c r="M19" s="23">
        <f t="shared" ref="M19:M25" si="12">L19*I19</f>
        <v>2152000</v>
      </c>
      <c r="N19" s="23">
        <f t="shared" si="1"/>
        <v>545173.33333333337</v>
      </c>
      <c r="O19" s="23">
        <f t="shared" ref="O19:O25" si="13">M19-N19</f>
        <v>1606826.6666666665</v>
      </c>
      <c r="T19" s="20"/>
    </row>
    <row r="20" spans="1:20" s="12" customFormat="1" ht="30" customHeight="1" x14ac:dyDescent="0.25">
      <c r="A20" s="3">
        <f t="shared" si="2"/>
        <v>17</v>
      </c>
      <c r="B20" s="9" t="s">
        <v>23</v>
      </c>
      <c r="C20" s="4">
        <v>1</v>
      </c>
      <c r="D20" s="4">
        <v>6</v>
      </c>
      <c r="E20" s="3">
        <v>2020</v>
      </c>
      <c r="F20" s="31"/>
      <c r="G20" s="3" t="s">
        <v>26</v>
      </c>
      <c r="H20" s="16">
        <f>15*15</f>
        <v>225</v>
      </c>
      <c r="I20" s="16">
        <f t="shared" si="9"/>
        <v>2421</v>
      </c>
      <c r="J20" s="21">
        <v>30</v>
      </c>
      <c r="K20" s="22">
        <v>0.95</v>
      </c>
      <c r="L20" s="21">
        <v>900</v>
      </c>
      <c r="M20" s="23">
        <f t="shared" si="12"/>
        <v>2178900</v>
      </c>
      <c r="N20" s="23">
        <f t="shared" si="1"/>
        <v>275994</v>
      </c>
      <c r="O20" s="23">
        <f t="shared" si="13"/>
        <v>1902906</v>
      </c>
      <c r="T20" s="20"/>
    </row>
    <row r="21" spans="1:20" s="12" customFormat="1" ht="30" customHeight="1" x14ac:dyDescent="0.25">
      <c r="A21" s="3">
        <f t="shared" si="2"/>
        <v>18</v>
      </c>
      <c r="B21" s="9" t="s">
        <v>24</v>
      </c>
      <c r="C21" s="3">
        <v>1</v>
      </c>
      <c r="D21" s="14">
        <v>11.521000000000001</v>
      </c>
      <c r="E21" s="3">
        <v>2016</v>
      </c>
      <c r="F21" s="31"/>
      <c r="G21" s="3" t="s">
        <v>26</v>
      </c>
      <c r="H21" s="16">
        <f>56*40</f>
        <v>2240</v>
      </c>
      <c r="I21" s="16">
        <f t="shared" si="9"/>
        <v>24102.399999999998</v>
      </c>
      <c r="J21" s="21">
        <v>30</v>
      </c>
      <c r="K21" s="22">
        <v>0.95</v>
      </c>
      <c r="L21" s="21">
        <v>900</v>
      </c>
      <c r="M21" s="23">
        <f t="shared" si="12"/>
        <v>21692159.999999996</v>
      </c>
      <c r="N21" s="23">
        <f t="shared" si="1"/>
        <v>5495347.1999999993</v>
      </c>
      <c r="O21" s="23">
        <f t="shared" si="13"/>
        <v>16196812.799999997</v>
      </c>
      <c r="T21" s="20"/>
    </row>
    <row r="22" spans="1:20" s="12" customFormat="1" ht="30" customHeight="1" x14ac:dyDescent="0.25">
      <c r="A22" s="3">
        <f t="shared" si="2"/>
        <v>19</v>
      </c>
      <c r="B22" s="9" t="s">
        <v>25</v>
      </c>
      <c r="C22" s="3">
        <v>1</v>
      </c>
      <c r="D22" s="14">
        <v>8</v>
      </c>
      <c r="E22" s="3">
        <v>2023</v>
      </c>
      <c r="F22" s="31"/>
      <c r="G22" s="3" t="s">
        <v>26</v>
      </c>
      <c r="H22" s="16">
        <f>80*16.5</f>
        <v>1320</v>
      </c>
      <c r="I22" s="16">
        <f t="shared" si="9"/>
        <v>14203.199999999999</v>
      </c>
      <c r="J22" s="21">
        <v>30</v>
      </c>
      <c r="K22" s="22">
        <v>0.95</v>
      </c>
      <c r="L22" s="21">
        <v>900</v>
      </c>
      <c r="M22" s="23">
        <f t="shared" si="12"/>
        <v>12782879.999999998</v>
      </c>
      <c r="N22" s="23">
        <f t="shared" si="1"/>
        <v>404791.19999999995</v>
      </c>
      <c r="O22" s="23">
        <f t="shared" si="13"/>
        <v>12378088.799999999</v>
      </c>
      <c r="T22" s="20"/>
    </row>
    <row r="23" spans="1:20" s="12" customFormat="1" ht="30" customHeight="1" x14ac:dyDescent="0.25">
      <c r="A23" s="3">
        <f t="shared" si="2"/>
        <v>20</v>
      </c>
      <c r="B23" s="9" t="s">
        <v>31</v>
      </c>
      <c r="C23" s="3">
        <v>6</v>
      </c>
      <c r="D23" s="13">
        <v>3.5</v>
      </c>
      <c r="E23" s="3">
        <v>2016</v>
      </c>
      <c r="F23" s="31"/>
      <c r="G23" s="3" t="s">
        <v>26</v>
      </c>
      <c r="H23" s="16">
        <f>9.5*9.5</f>
        <v>90.25</v>
      </c>
      <c r="I23" s="16">
        <f t="shared" si="9"/>
        <v>971.09</v>
      </c>
      <c r="J23" s="21">
        <v>30</v>
      </c>
      <c r="K23" s="22">
        <v>0.95</v>
      </c>
      <c r="L23" s="21">
        <v>900</v>
      </c>
      <c r="M23" s="23">
        <f t="shared" si="12"/>
        <v>873981</v>
      </c>
      <c r="N23" s="23">
        <f t="shared" si="1"/>
        <v>221408.52</v>
      </c>
      <c r="O23" s="23">
        <f t="shared" si="13"/>
        <v>652572.48</v>
      </c>
      <c r="T23" s="20"/>
    </row>
    <row r="24" spans="1:20" ht="30" customHeight="1" x14ac:dyDescent="0.25">
      <c r="A24" s="3">
        <f t="shared" si="2"/>
        <v>21</v>
      </c>
      <c r="B24" s="8" t="s">
        <v>32</v>
      </c>
      <c r="C24" s="3">
        <v>6</v>
      </c>
      <c r="D24" s="3">
        <v>3.5</v>
      </c>
      <c r="E24" s="3">
        <v>2016</v>
      </c>
      <c r="F24" s="31"/>
      <c r="G24" s="3" t="s">
        <v>26</v>
      </c>
      <c r="H24" s="16">
        <f>17*9.5</f>
        <v>161.5</v>
      </c>
      <c r="I24" s="16">
        <f t="shared" si="9"/>
        <v>1737.74</v>
      </c>
      <c r="J24" s="21">
        <v>30</v>
      </c>
      <c r="K24" s="22">
        <v>0.95</v>
      </c>
      <c r="L24" s="21">
        <v>600</v>
      </c>
      <c r="M24" s="23">
        <f t="shared" si="12"/>
        <v>1042644</v>
      </c>
      <c r="N24" s="23">
        <f t="shared" si="1"/>
        <v>264136.48</v>
      </c>
      <c r="O24" s="23">
        <f t="shared" si="13"/>
        <v>778507.52</v>
      </c>
    </row>
    <row r="25" spans="1:20" ht="30" x14ac:dyDescent="0.25">
      <c r="A25" s="3">
        <f t="shared" si="2"/>
        <v>22</v>
      </c>
      <c r="B25" s="8" t="s">
        <v>33</v>
      </c>
      <c r="C25" s="3">
        <v>1</v>
      </c>
      <c r="D25" s="3">
        <v>2</v>
      </c>
      <c r="E25" s="3">
        <v>2016</v>
      </c>
      <c r="F25" s="31"/>
      <c r="G25" s="3" t="s">
        <v>26</v>
      </c>
      <c r="H25" s="16">
        <f>51*20</f>
        <v>1020</v>
      </c>
      <c r="I25" s="16">
        <f t="shared" si="9"/>
        <v>10975.199999999999</v>
      </c>
      <c r="J25" s="21">
        <v>30</v>
      </c>
      <c r="K25" s="22">
        <v>0.95</v>
      </c>
      <c r="L25" s="21">
        <v>600</v>
      </c>
      <c r="M25" s="23">
        <f t="shared" si="12"/>
        <v>6585119.9999999991</v>
      </c>
      <c r="N25" s="23">
        <f t="shared" si="1"/>
        <v>1668230.3999999997</v>
      </c>
      <c r="O25" s="23">
        <f t="shared" si="13"/>
        <v>4916889.5999999996</v>
      </c>
    </row>
    <row r="26" spans="1:20" x14ac:dyDescent="0.25">
      <c r="A26" s="3">
        <f t="shared" si="2"/>
        <v>23</v>
      </c>
      <c r="B26" s="7" t="s">
        <v>34</v>
      </c>
      <c r="C26" s="3">
        <v>1</v>
      </c>
      <c r="D26" s="3">
        <v>13</v>
      </c>
      <c r="E26" s="3">
        <v>2016</v>
      </c>
      <c r="F26" s="31"/>
      <c r="G26" s="3" t="s">
        <v>26</v>
      </c>
      <c r="H26" s="16">
        <f>I26/10.764</f>
        <v>28.799702712746193</v>
      </c>
      <c r="I26" s="16">
        <v>310</v>
      </c>
      <c r="J26" s="21">
        <v>60</v>
      </c>
      <c r="K26" s="22">
        <v>0.95</v>
      </c>
      <c r="L26" s="21">
        <v>1200</v>
      </c>
      <c r="M26" s="23">
        <f>L26*I26</f>
        <v>372000</v>
      </c>
      <c r="N26" s="23">
        <f t="shared" si="1"/>
        <v>47120</v>
      </c>
      <c r="O26" s="23">
        <f>M26-N26</f>
        <v>324880</v>
      </c>
    </row>
    <row r="27" spans="1:20" x14ac:dyDescent="0.25">
      <c r="A27" s="32" t="s">
        <v>44</v>
      </c>
      <c r="B27" s="32"/>
      <c r="C27" s="32"/>
      <c r="D27" s="32"/>
      <c r="E27" s="32"/>
      <c r="F27" s="32"/>
      <c r="G27" s="27"/>
      <c r="H27" s="28"/>
      <c r="I27" s="29">
        <f>SUM(I4:I26)</f>
        <v>147987.64599999998</v>
      </c>
      <c r="J27" s="30"/>
      <c r="K27" s="30"/>
      <c r="L27" s="30"/>
      <c r="M27" s="29">
        <f>SUM(M4:M26)</f>
        <v>117654281.8</v>
      </c>
      <c r="N27" s="29"/>
      <c r="O27" s="29">
        <f>SUM(O4:O26)</f>
        <v>91480758.383999988</v>
      </c>
    </row>
    <row r="28" spans="1:20" x14ac:dyDescent="0.25">
      <c r="O28" s="17">
        <f>'Boundary Wall Length'!F3</f>
        <v>7040000</v>
      </c>
    </row>
  </sheetData>
  <mergeCells count="5">
    <mergeCell ref="F4:F5"/>
    <mergeCell ref="F6:F8"/>
    <mergeCell ref="F9:F13"/>
    <mergeCell ref="F14:F26"/>
    <mergeCell ref="A27:F27"/>
  </mergeCells>
  <dataValidations count="2">
    <dataValidation type="list" allowBlank="1" showInputMessage="1" showErrorMessage="1" sqref="G4:G26" xr:uid="{00000000-0002-0000-0000-000001000000}">
      <formula1>"Very Good, Good, Average, Poor, Ordinary with wreckages in the structure"</formula1>
    </dataValidation>
    <dataValidation type="list" allowBlank="1" showInputMessage="1" showErrorMessage="1" sqref="F4 F6 F9 F14" xr:uid="{00000000-0002-0000-0000-000000000000}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F10"/>
  <sheetViews>
    <sheetView tabSelected="1" workbookViewId="0">
      <selection activeCell="C9" sqref="C9"/>
    </sheetView>
  </sheetViews>
  <sheetFormatPr defaultRowHeight="15" x14ac:dyDescent="0.25"/>
  <cols>
    <col min="2" max="2" width="25.85546875" bestFit="1" customWidth="1"/>
    <col min="6" max="6" width="14.28515625" style="17" bestFit="1" customWidth="1"/>
  </cols>
  <sheetData>
    <row r="2" spans="1:6" x14ac:dyDescent="0.25">
      <c r="C2" t="s">
        <v>21</v>
      </c>
      <c r="D2" t="s">
        <v>22</v>
      </c>
    </row>
    <row r="3" spans="1:6" x14ac:dyDescent="0.25">
      <c r="A3">
        <v>1</v>
      </c>
      <c r="B3" t="s">
        <v>20</v>
      </c>
      <c r="C3">
        <v>1760</v>
      </c>
      <c r="D3">
        <v>3.5</v>
      </c>
      <c r="E3">
        <v>4000</v>
      </c>
      <c r="F3" s="17">
        <f>E3*C3</f>
        <v>7040000</v>
      </c>
    </row>
    <row r="4" spans="1:6" x14ac:dyDescent="0.25">
      <c r="E4" t="s">
        <v>45</v>
      </c>
      <c r="F4" s="17">
        <f>'Building Sheet'!O27</f>
        <v>91480758.383999988</v>
      </c>
    </row>
    <row r="5" spans="1:6" x14ac:dyDescent="0.25">
      <c r="E5" t="s">
        <v>46</v>
      </c>
      <c r="F5" s="17">
        <f>[1]Sheet1!$Z$12</f>
        <v>191078369.76274797</v>
      </c>
    </row>
    <row r="6" spans="1:6" x14ac:dyDescent="0.25">
      <c r="F6" s="20">
        <f>SUM(F3:F5)</f>
        <v>289599128.14674795</v>
      </c>
    </row>
    <row r="7" spans="1:6" x14ac:dyDescent="0.25">
      <c r="F7" s="17">
        <f>ROUND(F6,-7)</f>
        <v>290000000</v>
      </c>
    </row>
    <row r="8" spans="1:6" x14ac:dyDescent="0.25">
      <c r="B8" s="17"/>
      <c r="F8" s="17">
        <f>F7*0.85</f>
        <v>246500000</v>
      </c>
    </row>
    <row r="9" spans="1:6" x14ac:dyDescent="0.25">
      <c r="B9" s="19"/>
      <c r="F9" s="17">
        <f>F7*0.75</f>
        <v>217500000</v>
      </c>
    </row>
    <row r="10" spans="1:6" x14ac:dyDescent="0.25">
      <c r="B10" s="1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Building Sheet</vt:lpstr>
      <vt:lpstr>Boundary Wall Length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Mohit Agarwal</dc:creator>
  <cp:lastModifiedBy>Abhinav Chaturvedi</cp:lastModifiedBy>
  <cp:lastPrinted>2024-08-09T10:43:53Z</cp:lastPrinted>
  <dcterms:created xsi:type="dcterms:W3CDTF">2016-02-17T05:50:56Z</dcterms:created>
  <dcterms:modified xsi:type="dcterms:W3CDTF">2024-09-04T10:43:41Z</dcterms:modified>
</cp:coreProperties>
</file>