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A2\Desktop\Indus Tubes\VIS(2024-25)_PL290-Q033-252-329_ITL\RK Working Aug 24\"/>
    </mc:Choice>
  </mc:AlternateContent>
  <xr:revisionPtr revIDLastSave="0" documentId="13_ncr:1_{0148FBFE-5335-4290-A7BB-C3DB6A97BD8C}" xr6:coauthVersionLast="47" xr6:coauthVersionMax="47" xr10:uidLastSave="{00000000-0000-0000-0000-000000000000}"/>
  <bookViews>
    <workbookView xWindow="2550" yWindow="2550" windowWidth="7500" windowHeight="6000" tabRatio="583" activeTab="1" xr2:uid="{00000000-000D-0000-FFFF-FFFF00000000}"/>
  </bookViews>
  <sheets>
    <sheet name="Historical Performance" sheetId="3" r:id="rId1"/>
    <sheet name="Indus Tubes" sheetId="2" r:id="rId2"/>
    <sheet name="Sheet1" sheetId="4" r:id="rId3"/>
    <sheet name="Investment" sheetId="1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2" l="1"/>
  <c r="D40" i="2"/>
  <c r="D38" i="2"/>
  <c r="D6" i="2"/>
  <c r="D60" i="2"/>
  <c r="C71" i="2"/>
  <c r="D71" i="2" s="1"/>
  <c r="C70" i="2"/>
  <c r="D70" i="2" s="1"/>
  <c r="C69" i="2"/>
  <c r="D69" i="2" s="1"/>
  <c r="C68" i="2"/>
  <c r="D68" i="2" s="1"/>
  <c r="C67" i="2"/>
  <c r="D67" i="2" s="1"/>
  <c r="L80" i="2"/>
  <c r="K80" i="2"/>
  <c r="J80" i="2"/>
  <c r="H80" i="2"/>
  <c r="I79" i="2"/>
  <c r="I80" i="2" s="1"/>
  <c r="D61" i="2"/>
  <c r="D62" i="2"/>
  <c r="D57" i="2"/>
  <c r="C63" i="2"/>
  <c r="D59" i="2"/>
  <c r="D58" i="2"/>
  <c r="B23" i="3"/>
  <c r="F15" i="3"/>
  <c r="E15" i="3"/>
  <c r="C15" i="3"/>
  <c r="D15" i="3"/>
  <c r="C52" i="2"/>
  <c r="D52" i="2" s="1"/>
  <c r="C51" i="2"/>
  <c r="D51" i="2" s="1"/>
  <c r="C50" i="2"/>
  <c r="D50" i="2" s="1"/>
  <c r="C49" i="2"/>
  <c r="D49" i="2" s="1"/>
  <c r="C48" i="2"/>
  <c r="C23" i="1"/>
  <c r="G36" i="1"/>
  <c r="D17" i="2"/>
  <c r="D25" i="2"/>
  <c r="D24" i="2"/>
  <c r="D23" i="2"/>
  <c r="D31" i="2"/>
  <c r="D29" i="2"/>
  <c r="D33" i="2"/>
  <c r="D32" i="2"/>
  <c r="C35" i="2"/>
  <c r="C26" i="2"/>
  <c r="C18" i="2"/>
  <c r="C10" i="2"/>
  <c r="D72" i="2" l="1"/>
  <c r="C72" i="2"/>
  <c r="D63" i="2"/>
  <c r="D16" i="2" s="1"/>
  <c r="C36" i="2"/>
  <c r="D26" i="2"/>
  <c r="C19" i="2"/>
  <c r="G33" i="1" l="1"/>
  <c r="G32" i="1"/>
  <c r="G26" i="1"/>
  <c r="G19" i="1"/>
  <c r="G11" i="1"/>
  <c r="G20" i="1" l="1"/>
  <c r="G35" i="1" s="1"/>
  <c r="G37" i="1" s="1"/>
  <c r="B3" i="2"/>
  <c r="F8" i="3"/>
  <c r="E8" i="3"/>
  <c r="D15" i="2"/>
  <c r="D13" i="2"/>
  <c r="D48" i="2"/>
  <c r="C53" i="2"/>
  <c r="D53" i="2" l="1"/>
  <c r="D14" i="2" s="1"/>
  <c r="D34" i="2"/>
  <c r="D35" i="2" s="1"/>
  <c r="D36" i="2" s="1"/>
  <c r="C39" i="2" s="1"/>
  <c r="D9" i="2" l="1"/>
  <c r="F32" i="3"/>
  <c r="C12" i="1" l="1"/>
  <c r="B13" i="3" l="1"/>
  <c r="B21" i="3"/>
  <c r="B18" i="3"/>
  <c r="B14" i="3"/>
  <c r="B15" i="3"/>
  <c r="B27" i="3"/>
  <c r="F17" i="3" l="1"/>
  <c r="E17" i="3"/>
  <c r="F20" i="3" l="1"/>
  <c r="F29" i="3"/>
  <c r="E20" i="3"/>
  <c r="E29" i="3"/>
  <c r="B7" i="3"/>
  <c r="D5" i="3"/>
  <c r="E5" i="3" s="1"/>
  <c r="F5" i="3" s="1"/>
  <c r="D8" i="3" l="1"/>
  <c r="D17" i="3" s="1"/>
  <c r="E30" i="3"/>
  <c r="E23" i="3"/>
  <c r="F30" i="3"/>
  <c r="F23" i="3"/>
  <c r="C8" i="3"/>
  <c r="F27" i="3" l="1"/>
  <c r="F31" i="3" s="1"/>
  <c r="E27" i="3"/>
  <c r="E31" i="3" s="1"/>
  <c r="D32" i="3"/>
  <c r="E32" i="3"/>
  <c r="D20" i="3"/>
  <c r="D29" i="3"/>
  <c r="C17" i="3"/>
  <c r="D30" i="3" l="1"/>
  <c r="D23" i="3"/>
  <c r="C20" i="3"/>
  <c r="C29" i="3"/>
  <c r="D18" i="2"/>
  <c r="C19" i="1"/>
  <c r="C22" i="1" s="1"/>
  <c r="C24" i="1" s="1"/>
  <c r="C25" i="1" s="1"/>
  <c r="C31" i="1" s="1"/>
  <c r="D8" i="2" s="1"/>
  <c r="D27" i="3" l="1"/>
  <c r="D31" i="3" s="1"/>
  <c r="C30" i="3"/>
  <c r="C23" i="3"/>
  <c r="C27" i="3" l="1"/>
  <c r="C31" i="3" s="1"/>
  <c r="D10" i="2"/>
  <c r="D19" i="2" s="1"/>
  <c r="C38" i="2" s="1"/>
  <c r="C40" i="2" s="1"/>
  <c r="C42" i="2" s="1"/>
</calcChain>
</file>

<file path=xl/sharedStrings.xml><?xml version="1.0" encoding="utf-8"?>
<sst xmlns="http://schemas.openxmlformats.org/spreadsheetml/2006/main" count="184" uniqueCount="145">
  <si>
    <t>Assets</t>
  </si>
  <si>
    <t>Non-Current Assets</t>
  </si>
  <si>
    <t>Current Assets</t>
  </si>
  <si>
    <t>Other Current Assets</t>
  </si>
  <si>
    <t>Total Assets</t>
  </si>
  <si>
    <t>Liabilities</t>
  </si>
  <si>
    <t>Financial Liabilities</t>
  </si>
  <si>
    <t>Current Liabilities</t>
  </si>
  <si>
    <t>Other Current Liabilities</t>
  </si>
  <si>
    <t>Total Liabilities</t>
  </si>
  <si>
    <t>Cash and Cash Equivelent</t>
  </si>
  <si>
    <t>Total Non-Current Assets</t>
  </si>
  <si>
    <t>Total Current Assets</t>
  </si>
  <si>
    <t>Revenue from Operations</t>
  </si>
  <si>
    <t>Particulars</t>
  </si>
  <si>
    <t>EBITDA</t>
  </si>
  <si>
    <t>EBIT</t>
  </si>
  <si>
    <t>EBITDA Margin %</t>
  </si>
  <si>
    <t>EBIT Margin %</t>
  </si>
  <si>
    <t>Net Profit Margin %</t>
  </si>
  <si>
    <t>Revenue Growth Rate (Y.O.Y.)</t>
  </si>
  <si>
    <t>Total Revenue</t>
  </si>
  <si>
    <t>Factor</t>
  </si>
  <si>
    <t>Fair Market Value</t>
  </si>
  <si>
    <t>Ageing of Trade Receivable</t>
  </si>
  <si>
    <t>Fair Value</t>
  </si>
  <si>
    <t>Total Trade Receivable</t>
  </si>
  <si>
    <t>Cash and cash equivalents</t>
  </si>
  <si>
    <t>Short term loans and advances</t>
  </si>
  <si>
    <t>Non Current Investments</t>
  </si>
  <si>
    <t>Amount as on 31st March 2024</t>
  </si>
  <si>
    <t>Non-Current Investment</t>
  </si>
  <si>
    <t>Short-term Loans and Advances</t>
  </si>
  <si>
    <t>Short-Term Loans and Advances</t>
  </si>
  <si>
    <t>Fair Value of Investment</t>
  </si>
  <si>
    <t>Net Worth</t>
  </si>
  <si>
    <t>No. of Shares Outstanding</t>
  </si>
  <si>
    <t>Share Price</t>
  </si>
  <si>
    <t>Current Tax</t>
  </si>
  <si>
    <t>Property, Plant &amp; Equipment</t>
  </si>
  <si>
    <t>M/s G.D. Contractors Private Limited</t>
  </si>
  <si>
    <t>Deferred Tax</t>
  </si>
  <si>
    <t>Yamuna Planners Private Limited</t>
  </si>
  <si>
    <t>ITL Finlease &amp; Securities Limited</t>
  </si>
  <si>
    <t>Non-Financial Assets</t>
  </si>
  <si>
    <t>Current Tax Assets (Net)</t>
  </si>
  <si>
    <t>Investment Property</t>
  </si>
  <si>
    <t>In Lakhs</t>
  </si>
  <si>
    <t>Other Non-Financial Assets</t>
  </si>
  <si>
    <t>Financial Assets</t>
  </si>
  <si>
    <t>Cash &amp; Cash Equivalents</t>
  </si>
  <si>
    <t>Trade Receivables</t>
  </si>
  <si>
    <t>Loans</t>
  </si>
  <si>
    <t>Investments</t>
  </si>
  <si>
    <t>Other Financial Assets</t>
  </si>
  <si>
    <t>Total Non-Financial Assets</t>
  </si>
  <si>
    <t>Total Financial Assets</t>
  </si>
  <si>
    <t>Trade Payables</t>
  </si>
  <si>
    <t>Other Financial Liabilities</t>
  </si>
  <si>
    <t>Total Financial Liabilities</t>
  </si>
  <si>
    <t>Non-Financial Liabilities</t>
  </si>
  <si>
    <t>Provisions</t>
  </si>
  <si>
    <t>Deferred Tax Liabilities</t>
  </si>
  <si>
    <t>Other Non-Financial Liabilities</t>
  </si>
  <si>
    <t>Total Non-Financial Liabilities</t>
  </si>
  <si>
    <t>Net Worth of YPDPL</t>
  </si>
  <si>
    <t>% Owned by ITL</t>
  </si>
  <si>
    <t>Net Worth of IFSL</t>
  </si>
  <si>
    <t>Other Non-Current Assets</t>
  </si>
  <si>
    <t>Intangible Assets</t>
  </si>
  <si>
    <t>Inventory</t>
  </si>
  <si>
    <t>Non-Current Liabilities</t>
  </si>
  <si>
    <t>Long-Term Borrowings</t>
  </si>
  <si>
    <t>Deferred Tax Liabilities (Net)</t>
  </si>
  <si>
    <t>Long-Term Provisions</t>
  </si>
  <si>
    <t>Total Non-Current Liabilities</t>
  </si>
  <si>
    <t>Short-Term Provisions</t>
  </si>
  <si>
    <t>Short-Term Borrowings</t>
  </si>
  <si>
    <t xml:space="preserve">   - Small &amp; Micro Enterprises</t>
  </si>
  <si>
    <t xml:space="preserve">   - Creditors</t>
  </si>
  <si>
    <t>Total Current Liabilities</t>
  </si>
  <si>
    <t>From Nischay'</t>
  </si>
  <si>
    <t>In Lacs</t>
  </si>
  <si>
    <t>Total Fair Value in Lacs</t>
  </si>
  <si>
    <t>Amount as on 31st March 2023</t>
  </si>
  <si>
    <t>38300 shares out of 4735300</t>
  </si>
  <si>
    <t>Total Investment</t>
  </si>
  <si>
    <t>6 Months to 1 Year</t>
  </si>
  <si>
    <t>Less than 6 Months</t>
  </si>
  <si>
    <t>1 - 2 Year</t>
  </si>
  <si>
    <t xml:space="preserve"> </t>
  </si>
  <si>
    <t>2 - 3 Years</t>
  </si>
  <si>
    <t>More Than 3 Years</t>
  </si>
  <si>
    <t>Cost of Materials Consumed</t>
  </si>
  <si>
    <t>Purchases</t>
  </si>
  <si>
    <t>Change in Inventory of Finished Goods</t>
  </si>
  <si>
    <t>Previous Year Adjustments</t>
  </si>
  <si>
    <t>Short Term Loans and Advances</t>
  </si>
  <si>
    <t>Amount as on 31.03.2024</t>
  </si>
  <si>
    <t>Advance to Employees</t>
  </si>
  <si>
    <t>Advance Income Tax</t>
  </si>
  <si>
    <t>Due from Govt Revenue Authorities</t>
  </si>
  <si>
    <t>Advance to Suppliers</t>
  </si>
  <si>
    <t>Prepaid Expenses</t>
  </si>
  <si>
    <t>Other Advances recoverable in cash or in kind or for value to be received</t>
  </si>
  <si>
    <t>On the Basis of Audited Balance Sheet</t>
  </si>
  <si>
    <t>Notes Below</t>
  </si>
  <si>
    <t>Total</t>
  </si>
  <si>
    <t>Amount</t>
  </si>
  <si>
    <t>Upto 90 Days</t>
  </si>
  <si>
    <t>More &gt;180 Days</t>
  </si>
  <si>
    <t>A.K. Fabrication Engineers - Gzb.</t>
  </si>
  <si>
    <t>Rolls Makers - Gzb.</t>
  </si>
  <si>
    <t>Unitherm Inductoweld (I) P.Ltd.- Noida</t>
  </si>
  <si>
    <t>S.K.Engineers - Gzb.</t>
  </si>
  <si>
    <t>Rashid Roadlines - Sikandrabad (U.P)</t>
  </si>
  <si>
    <t>R.P.Transport Co.-Gzb. (U.P)</t>
  </si>
  <si>
    <t>A.R.Cooling Towers &amp; Components - Faridabad (Har)</t>
  </si>
  <si>
    <t>C.E.I.L.- NEW DELHI</t>
  </si>
  <si>
    <t>Executive Engineer : EDD-IV - Noida</t>
  </si>
  <si>
    <t>Hindustan Zinc Ltd- Chittorgarh (Rj)</t>
  </si>
  <si>
    <t>Jyoti Strips Pvt Ltd - Ballabgarh (Hr)</t>
  </si>
  <si>
    <t>Kanak Dhara Ispat - Gzb (U.P)</t>
  </si>
  <si>
    <t>Newcon Consultants India Pvt Ltd.- Gzb (U.P)</t>
  </si>
  <si>
    <t>Steel Authority Of India</t>
  </si>
  <si>
    <t>Grand Total</t>
  </si>
  <si>
    <r>
      <rPr>
        <b/>
        <sz val="11"/>
        <color theme="0"/>
        <rFont val="Calibri"/>
        <family val="2"/>
        <scheme val="minor"/>
      </rPr>
      <t>90 to 120
days</t>
    </r>
  </si>
  <si>
    <r>
      <rPr>
        <b/>
        <sz val="11"/>
        <color theme="0"/>
        <rFont val="Calibri"/>
        <family val="2"/>
        <scheme val="minor"/>
      </rPr>
      <t>120 to 180
days</t>
    </r>
  </si>
  <si>
    <t>Ageing of Advance to Suppliers</t>
  </si>
  <si>
    <t>Details of Security Deposit</t>
  </si>
  <si>
    <t>S.NO Particulars Amount</t>
  </si>
  <si>
    <t>1 Security Deposit-Executive Engg (FD NO. 6449291566) 12,85,000.00</t>
  </si>
  <si>
    <t>2 Add. Controller of Stores-Shimla 5,000.00</t>
  </si>
  <si>
    <t>3 Uttrakhand Jal Sansthan-DDN 6,73,448.00</t>
  </si>
  <si>
    <t>4 Deposit - Skyline Financial Services Pvt Ltd 5 ,000.00</t>
  </si>
  <si>
    <t>5 GeM - E Marketplace - Delhi (Security) 2 5,000.00</t>
  </si>
  <si>
    <t>6 Secirity Deposit - UPSE Board 4 0,67,800.00</t>
  </si>
  <si>
    <t>7 Security Deposit - Dadu Pipes P.Ltd. - 2,69,300.00</t>
  </si>
  <si>
    <t>8 Security Deposit - EMD/Security Pnb 7 ,00,000.00</t>
  </si>
  <si>
    <t>9 Security Deposit - IGL (New Delhi) 1 2,35,793.00</t>
  </si>
  <si>
    <t>10 Security Deposit - ISIN 1 0,000.00</t>
  </si>
  <si>
    <t>11 Security Deposit - SAIL-PFA 1 5,00,000.00</t>
  </si>
  <si>
    <t>12 Security Deposit S.Tax (Gzb.-U.P) 5 2,500.00</t>
  </si>
  <si>
    <t>13 Security Dposit- M.P.Vidyut Vitran Co.Ltd.-Bhopal 1 ,00,000.00</t>
  </si>
  <si>
    <t>Total 93,90,241.00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</si>
</sst>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&quot;FY&quot;\ 0\ &quot;A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Times New Roman"/>
      <family val="2"/>
    </font>
    <font>
      <sz val="11"/>
      <color theme="1"/>
      <name val="DejaVu Serif Condensed"/>
      <family val="2"/>
    </font>
    <font>
      <sz val="11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NumberFormat="0" applyFont="0" applyBorder="0" applyAlignment="0">
      <alignment horizontal="left"/>
    </xf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43" fontId="0" fillId="0" borderId="0" xfId="1" applyFont="1"/>
    <xf numFmtId="0" fontId="2" fillId="2" borderId="0" xfId="2"/>
    <xf numFmtId="43" fontId="2" fillId="2" borderId="0" xfId="2" applyNumberFormat="1"/>
    <xf numFmtId="43" fontId="0" fillId="0" borderId="0" xfId="0" applyNumberFormat="1"/>
    <xf numFmtId="43" fontId="0" fillId="0" borderId="0" xfId="1" applyFont="1" applyAlignment="1">
      <alignment horizontal="center" vertical="center"/>
    </xf>
    <xf numFmtId="0" fontId="2" fillId="2" borderId="0" xfId="2" applyBorder="1"/>
    <xf numFmtId="0" fontId="0" fillId="0" borderId="1" xfId="0" applyBorder="1"/>
    <xf numFmtId="0" fontId="11" fillId="3" borderId="0" xfId="0" applyFont="1" applyFill="1" applyAlignment="1">
      <alignment vertical="center"/>
    </xf>
    <xf numFmtId="165" fontId="0" fillId="0" borderId="0" xfId="0" applyNumberFormat="1"/>
    <xf numFmtId="0" fontId="12" fillId="3" borderId="0" xfId="0" applyFont="1" applyFill="1"/>
    <xf numFmtId="0" fontId="3" fillId="0" borderId="2" xfId="0" applyFont="1" applyBorder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58" applyNumberFormat="1" applyFont="1" applyAlignment="1">
      <alignment horizontal="center"/>
    </xf>
    <xf numFmtId="165" fontId="12" fillId="3" borderId="0" xfId="0" applyNumberFormat="1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2" fontId="12" fillId="3" borderId="0" xfId="0" applyNumberFormat="1" applyFont="1" applyFill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left" indent="4"/>
    </xf>
    <xf numFmtId="0" fontId="12" fillId="3" borderId="3" xfId="0" applyFont="1" applyFill="1" applyBorder="1" applyAlignment="1">
      <alignment horizontal="left" vertic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43" fontId="3" fillId="4" borderId="0" xfId="1" applyFont="1" applyFill="1" applyAlignment="1">
      <alignment horizontal="center" vertical="center"/>
    </xf>
    <xf numFmtId="43" fontId="0" fillId="4" borderId="0" xfId="1" applyFont="1" applyFill="1" applyAlignment="1">
      <alignment horizontal="center"/>
    </xf>
    <xf numFmtId="0" fontId="3" fillId="4" borderId="2" xfId="0" applyFont="1" applyFill="1" applyBorder="1"/>
    <xf numFmtId="2" fontId="3" fillId="4" borderId="2" xfId="1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 wrapText="1"/>
    </xf>
    <xf numFmtId="43" fontId="3" fillId="0" borderId="2" xfId="1" applyFont="1" applyBorder="1" applyAlignment="1">
      <alignment horizontal="center"/>
    </xf>
    <xf numFmtId="0" fontId="0" fillId="0" borderId="0" xfId="0" applyAlignment="1">
      <alignment horizontal="center" vertical="center"/>
    </xf>
    <xf numFmtId="43" fontId="3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2" fontId="3" fillId="4" borderId="2" xfId="1" applyNumberFormat="1" applyFont="1" applyFill="1" applyBorder="1" applyAlignment="1">
      <alignment horizontal="center" vertical="center"/>
    </xf>
    <xf numFmtId="2" fontId="3" fillId="4" borderId="0" xfId="1" applyNumberFormat="1" applyFont="1" applyFill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4" borderId="0" xfId="1" applyFont="1" applyFill="1" applyAlignment="1">
      <alignment horizont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 applyAlignment="1">
      <alignment horizontal="center"/>
    </xf>
    <xf numFmtId="10" fontId="0" fillId="0" borderId="0" xfId="1" applyNumberFormat="1" applyFont="1"/>
    <xf numFmtId="10" fontId="0" fillId="0" borderId="0" xfId="58" applyNumberFormat="1" applyFont="1"/>
    <xf numFmtId="43" fontId="3" fillId="4" borderId="2" xfId="1" applyFont="1" applyFill="1" applyBorder="1" applyAlignment="1">
      <alignment horizontal="center"/>
    </xf>
    <xf numFmtId="43" fontId="0" fillId="0" borderId="3" xfId="1" applyFont="1" applyBorder="1" applyAlignment="1">
      <alignment horizontal="center"/>
    </xf>
    <xf numFmtId="0" fontId="3" fillId="4" borderId="3" xfId="0" applyFont="1" applyFill="1" applyBorder="1" applyAlignment="1">
      <alignment horizontal="left"/>
    </xf>
    <xf numFmtId="43" fontId="3" fillId="4" borderId="3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3" fillId="4" borderId="3" xfId="0" applyFont="1" applyFill="1" applyBorder="1"/>
    <xf numFmtId="0" fontId="17" fillId="0" borderId="4" xfId="0" applyFont="1" applyBorder="1" applyAlignment="1">
      <alignment horizontal="left" vertical="center" wrapText="1"/>
    </xf>
    <xf numFmtId="4" fontId="16" fillId="0" borderId="4" xfId="0" applyNumberFormat="1" applyFont="1" applyBorder="1" applyAlignment="1">
      <alignment horizontal="right" vertical="center" shrinkToFit="1"/>
    </xf>
    <xf numFmtId="2" fontId="16" fillId="0" borderId="4" xfId="0" applyNumberFormat="1" applyFont="1" applyBorder="1" applyAlignment="1">
      <alignment horizontal="right" vertical="center" shrinkToFit="1"/>
    </xf>
    <xf numFmtId="4" fontId="17" fillId="0" borderId="4" xfId="0" applyNumberFormat="1" applyFont="1" applyBorder="1" applyAlignment="1">
      <alignment horizontal="righ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top" wrapText="1"/>
    </xf>
    <xf numFmtId="4" fontId="15" fillId="4" borderId="4" xfId="0" applyNumberFormat="1" applyFont="1" applyFill="1" applyBorder="1" applyAlignment="1">
      <alignment horizontal="right" vertical="center" wrapText="1"/>
    </xf>
    <xf numFmtId="43" fontId="3" fillId="0" borderId="2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59">
    <cellStyle name="Comma" xfId="1" builtinId="3"/>
    <cellStyle name="Comma 10 10 2" xfId="5" xr:uid="{00000000-0005-0000-0000-000001000000}"/>
    <cellStyle name="Comma 10 11" xfId="6" xr:uid="{00000000-0005-0000-0000-000002000000}"/>
    <cellStyle name="Comma 10 2 6" xfId="7" xr:uid="{00000000-0005-0000-0000-000003000000}"/>
    <cellStyle name="Comma 10 4" xfId="8" xr:uid="{00000000-0005-0000-0000-000004000000}"/>
    <cellStyle name="Comma 11" xfId="9" xr:uid="{00000000-0005-0000-0000-000005000000}"/>
    <cellStyle name="Comma 12" xfId="10" xr:uid="{00000000-0005-0000-0000-000006000000}"/>
    <cellStyle name="Comma 12 2" xfId="11" xr:uid="{00000000-0005-0000-0000-000007000000}"/>
    <cellStyle name="Comma 12 3 3 2" xfId="12" xr:uid="{00000000-0005-0000-0000-000008000000}"/>
    <cellStyle name="Comma 2" xfId="4" xr:uid="{00000000-0005-0000-0000-000009000000}"/>
    <cellStyle name="Comma 2 2" xfId="13" xr:uid="{00000000-0005-0000-0000-00000A000000}"/>
    <cellStyle name="Comma 2 2 2" xfId="14" xr:uid="{00000000-0005-0000-0000-00000B000000}"/>
    <cellStyle name="Comma 2 2 4" xfId="15" xr:uid="{00000000-0005-0000-0000-00000C000000}"/>
    <cellStyle name="Comma 2 2 4 2" xfId="16" xr:uid="{00000000-0005-0000-0000-00000D000000}"/>
    <cellStyle name="Comma 4 3 2" xfId="17" xr:uid="{00000000-0005-0000-0000-00000E000000}"/>
    <cellStyle name="Comma 43" xfId="18" xr:uid="{00000000-0005-0000-0000-00000F000000}"/>
    <cellStyle name="Comma 6 5" xfId="19" xr:uid="{00000000-0005-0000-0000-000010000000}"/>
    <cellStyle name="Comma 7" xfId="20" xr:uid="{00000000-0005-0000-0000-000011000000}"/>
    <cellStyle name="Comma 8" xfId="21" xr:uid="{00000000-0005-0000-0000-000012000000}"/>
    <cellStyle name="Good" xfId="2" builtinId="26"/>
    <cellStyle name="Norm??" xfId="22" xr:uid="{00000000-0005-0000-0000-000014000000}"/>
    <cellStyle name="Normal" xfId="0" builtinId="0"/>
    <cellStyle name="Normal - Style1" xfId="23" xr:uid="{00000000-0005-0000-0000-000016000000}"/>
    <cellStyle name="Normal - Style1 2" xfId="24" xr:uid="{00000000-0005-0000-0000-000017000000}"/>
    <cellStyle name="Normal 10" xfId="55" xr:uid="{00000000-0005-0000-0000-000018000000}"/>
    <cellStyle name="Normal 10 10 2" xfId="25" xr:uid="{00000000-0005-0000-0000-000019000000}"/>
    <cellStyle name="Normal 10 2 2" xfId="26" xr:uid="{00000000-0005-0000-0000-00001A000000}"/>
    <cellStyle name="Normal 109 2" xfId="27" xr:uid="{00000000-0005-0000-0000-00001B000000}"/>
    <cellStyle name="Normal 11" xfId="56" xr:uid="{00000000-0005-0000-0000-00001C000000}"/>
    <cellStyle name="Normal 11 2 2 2 2 2" xfId="28" xr:uid="{00000000-0005-0000-0000-00001D000000}"/>
    <cellStyle name="Normal 112" xfId="29" xr:uid="{00000000-0005-0000-0000-00001E000000}"/>
    <cellStyle name="Normal 113" xfId="30" xr:uid="{00000000-0005-0000-0000-00001F000000}"/>
    <cellStyle name="Normal 12" xfId="57" xr:uid="{00000000-0005-0000-0000-000020000000}"/>
    <cellStyle name="Normal 15 2" xfId="31" xr:uid="{00000000-0005-0000-0000-000021000000}"/>
    <cellStyle name="Normal 16" xfId="32" xr:uid="{00000000-0005-0000-0000-000022000000}"/>
    <cellStyle name="Normal 17 2" xfId="33" xr:uid="{00000000-0005-0000-0000-000023000000}"/>
    <cellStyle name="Normal 2" xfId="34" xr:uid="{00000000-0005-0000-0000-000024000000}"/>
    <cellStyle name="Normal 2 10" xfId="35" xr:uid="{00000000-0005-0000-0000-000025000000}"/>
    <cellStyle name="Normal 2 11" xfId="36" xr:uid="{00000000-0005-0000-0000-000026000000}"/>
    <cellStyle name="Normal 2 11 2" xfId="37" xr:uid="{00000000-0005-0000-0000-000027000000}"/>
    <cellStyle name="Normal 2 16" xfId="38" xr:uid="{00000000-0005-0000-0000-000028000000}"/>
    <cellStyle name="Normal 2 17 3" xfId="39" xr:uid="{00000000-0005-0000-0000-000029000000}"/>
    <cellStyle name="Normal 2 2" xfId="40" xr:uid="{00000000-0005-0000-0000-00002A000000}"/>
    <cellStyle name="Normal 2 2 13" xfId="41" xr:uid="{00000000-0005-0000-0000-00002B000000}"/>
    <cellStyle name="Normal 2 2 3" xfId="42" xr:uid="{00000000-0005-0000-0000-00002C000000}"/>
    <cellStyle name="Normal 2 2 6" xfId="43" xr:uid="{00000000-0005-0000-0000-00002D000000}"/>
    <cellStyle name="Normal 3" xfId="44" xr:uid="{00000000-0005-0000-0000-00002E000000}"/>
    <cellStyle name="Normal 4" xfId="45" xr:uid="{00000000-0005-0000-0000-00002F000000}"/>
    <cellStyle name="Normal 5" xfId="3" xr:uid="{00000000-0005-0000-0000-000030000000}"/>
    <cellStyle name="Normal 5 4" xfId="46" xr:uid="{00000000-0005-0000-0000-000031000000}"/>
    <cellStyle name="Normal 6" xfId="47" xr:uid="{00000000-0005-0000-0000-000032000000}"/>
    <cellStyle name="Normal 7" xfId="53" xr:uid="{00000000-0005-0000-0000-000033000000}"/>
    <cellStyle name="Normal 8" xfId="48" xr:uid="{00000000-0005-0000-0000-000034000000}"/>
    <cellStyle name="Normal 9" xfId="54" xr:uid="{00000000-0005-0000-0000-000035000000}"/>
    <cellStyle name="Percent" xfId="58" builtinId="5"/>
    <cellStyle name="Percent 11" xfId="50" xr:uid="{00000000-0005-0000-0000-000036000000}"/>
    <cellStyle name="Percent 2" xfId="49" xr:uid="{00000000-0005-0000-0000-000037000000}"/>
    <cellStyle name="Percent 2 2 2" xfId="51" xr:uid="{00000000-0005-0000-0000-000038000000}"/>
    <cellStyle name="Percent 3 2 2" xfId="52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EBITDA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2.2805702628066624E-2</c:v>
                </c:pt>
                <c:pt idx="1">
                  <c:v>2.6184403029317675E-2</c:v>
                </c:pt>
                <c:pt idx="2">
                  <c:v>3.7149081054060062E-2</c:v>
                </c:pt>
                <c:pt idx="3">
                  <c:v>4.6604206759083479E-2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3-4575-8D2D-3A0D59B26D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3960872"/>
        <c:axId val="413961856"/>
      </c:barChart>
      <c:catAx>
        <c:axId val="413960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</a:t>
                </a:r>
                <a:r>
                  <a:rPr lang="en-IN" b="1" i="1" baseline="0"/>
                  <a:t> Year</a:t>
                </a:r>
                <a:endParaRPr lang="en-IN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1856"/>
        <c:crosses val="autoZero"/>
        <c:auto val="1"/>
        <c:lblAlgn val="ctr"/>
        <c:lblOffset val="100"/>
        <c:noMultiLvlLbl val="0"/>
      </c:catAx>
      <c:valAx>
        <c:axId val="4139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96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EBIT Margin %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Performance'!$C$30:$F$30</c:f>
              <c:numCache>
                <c:formatCode>0.00%</c:formatCode>
                <c:ptCount val="4"/>
                <c:pt idx="0">
                  <c:v>2.0428605592273563E-2</c:v>
                </c:pt>
                <c:pt idx="1">
                  <c:v>2.5024084893572104E-2</c:v>
                </c:pt>
                <c:pt idx="2">
                  <c:v>3.5753976475637037E-2</c:v>
                </c:pt>
                <c:pt idx="3">
                  <c:v>4.3994602145425048E-2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D-46CB-9201-62DA528930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2551632"/>
        <c:axId val="422549008"/>
      </c:barChart>
      <c:catAx>
        <c:axId val="422551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49008"/>
        <c:crosses val="autoZero"/>
        <c:auto val="1"/>
        <c:lblAlgn val="ctr"/>
        <c:lblOffset val="100"/>
        <c:noMultiLvlLbl val="0"/>
      </c:catAx>
      <c:valAx>
        <c:axId val="42254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55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 i="0">
                <a:solidFill>
                  <a:schemeClr val="bg1"/>
                </a:solidFill>
              </a:rPr>
              <a:t>Net Profit Margin</a:t>
            </a:r>
            <a:r>
              <a:rPr lang="en-IN" sz="1100" b="1" i="0" baseline="0">
                <a:solidFill>
                  <a:schemeClr val="bg1"/>
                </a:solidFill>
              </a:rPr>
              <a:t> %</a:t>
            </a:r>
            <a:endParaRPr lang="en-IN" sz="1100" b="1" i="0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Performance'!$C$31:$F$31</c:f>
              <c:numCache>
                <c:formatCode>0.00%</c:formatCode>
                <c:ptCount val="4"/>
                <c:pt idx="0">
                  <c:v>4.8490508311990329E-3</c:v>
                </c:pt>
                <c:pt idx="1">
                  <c:v>1.0426577530646824E-2</c:v>
                </c:pt>
                <c:pt idx="2">
                  <c:v>1.6591015899683131E-2</c:v>
                </c:pt>
                <c:pt idx="3">
                  <c:v>2.0640721434432831E-2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A-4A9B-BDC1-D06CC6CE4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6208"/>
        <c:axId val="423921784"/>
      </c:barChart>
      <c:catAx>
        <c:axId val="423916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21784"/>
        <c:crosses val="autoZero"/>
        <c:auto val="1"/>
        <c:lblAlgn val="ctr"/>
        <c:lblOffset val="100"/>
        <c:noMultiLvlLbl val="0"/>
      </c:catAx>
      <c:valAx>
        <c:axId val="42392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100" b="1">
                <a:solidFill>
                  <a:schemeClr val="bg1"/>
                </a:solidFill>
              </a:rPr>
              <a:t>Revenue Growth</a:t>
            </a:r>
            <a:r>
              <a:rPr lang="en-IN" sz="1100" b="1" baseline="0">
                <a:solidFill>
                  <a:schemeClr val="bg1"/>
                </a:solidFill>
              </a:rPr>
              <a:t> Rate</a:t>
            </a:r>
          </a:p>
          <a:p>
            <a:pPr>
              <a:defRPr/>
            </a:pPr>
            <a:r>
              <a:rPr lang="en-IN" sz="1100" b="1" baseline="0">
                <a:solidFill>
                  <a:schemeClr val="bg1"/>
                </a:solidFill>
              </a:rPr>
              <a:t>(Y.O.Y.)</a:t>
            </a:r>
            <a:endParaRPr lang="en-IN" sz="1100" b="1">
              <a:solidFill>
                <a:schemeClr val="bg1"/>
              </a:solidFill>
            </a:endParaRP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'Historical Performance'!$D$5:$F$5</c:f>
              <c:numCache>
                <c:formatCode>"FY"\ 0\ "A"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'Historical Performance'!$D$32:$F$32</c:f>
              <c:numCache>
                <c:formatCode>0.00%</c:formatCode>
                <c:ptCount val="3"/>
                <c:pt idx="0">
                  <c:v>1.2354772297016554</c:v>
                </c:pt>
                <c:pt idx="1">
                  <c:v>0.53746904224597891</c:v>
                </c:pt>
                <c:pt idx="2">
                  <c:v>-0.28303655453871546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0-4FCB-B937-EE9155B19A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7578744"/>
        <c:axId val="417571528"/>
      </c:barChart>
      <c:catAx>
        <c:axId val="417578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1528"/>
        <c:crosses val="autoZero"/>
        <c:auto val="1"/>
        <c:lblAlgn val="ctr"/>
        <c:lblOffset val="100"/>
        <c:noMultiLvlLbl val="0"/>
      </c:catAx>
      <c:valAx>
        <c:axId val="41757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 i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5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b="1">
                <a:solidFill>
                  <a:schemeClr val="bg1"/>
                </a:solidFill>
              </a:rPr>
              <a:t>KEY RATIOS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'Historical Performance'!$B$29</c:f>
              <c:strCache>
                <c:ptCount val="1"/>
                <c:pt idx="0">
                  <c:v>EBITDA Margin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Performance'!$C$29:$F$29</c:f>
              <c:numCache>
                <c:formatCode>0.00%</c:formatCode>
                <c:ptCount val="4"/>
                <c:pt idx="0">
                  <c:v>2.2805702628066624E-2</c:v>
                </c:pt>
                <c:pt idx="1">
                  <c:v>2.6184403029317675E-2</c:v>
                </c:pt>
                <c:pt idx="2">
                  <c:v>3.7149081054060062E-2</c:v>
                </c:pt>
                <c:pt idx="3">
                  <c:v>4.6604206759083479E-2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59-4D64-8B18-BAC555D043F8}"/>
            </c:ext>
          </c:extLst>
        </c:ser>
        <c:ser>
          <c:idx val="1"/>
          <c:order val="1"/>
          <c:tx>
            <c:strRef>
              <c:f>'Historical Performance'!$B$30</c:f>
              <c:strCache>
                <c:ptCount val="1"/>
                <c:pt idx="0">
                  <c:v>EBIT Margin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Performance'!$C$30:$F$30</c:f>
              <c:numCache>
                <c:formatCode>0.00%</c:formatCode>
                <c:ptCount val="4"/>
                <c:pt idx="0">
                  <c:v>2.0428605592273563E-2</c:v>
                </c:pt>
                <c:pt idx="1">
                  <c:v>2.5024084893572104E-2</c:v>
                </c:pt>
                <c:pt idx="2">
                  <c:v>3.5753976475637037E-2</c:v>
                </c:pt>
                <c:pt idx="3">
                  <c:v>4.3994602145425048E-2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59-4D64-8B18-BAC555D043F8}"/>
            </c:ext>
          </c:extLst>
        </c:ser>
        <c:ser>
          <c:idx val="2"/>
          <c:order val="2"/>
          <c:tx>
            <c:strRef>
              <c:f>'Historical Performance'!$B$31</c:f>
              <c:strCache>
                <c:ptCount val="1"/>
                <c:pt idx="0">
                  <c:v>Net Profit Margin 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Performance'!$C$31:$F$31</c:f>
              <c:numCache>
                <c:formatCode>0.00%</c:formatCode>
                <c:ptCount val="4"/>
                <c:pt idx="0">
                  <c:v>4.8490508311990329E-3</c:v>
                </c:pt>
                <c:pt idx="1">
                  <c:v>1.0426577530646824E-2</c:v>
                </c:pt>
                <c:pt idx="2">
                  <c:v>1.6591015899683131E-2</c:v>
                </c:pt>
                <c:pt idx="3">
                  <c:v>2.0640721434432831E-2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59-4D64-8B18-BAC555D043F8}"/>
            </c:ext>
          </c:extLst>
        </c:ser>
        <c:ser>
          <c:idx val="3"/>
          <c:order val="3"/>
          <c:tx>
            <c:strRef>
              <c:f>'Historical Performance'!$B$32</c:f>
              <c:strCache>
                <c:ptCount val="1"/>
                <c:pt idx="0">
                  <c:v>Revenue Growth Rate (Y.O.Y.)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'Historical Performance'!$C$5:$F$5</c:f>
              <c:numCache>
                <c:formatCode>"FY"\ 0\ "A"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'Historical Performance'!$C$32:$F$32</c:f>
              <c:numCache>
                <c:formatCode>0.00%</c:formatCode>
                <c:ptCount val="4"/>
                <c:pt idx="1">
                  <c:v>1.2354772297016554</c:v>
                </c:pt>
                <c:pt idx="2">
                  <c:v>0.53746904224597891</c:v>
                </c:pt>
                <c:pt idx="3">
                  <c:v>-0.28303655453871546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59-4D64-8B18-BAC555D04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8976400"/>
        <c:axId val="508976760"/>
      </c:lineChart>
      <c:catAx>
        <c:axId val="508976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</a:t>
                </a:r>
                <a:r>
                  <a:rPr lang="en-IN" b="1" baseline="0"/>
                  <a:t> Year</a:t>
                </a:r>
                <a:endParaRPr lang="en-IN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FY&quot;\ 0\ &quot;A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76760"/>
        <c:crosses val="autoZero"/>
        <c:auto val="1"/>
        <c:lblAlgn val="ctr"/>
        <c:lblOffset val="100"/>
        <c:noMultiLvlLbl val="0"/>
      </c:catAx>
      <c:valAx>
        <c:axId val="508976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9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32</xdr:row>
      <xdr:rowOff>152400</xdr:rowOff>
    </xdr:from>
    <xdr:to>
      <xdr:col>4</xdr:col>
      <xdr:colOff>133350</xdr:colOff>
      <xdr:row>47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4E8B66-0AC5-D292-1451-1ACEF692D7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138112</xdr:colOff>
      <xdr:row>32</xdr:row>
      <xdr:rowOff>114300</xdr:rowOff>
    </xdr:from>
    <xdr:to>
      <xdr:col>12</xdr:col>
      <xdr:colOff>61912</xdr:colOff>
      <xdr:row>47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BF713-A423-1976-71ED-5CF962C932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42861</xdr:colOff>
      <xdr:row>47</xdr:row>
      <xdr:rowOff>133349</xdr:rowOff>
    </xdr:from>
    <xdr:to>
      <xdr:col>5</xdr:col>
      <xdr:colOff>419099</xdr:colOff>
      <xdr:row>67</xdr:row>
      <xdr:rowOff>85724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14870-6357-8EB3-1C94-3526233B76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514350</xdr:colOff>
      <xdr:row>48</xdr:row>
      <xdr:rowOff>76200</xdr:rowOff>
    </xdr:from>
    <xdr:to>
      <xdr:col>12</xdr:col>
      <xdr:colOff>438150</xdr:colOff>
      <xdr:row>62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D88295B-4A7E-F04A-39B9-962FCD4B54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219075</xdr:colOff>
      <xdr:row>14</xdr:row>
      <xdr:rowOff>152400</xdr:rowOff>
    </xdr:from>
    <xdr:to>
      <xdr:col>15</xdr:col>
      <xdr:colOff>523875</xdr:colOff>
      <xdr:row>29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C348E3A-3543-54B1-F808-7E4B372D1D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2/Desktop/Sintex%20BAPL%20Ltd/RK%20Working%20June%202022/RK%20Working%20Aug%202022/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>
            <v>1683.73</v>
          </cell>
        </row>
        <row r="4">
          <cell r="A4" t="str">
            <v>Other income</v>
          </cell>
        </row>
        <row r="11">
          <cell r="A11" t="str">
            <v>Employee benefits expense</v>
          </cell>
        </row>
        <row r="12">
          <cell r="A12" t="str">
            <v>Finance costs</v>
          </cell>
        </row>
        <row r="13">
          <cell r="A13" t="str">
            <v>Depreciation and amortisation expenses</v>
          </cell>
        </row>
        <row r="14">
          <cell r="A14" t="str">
            <v>Other expenses</v>
          </cell>
        </row>
        <row r="15">
          <cell r="A15" t="str">
            <v>Total expenses</v>
          </cell>
        </row>
        <row r="19">
          <cell r="A19" t="str">
            <v>Profit before tax</v>
          </cell>
        </row>
        <row r="26">
          <cell r="A26" t="str">
            <v>Profit for the year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D0070-6BC2-46C9-B008-6B609E1D5727}">
  <dimension ref="B2:G32"/>
  <sheetViews>
    <sheetView showGridLines="0" workbookViewId="0">
      <selection activeCell="H14" sqref="H14"/>
    </sheetView>
  </sheetViews>
  <sheetFormatPr defaultRowHeight="15"/>
  <cols>
    <col min="1" max="1" width="5" customWidth="1"/>
    <col min="2" max="2" width="37.5703125" customWidth="1"/>
    <col min="3" max="6" width="14.85546875" customWidth="1"/>
  </cols>
  <sheetData>
    <row r="2" spans="2:7">
      <c r="F2" s="44" t="s">
        <v>82</v>
      </c>
    </row>
    <row r="3" spans="2:7" ht="15.75">
      <c r="B3" s="9" t="s">
        <v>40</v>
      </c>
      <c r="C3" s="9"/>
      <c r="D3" s="9"/>
      <c r="E3" s="9"/>
      <c r="F3" s="9"/>
    </row>
    <row r="4" spans="2:7" ht="9" customHeight="1"/>
    <row r="5" spans="2:7">
      <c r="B5" s="11" t="s">
        <v>14</v>
      </c>
      <c r="C5" s="16">
        <v>2021</v>
      </c>
      <c r="D5" s="16">
        <f>C5+1</f>
        <v>2022</v>
      </c>
      <c r="E5" s="16">
        <f t="shared" ref="E5:F5" si="0">D5+1</f>
        <v>2023</v>
      </c>
      <c r="F5" s="16">
        <f t="shared" si="0"/>
        <v>2024</v>
      </c>
      <c r="G5" s="10"/>
    </row>
    <row r="6" spans="2:7">
      <c r="B6" t="s">
        <v>13</v>
      </c>
      <c r="C6" s="26">
        <v>14956.64</v>
      </c>
      <c r="D6" s="26">
        <v>33459.06</v>
      </c>
      <c r="E6" s="26">
        <v>51423.32</v>
      </c>
      <c r="F6" s="26">
        <v>36865.760000000002</v>
      </c>
    </row>
    <row r="7" spans="2:7">
      <c r="B7" t="str">
        <f>[1]Sheet1!A4</f>
        <v>Other income</v>
      </c>
      <c r="C7" s="26">
        <v>13.3</v>
      </c>
      <c r="D7" s="26">
        <v>5.9</v>
      </c>
      <c r="E7" s="26">
        <v>28.02</v>
      </c>
      <c r="F7" s="26">
        <v>22.97</v>
      </c>
    </row>
    <row r="8" spans="2:7">
      <c r="B8" s="12" t="s">
        <v>21</v>
      </c>
      <c r="C8" s="40">
        <f t="shared" ref="C8:D8" si="1">SUM(C6:C7)</f>
        <v>14969.939999999999</v>
      </c>
      <c r="D8" s="40">
        <f t="shared" si="1"/>
        <v>33464.959999999999</v>
      </c>
      <c r="E8" s="40">
        <f>SUM(E6:E7)</f>
        <v>51451.34</v>
      </c>
      <c r="F8" s="40">
        <f t="shared" ref="F8" si="2">SUM(F6:F7)</f>
        <v>36888.730000000003</v>
      </c>
    </row>
    <row r="9" spans="2:7">
      <c r="B9" s="1"/>
      <c r="C9" s="26"/>
      <c r="D9" s="26"/>
      <c r="E9" s="26"/>
      <c r="F9" s="26"/>
    </row>
    <row r="10" spans="2:7">
      <c r="B10" t="s">
        <v>93</v>
      </c>
      <c r="C10" s="26">
        <v>11697.22</v>
      </c>
      <c r="D10" s="26">
        <v>27813.74</v>
      </c>
      <c r="E10" s="26">
        <v>39896.92</v>
      </c>
      <c r="F10" s="26">
        <v>27472.48</v>
      </c>
    </row>
    <row r="11" spans="2:7">
      <c r="B11" t="s">
        <v>94</v>
      </c>
      <c r="C11" s="26">
        <v>1327.79</v>
      </c>
      <c r="D11" s="26">
        <v>3126.24</v>
      </c>
      <c r="E11" s="26">
        <v>2937.06</v>
      </c>
      <c r="F11" s="26">
        <v>1341.94</v>
      </c>
    </row>
    <row r="12" spans="2:7">
      <c r="B12" t="s">
        <v>95</v>
      </c>
      <c r="C12" s="26">
        <v>310.68</v>
      </c>
      <c r="D12" s="26">
        <v>-1263.03</v>
      </c>
      <c r="E12" s="26">
        <v>-200.66</v>
      </c>
      <c r="F12" s="26">
        <v>931.81</v>
      </c>
    </row>
    <row r="13" spans="2:7">
      <c r="B13" t="str">
        <f>[1]Sheet1!A11</f>
        <v>Employee benefits expense</v>
      </c>
      <c r="C13" s="6">
        <v>300.86500000000001</v>
      </c>
      <c r="D13" s="6">
        <v>520.52</v>
      </c>
      <c r="E13" s="6">
        <v>1119.46</v>
      </c>
      <c r="F13" s="6">
        <v>1275.21</v>
      </c>
    </row>
    <row r="14" spans="2:7">
      <c r="B14" t="str">
        <f>[1]Sheet1!A14</f>
        <v>Other expenses</v>
      </c>
      <c r="C14" s="6">
        <v>991.98500000000001</v>
      </c>
      <c r="D14" s="6">
        <v>2391.23</v>
      </c>
      <c r="E14" s="6">
        <v>5787.19</v>
      </c>
      <c r="F14" s="6">
        <v>4148.12</v>
      </c>
    </row>
    <row r="15" spans="2:7">
      <c r="B15" s="12" t="str">
        <f>[1]Sheet1!A15</f>
        <v>Total expenses</v>
      </c>
      <c r="C15" s="70">
        <f t="shared" ref="C15" si="3">SUM(C10:C14)</f>
        <v>14628.539999999999</v>
      </c>
      <c r="D15" s="70">
        <f>SUM(D10:D14)</f>
        <v>32588.700000000004</v>
      </c>
      <c r="E15" s="70">
        <f t="shared" ref="E15:F15" si="4">SUM(E10:E14)</f>
        <v>49539.969999999994</v>
      </c>
      <c r="F15" s="70">
        <f t="shared" si="4"/>
        <v>35169.56</v>
      </c>
    </row>
    <row r="16" spans="2:7">
      <c r="B16" s="1"/>
      <c r="C16" s="71"/>
      <c r="D16" s="71"/>
      <c r="E16" s="71"/>
      <c r="F16" s="71"/>
    </row>
    <row r="17" spans="2:6">
      <c r="B17" s="12" t="s">
        <v>15</v>
      </c>
      <c r="C17" s="70">
        <f>C8-C15</f>
        <v>341.39999999999964</v>
      </c>
      <c r="D17" s="70">
        <f>D8-D15</f>
        <v>876.25999999999476</v>
      </c>
      <c r="E17" s="70">
        <f>E8-E15</f>
        <v>1911.3700000000026</v>
      </c>
      <c r="F17" s="70">
        <f>F8-F15</f>
        <v>1719.1700000000055</v>
      </c>
    </row>
    <row r="18" spans="2:6">
      <c r="B18" t="str">
        <f>[1]Sheet1!A13</f>
        <v>Depreciation and amortisation expenses</v>
      </c>
      <c r="C18" s="6">
        <v>35.585000000000001</v>
      </c>
      <c r="D18" s="6">
        <v>38.83</v>
      </c>
      <c r="E18" s="6">
        <v>71.78</v>
      </c>
      <c r="F18" s="6">
        <v>96.265000000000001</v>
      </c>
    </row>
    <row r="19" spans="2:6">
      <c r="C19" s="6"/>
      <c r="D19" s="6"/>
      <c r="E19" s="6"/>
      <c r="F19" s="6"/>
    </row>
    <row r="20" spans="2:6">
      <c r="B20" s="12" t="s">
        <v>16</v>
      </c>
      <c r="C20" s="70">
        <f>C17-C18</f>
        <v>305.81499999999966</v>
      </c>
      <c r="D20" s="70">
        <f t="shared" ref="D20:F20" si="5">D17-D18</f>
        <v>837.42999999999472</v>
      </c>
      <c r="E20" s="70">
        <f t="shared" si="5"/>
        <v>1839.5900000000026</v>
      </c>
      <c r="F20" s="70">
        <f t="shared" si="5"/>
        <v>1622.9050000000054</v>
      </c>
    </row>
    <row r="21" spans="2:6">
      <c r="B21" t="str">
        <f>[1]Sheet1!A12</f>
        <v>Finance costs</v>
      </c>
      <c r="C21" s="6">
        <v>203.14500000000001</v>
      </c>
      <c r="D21" s="6">
        <v>403.63499999999999</v>
      </c>
      <c r="E21" s="6">
        <v>611.52</v>
      </c>
      <c r="F21" s="6">
        <v>543.35500000000002</v>
      </c>
    </row>
    <row r="22" spans="2:6">
      <c r="C22" s="6"/>
      <c r="D22" s="6"/>
      <c r="E22" s="6"/>
      <c r="F22" s="6"/>
    </row>
    <row r="23" spans="2:6">
      <c r="B23" s="12" t="str">
        <f>[1]Sheet1!A19</f>
        <v>Profit before tax</v>
      </c>
      <c r="C23" s="70">
        <f t="shared" ref="C23:D23" si="6">+C20-C21</f>
        <v>102.66999999999965</v>
      </c>
      <c r="D23" s="70">
        <f t="shared" si="6"/>
        <v>433.79499999999473</v>
      </c>
      <c r="E23" s="70">
        <f>+E20-E21</f>
        <v>1228.0700000000027</v>
      </c>
      <c r="F23" s="70">
        <f t="shared" ref="F23" si="7">+F20-F21</f>
        <v>1079.5500000000054</v>
      </c>
    </row>
    <row r="24" spans="2:6">
      <c r="B24" t="s">
        <v>38</v>
      </c>
      <c r="C24" s="6">
        <v>30.6</v>
      </c>
      <c r="D24" s="6">
        <v>120.455</v>
      </c>
      <c r="E24" s="6">
        <v>340</v>
      </c>
      <c r="F24" s="6">
        <v>308.57</v>
      </c>
    </row>
    <row r="25" spans="2:6">
      <c r="B25" t="s">
        <v>41</v>
      </c>
      <c r="C25" s="6">
        <v>-0.51500000000000001</v>
      </c>
      <c r="D25" s="6">
        <v>-35.585000000000001</v>
      </c>
      <c r="E25" s="6">
        <v>34.979999999999997</v>
      </c>
      <c r="F25" s="6">
        <v>16.850000000000001</v>
      </c>
    </row>
    <row r="26" spans="2:6">
      <c r="B26" t="s">
        <v>96</v>
      </c>
      <c r="C26" s="6">
        <v>-5.0000000000000001E-3</v>
      </c>
      <c r="D26" s="6"/>
      <c r="E26" s="6">
        <v>-0.54</v>
      </c>
      <c r="F26" s="6">
        <v>-7.28</v>
      </c>
    </row>
    <row r="27" spans="2:6">
      <c r="B27" s="12" t="str">
        <f>[1]Sheet1!A26</f>
        <v>Profit for the year</v>
      </c>
      <c r="C27" s="70">
        <f>+C23-C24-C26-C25</f>
        <v>72.589999999999648</v>
      </c>
      <c r="D27" s="70">
        <f t="shared" ref="D27:F27" si="8">+D23-D24-D26-D25</f>
        <v>348.92499999999472</v>
      </c>
      <c r="E27" s="70">
        <f t="shared" si="8"/>
        <v>853.63000000000261</v>
      </c>
      <c r="F27" s="70">
        <f t="shared" si="8"/>
        <v>761.41000000000543</v>
      </c>
    </row>
    <row r="28" spans="2:6">
      <c r="C28" s="13"/>
      <c r="D28" s="13"/>
      <c r="E28" s="13"/>
      <c r="F28" s="13"/>
    </row>
    <row r="29" spans="2:6">
      <c r="B29" t="s">
        <v>17</v>
      </c>
      <c r="C29" s="15">
        <f>C17/C8</f>
        <v>2.2805702628066624E-2</v>
      </c>
      <c r="D29" s="15">
        <f>D17/D8</f>
        <v>2.6184403029317675E-2</v>
      </c>
      <c r="E29" s="15">
        <f>E17/E8</f>
        <v>3.7149081054060062E-2</v>
      </c>
      <c r="F29" s="15">
        <f>F17/F8</f>
        <v>4.6604206759083479E-2</v>
      </c>
    </row>
    <row r="30" spans="2:6">
      <c r="B30" t="s">
        <v>18</v>
      </c>
      <c r="C30" s="15">
        <f>C20/C8</f>
        <v>2.0428605592273563E-2</v>
      </c>
      <c r="D30" s="15">
        <f>D20/D8</f>
        <v>2.5024084893572104E-2</v>
      </c>
      <c r="E30" s="15">
        <f>E20/E8</f>
        <v>3.5753976475637037E-2</v>
      </c>
      <c r="F30" s="15">
        <f>F20/F8</f>
        <v>4.3994602145425048E-2</v>
      </c>
    </row>
    <row r="31" spans="2:6">
      <c r="B31" t="s">
        <v>19</v>
      </c>
      <c r="C31" s="15">
        <f>+C27/C8</f>
        <v>4.8490508311990329E-3</v>
      </c>
      <c r="D31" s="15">
        <f>+D27/D8</f>
        <v>1.0426577530646824E-2</v>
      </c>
      <c r="E31" s="15">
        <f>+E27/E8</f>
        <v>1.6591015899683131E-2</v>
      </c>
      <c r="F31" s="15">
        <f>+F27/F8</f>
        <v>2.0640721434432831E-2</v>
      </c>
    </row>
    <row r="32" spans="2:6">
      <c r="B32" t="s">
        <v>20</v>
      </c>
      <c r="C32" s="15"/>
      <c r="D32" s="15">
        <f>D8/C8-1</f>
        <v>1.2354772297016554</v>
      </c>
      <c r="E32" s="15">
        <f t="shared" ref="E32:F32" si="9">E8/D8-1</f>
        <v>0.53746904224597891</v>
      </c>
      <c r="F32" s="15">
        <f t="shared" si="9"/>
        <v>-0.28303655453871546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80"/>
  <sheetViews>
    <sheetView showGridLines="0" tabSelected="1" topLeftCell="A37" workbookViewId="0">
      <selection activeCell="D51" sqref="D51"/>
    </sheetView>
  </sheetViews>
  <sheetFormatPr defaultRowHeight="15"/>
  <cols>
    <col min="1" max="1" width="3.85546875" customWidth="1"/>
    <col min="2" max="2" width="46.42578125" bestFit="1" customWidth="1"/>
    <col min="3" max="3" width="16.28515625" customWidth="1"/>
    <col min="4" max="4" width="18" customWidth="1"/>
    <col min="5" max="5" width="10" style="14" customWidth="1"/>
    <col min="6" max="6" width="20.140625" customWidth="1"/>
    <col min="7" max="7" width="24.5703125" customWidth="1"/>
    <col min="8" max="8" width="11.42578125" customWidth="1"/>
    <col min="9" max="9" width="11.7109375" bestFit="1" customWidth="1"/>
    <col min="10" max="10" width="12" customWidth="1"/>
    <col min="11" max="12" width="10.7109375" bestFit="1" customWidth="1"/>
  </cols>
  <sheetData>
    <row r="2" spans="2:7">
      <c r="E2" s="14" t="s">
        <v>82</v>
      </c>
    </row>
    <row r="3" spans="2:7" ht="22.5" customHeight="1">
      <c r="B3" s="9" t="str">
        <f>+'Historical Performance'!B3</f>
        <v>M/s G.D. Contractors Private Limited</v>
      </c>
      <c r="C3" s="9"/>
      <c r="D3" s="9"/>
      <c r="E3" s="18"/>
    </row>
    <row r="4" spans="2:7" ht="30">
      <c r="B4" s="30" t="s">
        <v>0</v>
      </c>
      <c r="C4" s="31" t="s">
        <v>30</v>
      </c>
      <c r="D4" s="31" t="s">
        <v>23</v>
      </c>
      <c r="E4" s="32" t="s">
        <v>22</v>
      </c>
    </row>
    <row r="5" spans="2:7">
      <c r="B5" s="1" t="s">
        <v>1</v>
      </c>
      <c r="D5" s="14"/>
    </row>
    <row r="6" spans="2:7">
      <c r="B6" s="73" t="s">
        <v>39</v>
      </c>
      <c r="C6" s="49">
        <v>1501.37</v>
      </c>
      <c r="D6" s="50">
        <f>+G6/10^5</f>
        <v>6280.1444002897824</v>
      </c>
      <c r="E6" s="74"/>
      <c r="F6" t="s">
        <v>81</v>
      </c>
      <c r="G6">
        <v>628014440.02897823</v>
      </c>
    </row>
    <row r="7" spans="2:7">
      <c r="B7" s="73" t="s">
        <v>69</v>
      </c>
      <c r="C7" s="49">
        <v>0.2</v>
      </c>
      <c r="D7" s="50">
        <v>0</v>
      </c>
      <c r="E7" s="74"/>
      <c r="F7" t="s">
        <v>81</v>
      </c>
    </row>
    <row r="8" spans="2:7">
      <c r="B8" t="s">
        <v>29</v>
      </c>
      <c r="C8" s="49">
        <v>8.83</v>
      </c>
      <c r="D8" s="50">
        <f>+Investment!C31</f>
        <v>19.471212214245739</v>
      </c>
      <c r="E8" s="50"/>
    </row>
    <row r="9" spans="2:7">
      <c r="B9" t="s">
        <v>68</v>
      </c>
      <c r="C9" s="6">
        <v>93.9</v>
      </c>
      <c r="D9" s="26">
        <f t="shared" ref="D9" si="0">C9*E9</f>
        <v>93.9</v>
      </c>
      <c r="E9" s="26">
        <v>1</v>
      </c>
    </row>
    <row r="10" spans="2:7">
      <c r="B10" s="33" t="s">
        <v>11</v>
      </c>
      <c r="C10" s="34">
        <f>SUM(C6:C9)</f>
        <v>1604.3</v>
      </c>
      <c r="D10" s="48">
        <f>SUM(D6:D9)</f>
        <v>6393.5156125040276</v>
      </c>
      <c r="E10" s="35"/>
    </row>
    <row r="11" spans="2:7">
      <c r="C11" s="6"/>
      <c r="D11" s="26"/>
      <c r="E11" s="26"/>
    </row>
    <row r="12" spans="2:7">
      <c r="B12" s="1" t="s">
        <v>2</v>
      </c>
      <c r="C12" s="6"/>
      <c r="D12" s="26"/>
      <c r="E12" s="26"/>
    </row>
    <row r="13" spans="2:7">
      <c r="B13" t="s">
        <v>70</v>
      </c>
      <c r="C13" s="6">
        <v>2683.68</v>
      </c>
      <c r="D13" s="26">
        <f>C13*E13</f>
        <v>2683.68</v>
      </c>
      <c r="E13" s="26">
        <v>1</v>
      </c>
      <c r="F13" t="s">
        <v>105</v>
      </c>
    </row>
    <row r="14" spans="2:7">
      <c r="B14" t="s">
        <v>51</v>
      </c>
      <c r="C14" s="49">
        <v>4277.47</v>
      </c>
      <c r="D14" s="50">
        <f>+D53</f>
        <v>4229.4421735750002</v>
      </c>
      <c r="E14" s="50"/>
      <c r="F14" s="57" t="s">
        <v>106</v>
      </c>
    </row>
    <row r="15" spans="2:7">
      <c r="B15" t="s">
        <v>27</v>
      </c>
      <c r="C15" s="49">
        <v>1225.54</v>
      </c>
      <c r="D15" s="50">
        <f>C15*E15</f>
        <v>1225.54</v>
      </c>
      <c r="E15" s="50">
        <v>1</v>
      </c>
      <c r="F15" s="57"/>
    </row>
    <row r="16" spans="2:7">
      <c r="B16" t="s">
        <v>28</v>
      </c>
      <c r="C16" s="49">
        <v>437.5</v>
      </c>
      <c r="D16" s="50">
        <f>+D63</f>
        <v>437.51</v>
      </c>
      <c r="E16" s="50"/>
      <c r="F16" s="58" t="s">
        <v>106</v>
      </c>
    </row>
    <row r="17" spans="2:6">
      <c r="B17" t="s">
        <v>3</v>
      </c>
      <c r="C17" s="49">
        <v>2</v>
      </c>
      <c r="D17" s="50">
        <f t="shared" ref="D17" si="1">C17*E17</f>
        <v>0</v>
      </c>
      <c r="E17" s="50"/>
      <c r="F17" s="43"/>
    </row>
    <row r="18" spans="2:6">
      <c r="B18" s="33" t="s">
        <v>12</v>
      </c>
      <c r="C18" s="34">
        <f>SUM(C13:C17)</f>
        <v>8626.1899999999987</v>
      </c>
      <c r="D18" s="34">
        <f>SUM(D13:D15)</f>
        <v>8138.6621735750005</v>
      </c>
      <c r="E18" s="35"/>
    </row>
    <row r="19" spans="2:6">
      <c r="B19" s="33" t="s">
        <v>4</v>
      </c>
      <c r="C19" s="34">
        <f>C18+C10</f>
        <v>10230.489999999998</v>
      </c>
      <c r="D19" s="34">
        <f>D18+D10</f>
        <v>14532.177786079028</v>
      </c>
      <c r="E19" s="35"/>
    </row>
    <row r="20" spans="2:6">
      <c r="C20" s="6"/>
      <c r="D20" s="26"/>
      <c r="E20" s="26"/>
    </row>
    <row r="21" spans="2:6">
      <c r="B21" s="1" t="s">
        <v>5</v>
      </c>
      <c r="C21" s="6"/>
      <c r="D21" s="2"/>
      <c r="E21" s="26"/>
    </row>
    <row r="22" spans="2:6">
      <c r="B22" s="1" t="s">
        <v>71</v>
      </c>
      <c r="C22" s="6"/>
      <c r="D22" s="2"/>
      <c r="E22" s="26"/>
    </row>
    <row r="23" spans="2:6">
      <c r="B23" t="s">
        <v>72</v>
      </c>
      <c r="C23" s="6">
        <v>1244.31</v>
      </c>
      <c r="D23" s="26">
        <f t="shared" ref="D23:D25" si="2">C23*E23</f>
        <v>1244.31</v>
      </c>
      <c r="E23" s="26">
        <v>1</v>
      </c>
    </row>
    <row r="24" spans="2:6">
      <c r="B24" t="s">
        <v>73</v>
      </c>
      <c r="C24" s="6">
        <v>86.74</v>
      </c>
      <c r="D24" s="26">
        <f t="shared" si="2"/>
        <v>86.74</v>
      </c>
      <c r="E24" s="26">
        <v>1</v>
      </c>
    </row>
    <row r="25" spans="2:6">
      <c r="B25" t="s">
        <v>74</v>
      </c>
      <c r="C25" s="6">
        <v>105.15</v>
      </c>
      <c r="D25" s="26">
        <f t="shared" si="2"/>
        <v>105.15</v>
      </c>
      <c r="E25" s="26">
        <v>1</v>
      </c>
    </row>
    <row r="26" spans="2:6">
      <c r="B26" s="33" t="s">
        <v>75</v>
      </c>
      <c r="C26" s="34">
        <f>SUM(C23:C25)</f>
        <v>1436.2</v>
      </c>
      <c r="D26" s="34">
        <f>SUM(D23:D25)</f>
        <v>1436.2</v>
      </c>
      <c r="E26" s="35"/>
    </row>
    <row r="27" spans="2:6">
      <c r="B27" s="1"/>
      <c r="C27" s="47"/>
      <c r="D27" s="2"/>
      <c r="E27" s="26"/>
    </row>
    <row r="28" spans="2:6">
      <c r="B28" s="1" t="s">
        <v>7</v>
      </c>
      <c r="C28" s="6"/>
      <c r="D28" s="2"/>
      <c r="E28" s="26"/>
    </row>
    <row r="29" spans="2:6">
      <c r="B29" t="s">
        <v>77</v>
      </c>
      <c r="C29" s="6">
        <v>4448.3900000000003</v>
      </c>
      <c r="D29" s="26">
        <f t="shared" ref="D29:D33" si="3">C29*E29</f>
        <v>4448.3900000000003</v>
      </c>
      <c r="E29" s="26">
        <v>1</v>
      </c>
    </row>
    <row r="30" spans="2:6">
      <c r="B30" t="s">
        <v>57</v>
      </c>
      <c r="C30" s="6"/>
      <c r="D30" s="26"/>
      <c r="E30" s="26"/>
    </row>
    <row r="31" spans="2:6">
      <c r="B31" t="s">
        <v>78</v>
      </c>
      <c r="C31" s="6">
        <v>18.63</v>
      </c>
      <c r="D31" s="26">
        <f t="shared" si="3"/>
        <v>18.63</v>
      </c>
      <c r="E31" s="26">
        <v>1</v>
      </c>
    </row>
    <row r="32" spans="2:6">
      <c r="B32" t="s">
        <v>79</v>
      </c>
      <c r="C32" s="6">
        <v>145.56</v>
      </c>
      <c r="D32" s="26">
        <f t="shared" si="3"/>
        <v>145.56</v>
      </c>
      <c r="E32" s="26">
        <v>1</v>
      </c>
    </row>
    <row r="33" spans="2:6">
      <c r="B33" t="s">
        <v>8</v>
      </c>
      <c r="C33" s="6">
        <v>295.2</v>
      </c>
      <c r="D33" s="26">
        <f t="shared" si="3"/>
        <v>295.2</v>
      </c>
      <c r="E33" s="26">
        <v>1</v>
      </c>
    </row>
    <row r="34" spans="2:6">
      <c r="B34" t="s">
        <v>76</v>
      </c>
      <c r="C34" s="6">
        <v>7.18</v>
      </c>
      <c r="D34" s="26">
        <f t="shared" ref="D34" si="4">C34*E34</f>
        <v>7.18</v>
      </c>
      <c r="E34" s="26">
        <v>1</v>
      </c>
      <c r="F34" s="6"/>
    </row>
    <row r="35" spans="2:6">
      <c r="B35" s="33" t="s">
        <v>80</v>
      </c>
      <c r="C35" s="34">
        <f>SUM(C29:C34)</f>
        <v>4914.9600000000009</v>
      </c>
      <c r="D35" s="34">
        <f>SUM(D29:D34)</f>
        <v>4914.9600000000009</v>
      </c>
      <c r="E35" s="35"/>
      <c r="F35" s="6"/>
    </row>
    <row r="36" spans="2:6">
      <c r="B36" s="33" t="s">
        <v>9</v>
      </c>
      <c r="C36" s="34">
        <f>+C35+C26</f>
        <v>6351.1600000000008</v>
      </c>
      <c r="D36" s="34">
        <f>+D35+D26</f>
        <v>6351.1600000000008</v>
      </c>
      <c r="E36" s="35"/>
      <c r="F36" s="5"/>
    </row>
    <row r="37" spans="2:6">
      <c r="C37" s="2"/>
    </row>
    <row r="38" spans="2:6">
      <c r="B38" s="8" t="s">
        <v>4</v>
      </c>
      <c r="C38" s="27">
        <f>+D19</f>
        <v>14532.177786079028</v>
      </c>
      <c r="D38" s="2">
        <f>+C38*10^5</f>
        <v>1453217778.6079028</v>
      </c>
    </row>
    <row r="39" spans="2:6">
      <c r="B39" t="s">
        <v>9</v>
      </c>
      <c r="C39" s="28">
        <f>+D36</f>
        <v>6351.1600000000008</v>
      </c>
      <c r="D39" s="2">
        <f t="shared" ref="D39:D40" si="5">+C39*10^5</f>
        <v>635116000.00000012</v>
      </c>
    </row>
    <row r="40" spans="2:6">
      <c r="B40" s="7" t="s">
        <v>35</v>
      </c>
      <c r="C40" s="29">
        <f>C38-C39</f>
        <v>8181.0177860790272</v>
      </c>
      <c r="D40" s="2">
        <f t="shared" si="5"/>
        <v>818101778.60790277</v>
      </c>
    </row>
    <row r="41" spans="2:6">
      <c r="B41" t="s">
        <v>36</v>
      </c>
      <c r="C41" s="6">
        <v>30</v>
      </c>
    </row>
    <row r="42" spans="2:6">
      <c r="B42" s="11" t="s">
        <v>37</v>
      </c>
      <c r="C42" s="22">
        <f>+C40/C41</f>
        <v>272.70059286930092</v>
      </c>
      <c r="D42" s="5"/>
    </row>
    <row r="45" spans="2:6">
      <c r="B45" s="60" t="s">
        <v>51</v>
      </c>
    </row>
    <row r="46" spans="2:6" ht="26.25" customHeight="1">
      <c r="B46" s="25" t="s">
        <v>14</v>
      </c>
      <c r="C46" s="23" t="s">
        <v>98</v>
      </c>
      <c r="D46" s="21" t="s">
        <v>25</v>
      </c>
    </row>
    <row r="47" spans="2:6">
      <c r="B47" s="19" t="s">
        <v>24</v>
      </c>
      <c r="C47" s="20"/>
      <c r="D47" s="19"/>
    </row>
    <row r="48" spans="2:6">
      <c r="B48" s="24" t="s">
        <v>88</v>
      </c>
      <c r="C48" s="54">
        <f>414156094/10^5</f>
        <v>4141.5609400000003</v>
      </c>
      <c r="D48" s="54">
        <f>C48*100%</f>
        <v>4141.5609400000003</v>
      </c>
    </row>
    <row r="49" spans="1:4">
      <c r="B49" s="24" t="s">
        <v>87</v>
      </c>
      <c r="C49" s="54">
        <f>8030280.8/10^5</f>
        <v>80.302807999999999</v>
      </c>
      <c r="D49" s="54">
        <f>C49*90%</f>
        <v>72.272527199999999</v>
      </c>
    </row>
    <row r="50" spans="1:4">
      <c r="B50" s="24" t="s">
        <v>89</v>
      </c>
      <c r="C50" s="54">
        <f>2175401.12/10^5</f>
        <v>21.754011200000001</v>
      </c>
      <c r="D50" s="54">
        <f>+C50*0.5</f>
        <v>10.8770056</v>
      </c>
    </row>
    <row r="51" spans="1:4">
      <c r="A51" t="s">
        <v>90</v>
      </c>
      <c r="B51" s="24" t="s">
        <v>91</v>
      </c>
      <c r="C51" s="54">
        <f>1892680.31/10^5</f>
        <v>18.926803100000001</v>
      </c>
      <c r="D51" s="54">
        <f>+C51*0.25</f>
        <v>4.7317007750000002</v>
      </c>
    </row>
    <row r="52" spans="1:4">
      <c r="B52" s="24" t="s">
        <v>92</v>
      </c>
      <c r="C52" s="54">
        <f>1492067/10^5</f>
        <v>14.920669999999999</v>
      </c>
      <c r="D52" s="54">
        <f>C52*0</f>
        <v>0</v>
      </c>
    </row>
    <row r="53" spans="1:4">
      <c r="B53" s="55" t="s">
        <v>26</v>
      </c>
      <c r="C53" s="56">
        <f>SUM(C48:C52)</f>
        <v>4277.4652323000009</v>
      </c>
      <c r="D53" s="56">
        <f>SUM(D48:D52)</f>
        <v>4229.4421735750002</v>
      </c>
    </row>
    <row r="55" spans="1:4">
      <c r="B55" s="59" t="s">
        <v>97</v>
      </c>
    </row>
    <row r="56" spans="1:4" ht="27" customHeight="1">
      <c r="B56" s="25" t="s">
        <v>14</v>
      </c>
      <c r="C56" s="23" t="s">
        <v>98</v>
      </c>
      <c r="D56" s="21" t="s">
        <v>25</v>
      </c>
    </row>
    <row r="57" spans="1:4">
      <c r="B57" s="19" t="s">
        <v>99</v>
      </c>
      <c r="C57" s="19">
        <v>11.25</v>
      </c>
      <c r="D57" s="19">
        <f>+C57*100%</f>
        <v>11.25</v>
      </c>
    </row>
    <row r="58" spans="1:4">
      <c r="B58" s="19" t="s">
        <v>100</v>
      </c>
      <c r="C58" s="19">
        <v>94.78</v>
      </c>
      <c r="D58" s="19">
        <f>+C58*100%</f>
        <v>94.78</v>
      </c>
    </row>
    <row r="59" spans="1:4">
      <c r="B59" s="19" t="s">
        <v>101</v>
      </c>
      <c r="C59" s="19">
        <v>179.36</v>
      </c>
      <c r="D59" s="19">
        <f>+C59*100%</f>
        <v>179.36</v>
      </c>
    </row>
    <row r="60" spans="1:4">
      <c r="B60" s="19" t="s">
        <v>102</v>
      </c>
      <c r="C60" s="19">
        <v>41.65</v>
      </c>
      <c r="D60" s="19">
        <f>+C60*100%</f>
        <v>41.65</v>
      </c>
    </row>
    <row r="61" spans="1:4">
      <c r="B61" s="19" t="s">
        <v>103</v>
      </c>
      <c r="C61" s="19">
        <v>3.36</v>
      </c>
      <c r="D61" s="19">
        <f>+C61</f>
        <v>3.36</v>
      </c>
    </row>
    <row r="62" spans="1:4">
      <c r="B62" s="19" t="s">
        <v>104</v>
      </c>
      <c r="C62" s="19">
        <v>107.11</v>
      </c>
      <c r="D62" s="19">
        <f>+C62*100%</f>
        <v>107.11</v>
      </c>
    </row>
    <row r="63" spans="1:4">
      <c r="B63" s="61" t="s">
        <v>107</v>
      </c>
      <c r="C63" s="61">
        <f>SUM(C57:C62)</f>
        <v>437.51</v>
      </c>
      <c r="D63" s="61">
        <f>SUM(D57:D62)</f>
        <v>437.51</v>
      </c>
    </row>
    <row r="65" spans="2:12" ht="30">
      <c r="B65" s="25" t="s">
        <v>14</v>
      </c>
      <c r="C65" s="23" t="s">
        <v>98</v>
      </c>
      <c r="D65" s="21" t="s">
        <v>25</v>
      </c>
      <c r="G65" s="66" t="s">
        <v>14</v>
      </c>
      <c r="H65" s="66" t="s">
        <v>108</v>
      </c>
      <c r="I65" s="66" t="s">
        <v>109</v>
      </c>
      <c r="J65" s="67" t="s">
        <v>126</v>
      </c>
      <c r="K65" s="67" t="s">
        <v>127</v>
      </c>
      <c r="L65" s="66" t="s">
        <v>110</v>
      </c>
    </row>
    <row r="66" spans="2:12" ht="30">
      <c r="B66" s="19" t="s">
        <v>128</v>
      </c>
      <c r="C66" s="20"/>
      <c r="D66" s="19"/>
      <c r="G66" s="62" t="s">
        <v>111</v>
      </c>
      <c r="H66" s="63">
        <v>35000</v>
      </c>
      <c r="I66" s="64"/>
      <c r="J66" s="64">
        <v>35000</v>
      </c>
      <c r="K66" s="64"/>
      <c r="L66" s="64"/>
    </row>
    <row r="67" spans="2:12">
      <c r="B67" s="24" t="s">
        <v>88</v>
      </c>
      <c r="C67" s="54">
        <f>414156094/10^5</f>
        <v>4141.5609400000003</v>
      </c>
      <c r="D67" s="54">
        <f>C67*100%</f>
        <v>4141.5609400000003</v>
      </c>
      <c r="G67" s="62" t="s">
        <v>112</v>
      </c>
      <c r="H67" s="65">
        <v>570200</v>
      </c>
      <c r="I67" s="64">
        <v>214200</v>
      </c>
      <c r="J67" s="64"/>
      <c r="K67" s="64">
        <v>356000</v>
      </c>
      <c r="L67" s="64"/>
    </row>
    <row r="68" spans="2:12" ht="30">
      <c r="B68" s="24" t="s">
        <v>87</v>
      </c>
      <c r="C68" s="54">
        <f>8030280.8/10^5</f>
        <v>80.302807999999999</v>
      </c>
      <c r="D68" s="54">
        <f>C68*90%</f>
        <v>72.272527199999999</v>
      </c>
      <c r="G68" s="62" t="s">
        <v>113</v>
      </c>
      <c r="H68" s="64">
        <v>884</v>
      </c>
      <c r="I68" s="64">
        <v>884</v>
      </c>
      <c r="J68" s="64"/>
      <c r="K68" s="64"/>
      <c r="L68" s="64"/>
    </row>
    <row r="69" spans="2:12">
      <c r="B69" s="24" t="s">
        <v>89</v>
      </c>
      <c r="C69" s="54">
        <f>2175401.12/10^5</f>
        <v>21.754011200000001</v>
      </c>
      <c r="D69" s="54">
        <f>+C69*0.5</f>
        <v>10.8770056</v>
      </c>
      <c r="G69" s="62" t="s">
        <v>114</v>
      </c>
      <c r="H69" s="65">
        <v>140000</v>
      </c>
      <c r="I69" s="64">
        <v>140000</v>
      </c>
      <c r="J69" s="64"/>
      <c r="K69" s="64"/>
      <c r="L69" s="64"/>
    </row>
    <row r="70" spans="2:12" ht="30">
      <c r="B70" s="24" t="s">
        <v>91</v>
      </c>
      <c r="C70" s="54">
        <f>1892680.31/10^5</f>
        <v>18.926803100000001</v>
      </c>
      <c r="D70" s="54">
        <f>+C70*0.25</f>
        <v>4.7317007750000002</v>
      </c>
      <c r="G70" s="62" t="s">
        <v>115</v>
      </c>
      <c r="H70" s="64">
        <v>67</v>
      </c>
      <c r="I70" s="64">
        <v>67</v>
      </c>
      <c r="J70" s="64"/>
      <c r="K70" s="64"/>
      <c r="L70" s="64"/>
    </row>
    <row r="71" spans="2:12" ht="30">
      <c r="B71" s="24" t="s">
        <v>92</v>
      </c>
      <c r="C71" s="54">
        <f>1492067/10^5</f>
        <v>14.920669999999999</v>
      </c>
      <c r="D71" s="54">
        <f>C71*0</f>
        <v>0</v>
      </c>
      <c r="G71" s="62" t="s">
        <v>116</v>
      </c>
      <c r="H71" s="64">
        <v>738</v>
      </c>
      <c r="I71" s="64">
        <v>738</v>
      </c>
      <c r="J71" s="64"/>
      <c r="K71" s="64"/>
      <c r="L71" s="64"/>
    </row>
    <row r="72" spans="2:12" ht="45">
      <c r="B72" s="55" t="s">
        <v>26</v>
      </c>
      <c r="C72" s="56">
        <f>SUM(C67:C71)</f>
        <v>4277.4652323000009</v>
      </c>
      <c r="D72" s="56">
        <f>SUM(D67:D71)</f>
        <v>4229.4421735750002</v>
      </c>
      <c r="G72" s="62" t="s">
        <v>117</v>
      </c>
      <c r="H72" s="65">
        <v>151488</v>
      </c>
      <c r="I72" s="64"/>
      <c r="J72" s="64"/>
      <c r="K72" s="64"/>
      <c r="L72" s="64">
        <v>151488</v>
      </c>
    </row>
    <row r="73" spans="2:12">
      <c r="G73" s="62" t="s">
        <v>118</v>
      </c>
      <c r="H73" s="63">
        <v>38948</v>
      </c>
      <c r="I73" s="64">
        <v>38948</v>
      </c>
      <c r="J73" s="64"/>
      <c r="K73" s="64"/>
      <c r="L73" s="64"/>
    </row>
    <row r="74" spans="2:12" ht="30">
      <c r="G74" s="62" t="s">
        <v>119</v>
      </c>
      <c r="H74" s="65">
        <v>1490156.65</v>
      </c>
      <c r="I74" s="64">
        <v>1490156</v>
      </c>
      <c r="J74" s="64"/>
      <c r="K74" s="64"/>
      <c r="L74" s="64"/>
    </row>
    <row r="75" spans="2:12" ht="30">
      <c r="G75" s="62" t="s">
        <v>120</v>
      </c>
      <c r="H75" s="65">
        <v>318559</v>
      </c>
      <c r="I75" s="64">
        <v>318559</v>
      </c>
      <c r="J75" s="64"/>
      <c r="K75" s="64"/>
      <c r="L75" s="64"/>
    </row>
    <row r="76" spans="2:12" ht="30">
      <c r="G76" s="62" t="s">
        <v>121</v>
      </c>
      <c r="H76" s="63">
        <v>6873</v>
      </c>
      <c r="I76" s="64">
        <v>6873</v>
      </c>
      <c r="J76" s="64"/>
      <c r="K76" s="64"/>
      <c r="L76" s="64"/>
    </row>
    <row r="77" spans="2:12" ht="30">
      <c r="G77" s="62" t="s">
        <v>122</v>
      </c>
      <c r="H77" s="65">
        <v>1216954</v>
      </c>
      <c r="I77" s="64">
        <v>1216954</v>
      </c>
      <c r="J77" s="64"/>
      <c r="K77" s="64"/>
      <c r="L77" s="64"/>
    </row>
    <row r="78" spans="2:12" ht="30">
      <c r="G78" s="62" t="s">
        <v>123</v>
      </c>
      <c r="H78" s="64">
        <v>90</v>
      </c>
      <c r="I78" s="64">
        <v>90</v>
      </c>
      <c r="J78" s="64"/>
      <c r="K78" s="64"/>
      <c r="L78" s="64"/>
    </row>
    <row r="79" spans="2:12">
      <c r="G79" s="62" t="s">
        <v>124</v>
      </c>
      <c r="H79" s="65">
        <v>194615</v>
      </c>
      <c r="I79" s="64">
        <f>+H79</f>
        <v>194615</v>
      </c>
      <c r="J79" s="64"/>
      <c r="K79" s="64"/>
      <c r="L79" s="64"/>
    </row>
    <row r="80" spans="2:12">
      <c r="G80" s="68" t="s">
        <v>125</v>
      </c>
      <c r="H80" s="69">
        <f>SUM(H66:H79)</f>
        <v>4164572.65</v>
      </c>
      <c r="I80" s="69">
        <f>SUM(I66:I79)</f>
        <v>3622084</v>
      </c>
      <c r="J80" s="69">
        <f t="shared" ref="J80:L80" si="6">SUM(J66:J79)</f>
        <v>35000</v>
      </c>
      <c r="K80" s="69">
        <f t="shared" si="6"/>
        <v>356000</v>
      </c>
      <c r="L80" s="69">
        <f t="shared" si="6"/>
        <v>151488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21D6-3C03-472F-9A4E-A250B798BBEF}">
  <dimension ref="C6:C21"/>
  <sheetViews>
    <sheetView workbookViewId="0">
      <selection activeCell="C6" sqref="C6:C21"/>
    </sheetView>
  </sheetViews>
  <sheetFormatPr defaultRowHeight="15"/>
  <sheetData>
    <row r="6" spans="3:3">
      <c r="C6" t="s">
        <v>129</v>
      </c>
    </row>
    <row r="7" spans="3:3">
      <c r="C7" t="s">
        <v>130</v>
      </c>
    </row>
    <row r="8" spans="3:3">
      <c r="C8" t="s">
        <v>131</v>
      </c>
    </row>
    <row r="9" spans="3:3">
      <c r="C9" t="s">
        <v>132</v>
      </c>
    </row>
    <row r="10" spans="3:3">
      <c r="C10" t="s">
        <v>133</v>
      </c>
    </row>
    <row r="11" spans="3:3">
      <c r="C11" t="s">
        <v>134</v>
      </c>
    </row>
    <row r="12" spans="3:3">
      <c r="C12" t="s">
        <v>135</v>
      </c>
    </row>
    <row r="13" spans="3:3">
      <c r="C13" t="s">
        <v>136</v>
      </c>
    </row>
    <row r="14" spans="3:3">
      <c r="C14" t="s">
        <v>137</v>
      </c>
    </row>
    <row r="15" spans="3:3">
      <c r="C15" t="s">
        <v>138</v>
      </c>
    </row>
    <row r="16" spans="3:3">
      <c r="C16" t="s">
        <v>139</v>
      </c>
    </row>
    <row r="17" spans="3:3">
      <c r="C17" t="s">
        <v>140</v>
      </c>
    </row>
    <row r="18" spans="3:3">
      <c r="C18" t="s">
        <v>141</v>
      </c>
    </row>
    <row r="19" spans="3:3">
      <c r="C19" t="s">
        <v>142</v>
      </c>
    </row>
    <row r="20" spans="3:3">
      <c r="C20" t="s">
        <v>143</v>
      </c>
    </row>
    <row r="21" spans="3:3">
      <c r="C2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7"/>
  <sheetViews>
    <sheetView topLeftCell="A16" zoomScale="106" zoomScaleNormal="106" workbookViewId="0">
      <selection activeCell="C25" sqref="C25"/>
    </sheetView>
  </sheetViews>
  <sheetFormatPr defaultRowHeight="15"/>
  <cols>
    <col min="2" max="2" width="29.28515625" bestFit="1" customWidth="1"/>
    <col min="3" max="3" width="20.42578125" customWidth="1"/>
    <col min="6" max="6" width="30.7109375" customWidth="1"/>
    <col min="7" max="7" width="24.28515625" customWidth="1"/>
  </cols>
  <sheetData>
    <row r="3" spans="2:7" ht="15.75">
      <c r="B3" s="72" t="s">
        <v>42</v>
      </c>
      <c r="C3" s="72"/>
      <c r="F3" s="72" t="s">
        <v>43</v>
      </c>
      <c r="G3" s="72"/>
    </row>
    <row r="4" spans="2:7">
      <c r="G4" s="44" t="s">
        <v>47</v>
      </c>
    </row>
    <row r="5" spans="2:7" ht="35.25" customHeight="1">
      <c r="B5" s="38" t="s">
        <v>0</v>
      </c>
      <c r="C5" s="39" t="s">
        <v>84</v>
      </c>
      <c r="F5" s="38" t="s">
        <v>0</v>
      </c>
      <c r="G5" s="39" t="s">
        <v>30</v>
      </c>
    </row>
    <row r="6" spans="2:7">
      <c r="B6" s="1" t="s">
        <v>1</v>
      </c>
      <c r="F6" s="1" t="s">
        <v>44</v>
      </c>
    </row>
    <row r="7" spans="2:7">
      <c r="B7" t="s">
        <v>31</v>
      </c>
      <c r="C7" s="26">
        <v>13997563</v>
      </c>
      <c r="F7" t="s">
        <v>45</v>
      </c>
      <c r="G7" s="41">
        <v>5.63</v>
      </c>
    </row>
    <row r="8" spans="2:7">
      <c r="C8" s="17"/>
      <c r="F8" t="s">
        <v>46</v>
      </c>
      <c r="G8" s="41">
        <v>352.12</v>
      </c>
    </row>
    <row r="9" spans="2:7">
      <c r="B9" s="1" t="s">
        <v>2</v>
      </c>
      <c r="C9" s="17"/>
      <c r="F9" t="s">
        <v>39</v>
      </c>
      <c r="G9" s="41">
        <v>0.52</v>
      </c>
    </row>
    <row r="10" spans="2:7">
      <c r="B10" t="s">
        <v>10</v>
      </c>
      <c r="C10" s="26">
        <v>417294</v>
      </c>
      <c r="F10" t="s">
        <v>48</v>
      </c>
      <c r="G10" s="41">
        <v>0.02</v>
      </c>
    </row>
    <row r="11" spans="2:7">
      <c r="B11" t="s">
        <v>32</v>
      </c>
      <c r="C11" s="17"/>
      <c r="F11" s="36" t="s">
        <v>55</v>
      </c>
      <c r="G11" s="37">
        <f>SUM(G7:G10)</f>
        <v>358.28999999999996</v>
      </c>
    </row>
    <row r="12" spans="2:7">
      <c r="B12" s="36" t="s">
        <v>4</v>
      </c>
      <c r="C12" s="53">
        <f>SUM(C7:C11)</f>
        <v>14414857</v>
      </c>
    </row>
    <row r="13" spans="2:7">
      <c r="C13" s="26"/>
      <c r="F13" s="1" t="s">
        <v>49</v>
      </c>
    </row>
    <row r="14" spans="2:7">
      <c r="B14" s="1" t="s">
        <v>5</v>
      </c>
      <c r="C14" s="26"/>
      <c r="F14" t="s">
        <v>50</v>
      </c>
      <c r="G14" s="41">
        <v>12.95</v>
      </c>
    </row>
    <row r="15" spans="2:7">
      <c r="B15" s="1" t="s">
        <v>7</v>
      </c>
      <c r="C15" s="26"/>
      <c r="F15" t="s">
        <v>51</v>
      </c>
      <c r="G15" s="41">
        <v>1.47</v>
      </c>
    </row>
    <row r="16" spans="2:7">
      <c r="B16" t="s">
        <v>6</v>
      </c>
      <c r="C16" s="26"/>
      <c r="F16" t="s">
        <v>52</v>
      </c>
      <c r="G16" s="41">
        <v>470</v>
      </c>
    </row>
    <row r="17" spans="2:7">
      <c r="B17" t="s">
        <v>8</v>
      </c>
      <c r="C17" s="26">
        <v>11800</v>
      </c>
      <c r="F17" t="s">
        <v>53</v>
      </c>
      <c r="G17" s="41">
        <v>152.22</v>
      </c>
    </row>
    <row r="18" spans="2:7">
      <c r="B18" t="s">
        <v>33</v>
      </c>
      <c r="C18" s="26"/>
      <c r="F18" t="s">
        <v>54</v>
      </c>
      <c r="G18" s="41">
        <v>14.91</v>
      </c>
    </row>
    <row r="19" spans="2:7">
      <c r="B19" s="36" t="s">
        <v>9</v>
      </c>
      <c r="C19" s="53">
        <f>SUM(C14:C18)</f>
        <v>11800</v>
      </c>
      <c r="F19" s="36" t="s">
        <v>56</v>
      </c>
      <c r="G19" s="37">
        <f>SUM(G14:G18)</f>
        <v>651.54999999999995</v>
      </c>
    </row>
    <row r="20" spans="2:7">
      <c r="C20" s="2"/>
      <c r="F20" s="36" t="s">
        <v>4</v>
      </c>
      <c r="G20" s="37">
        <f>+G19+G11</f>
        <v>1009.8399999999999</v>
      </c>
    </row>
    <row r="21" spans="2:7">
      <c r="C21" s="2"/>
    </row>
    <row r="22" spans="2:7">
      <c r="B22" t="s">
        <v>65</v>
      </c>
      <c r="C22" s="2">
        <f>+C12-C19</f>
        <v>14403057</v>
      </c>
      <c r="F22" s="1" t="s">
        <v>5</v>
      </c>
    </row>
    <row r="23" spans="2:7">
      <c r="B23" t="s">
        <v>66</v>
      </c>
      <c r="C23" s="52">
        <f>50000/611000</f>
        <v>8.1833060556464818E-2</v>
      </c>
      <c r="F23" s="1" t="s">
        <v>6</v>
      </c>
    </row>
    <row r="24" spans="2:7">
      <c r="B24" s="3" t="s">
        <v>34</v>
      </c>
      <c r="C24" s="4">
        <f>+C22*C23</f>
        <v>1178646.2356792146</v>
      </c>
      <c r="F24" t="s">
        <v>57</v>
      </c>
      <c r="G24" s="41">
        <v>0.33</v>
      </c>
    </row>
    <row r="25" spans="2:7">
      <c r="B25" s="1" t="s">
        <v>83</v>
      </c>
      <c r="C25" s="42">
        <f>+(C24)/10^5</f>
        <v>11.786462356792146</v>
      </c>
      <c r="F25" t="s">
        <v>58</v>
      </c>
      <c r="G25" s="41">
        <v>7.21</v>
      </c>
    </row>
    <row r="26" spans="2:7">
      <c r="F26" s="36" t="s">
        <v>59</v>
      </c>
      <c r="G26" s="45">
        <f>SUM(G24:G25)</f>
        <v>7.54</v>
      </c>
    </row>
    <row r="27" spans="2:7">
      <c r="G27" s="41"/>
    </row>
    <row r="28" spans="2:7">
      <c r="F28" s="1" t="s">
        <v>60</v>
      </c>
      <c r="G28" s="41"/>
    </row>
    <row r="29" spans="2:7">
      <c r="F29" t="s">
        <v>61</v>
      </c>
      <c r="G29" s="41">
        <v>31.52</v>
      </c>
    </row>
    <row r="30" spans="2:7">
      <c r="F30" t="s">
        <v>62</v>
      </c>
      <c r="G30" s="41">
        <v>17.399999999999999</v>
      </c>
    </row>
    <row r="31" spans="2:7">
      <c r="B31" t="s">
        <v>86</v>
      </c>
      <c r="C31" s="5">
        <f>+C25+G37</f>
        <v>19.471212214245739</v>
      </c>
      <c r="F31" t="s">
        <v>63</v>
      </c>
      <c r="G31" s="41">
        <v>3.26</v>
      </c>
    </row>
    <row r="32" spans="2:7">
      <c r="F32" s="36" t="s">
        <v>64</v>
      </c>
      <c r="G32" s="45">
        <f>SUM(G29:G31)</f>
        <v>52.18</v>
      </c>
    </row>
    <row r="33" spans="6:8">
      <c r="F33" s="33" t="s">
        <v>9</v>
      </c>
      <c r="G33" s="46">
        <f>+G32+G26</f>
        <v>59.72</v>
      </c>
    </row>
    <row r="35" spans="6:8">
      <c r="F35" t="s">
        <v>67</v>
      </c>
      <c r="G35" s="2">
        <f>+G20-G33</f>
        <v>950.11999999999989</v>
      </c>
    </row>
    <row r="36" spans="6:8">
      <c r="F36" t="s">
        <v>66</v>
      </c>
      <c r="G36" s="51">
        <f>38300/4735300</f>
        <v>8.0881887103245835E-3</v>
      </c>
      <c r="H36" t="s">
        <v>85</v>
      </c>
    </row>
    <row r="37" spans="6:8">
      <c r="F37" s="3" t="s">
        <v>34</v>
      </c>
      <c r="G37" s="4">
        <f>+G35*G36</f>
        <v>7.6847498574535926</v>
      </c>
    </row>
  </sheetData>
  <mergeCells count="2">
    <mergeCell ref="B3:C3"/>
    <mergeCell ref="F3:G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Historical Performance</vt:lpstr>
      <vt:lpstr>Indus Tubes</vt:lpstr>
      <vt:lpstr>Sheet1</vt:lpstr>
      <vt:lpstr>Investment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shahi</dc:creator>
  <cp:lastModifiedBy>Rachit</cp:lastModifiedBy>
  <dcterms:created xsi:type="dcterms:W3CDTF">2021-03-26T04:52:18Z</dcterms:created>
  <dcterms:modified xsi:type="dcterms:W3CDTF">2024-09-17T08:55:42Z</dcterms:modified>
</cp:coreProperties>
</file>