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hirag\Desktop\Vayu Suites Project Report\"/>
    </mc:Choice>
  </mc:AlternateContent>
  <bookViews>
    <workbookView xWindow="0" yWindow="0" windowWidth="20730" windowHeight="9735" tabRatio="897"/>
  </bookViews>
  <sheets>
    <sheet name="COP" sheetId="3" r:id="rId1"/>
    <sheet name="TL Cal" sheetId="25" r:id="rId2"/>
    <sheet name="PROPOSED LAND DETAILS" sheetId="4" r:id="rId3"/>
    <sheet name="PROPOSED CONSTRUCTION DETAILS" sheetId="5" r:id="rId4"/>
    <sheet name="PROPOSED FURNITURE" sheetId="7" r:id="rId5"/>
    <sheet name="PROPOSED P&amp;M" sheetId="13" r:id="rId6"/>
    <sheet name="PROJECT IMPLEMENTAION SCHEDULE" sheetId="9" r:id="rId7"/>
    <sheet name="MANPOWER PLANNING" sheetId="10" r:id="rId8"/>
    <sheet name="PROJECTED PL &amp; BS" sheetId="15" r:id="rId9"/>
    <sheet name="Depreciation" sheetId="16" r:id="rId10"/>
    <sheet name="Repayment Schedule" sheetId="18" r:id="rId11"/>
    <sheet name="DSCR" sheetId="17" r:id="rId12"/>
  </sheets>
  <definedNames>
    <definedName name="_imp2">#REF!</definedName>
    <definedName name="_Regression_Int">1</definedName>
    <definedName name="_Regression_Int_1">1</definedName>
    <definedName name="_Regression_Int_2">1</definedName>
    <definedName name="_Regression_Int_3">1</definedName>
    <definedName name="_Regression_Int_4">1</definedName>
    <definedName name="_Regression_Int_5">1</definedName>
    <definedName name="A">#REF!</definedName>
    <definedName name="A_1">#REF!</definedName>
    <definedName name="A_2">#REF!</definedName>
    <definedName name="A_3">#REF!</definedName>
    <definedName name="A_4">#REF!</definedName>
    <definedName name="A_5">#REF!</definedName>
    <definedName name="A_6">#REF!</definedName>
    <definedName name="Beg_Bal">#REF!</definedName>
    <definedName name="Data">#REF!</definedName>
    <definedName name="End_Bal">#REF!</definedName>
    <definedName name="Excel_BuiltIn_Print_Area_1">#REF!</definedName>
    <definedName name="Excel_BuiltIn_Print_Area_2">#REF!</definedName>
    <definedName name="Excel_BuiltIn_Print_Area_3">#REF!</definedName>
    <definedName name="Excel_BuiltIn_Print_Area_4">#REF!</definedName>
    <definedName name="Excel_BuiltIn_Print_Area_5">#REF!</definedName>
    <definedName name="Excel_BuiltIn_Print_Area_7">#REF!</definedName>
    <definedName name="Excel_BuiltIn_Print_Area_8">#REF!</definedName>
    <definedName name="Excel_BuiltIn_Print_Titles">#REF!</definedName>
    <definedName name="Excel_BuiltIn_Print_Titles_1">#REF!</definedName>
    <definedName name="Excel_BuiltIn_Print_Titles_1_1">#REF!</definedName>
    <definedName name="Excel_BuiltIn_Print_Titles_2">#REF!</definedName>
    <definedName name="Excel_BuiltIn_Print_Titles_4">#REF!</definedName>
    <definedName name="Excel_BuiltIn_Print_Titles_5">#REF!</definedName>
    <definedName name="Extra_Pay">#REF!</definedName>
    <definedName name="Full_Print">#REF!</definedName>
    <definedName name="Header_Row">ROW(#REF!)</definedName>
    <definedName name="INT">#REF!</definedName>
    <definedName name="Interest_Rate">#REF!</definedName>
    <definedName name="Last_Row">IF([0]!Values_Entered,Header_Row+[0]!Number_of_Payments,Header_Row)</definedName>
    <definedName name="Loan_Amount">#REF!</definedName>
    <definedName name="Loan_Months">#REF!</definedName>
    <definedName name="Loan_Start">#REF!</definedName>
    <definedName name="Loan_Years">#REF!</definedName>
    <definedName name="Moratorium_Period">#REF!</definedName>
    <definedName name="Number_of_Payments">MATCH(0.01,End_Bal,-1)+1</definedName>
    <definedName name="Pay_Date">#REF!</definedName>
    <definedName name="Pay_Num">#REF!</definedName>
    <definedName name="Payment_Date">DATE(YEAR(Loan_Start),MONTH(Loan_Start)+Payment_Number,DAY(Loan_Start))</definedName>
    <definedName name="Princ">#REF!</definedName>
    <definedName name="Print_Area_MI">#REF!</definedName>
    <definedName name="Print_Area_MI_1">#REF!</definedName>
    <definedName name="Print_Area_MI_2">#REF!</definedName>
    <definedName name="Print_Area_MI_3">#REF!</definedName>
    <definedName name="Print_Area_MI_4">#REF!</definedName>
    <definedName name="Print_Area_MI_5">#REF!</definedName>
    <definedName name="Print_Area_Reset">OFFSET(Full_Print,0,0,Last_Row)</definedName>
    <definedName name="Print_Titles_MI">#REF!</definedName>
    <definedName name="Print_Titles_MI_1">#REF!</definedName>
    <definedName name="Print_Titles_MI_2">#REF!</definedName>
    <definedName name="Print_Titles_MI_3">#REF!</definedName>
    <definedName name="Print_Titles_MI_4">#REF!</definedName>
    <definedName name="Print_Titles_MI_5">#REF!</definedName>
    <definedName name="q">#REF!</definedName>
    <definedName name="res">#REF!</definedName>
    <definedName name="Sched_Pay">#REF!</definedName>
    <definedName name="Scheduled_Extra_Payments">#REF!</definedName>
    <definedName name="Scheduled_Interest_Rate">#REF!</definedName>
    <definedName name="Scheduled_Monthly_Payment">#REF!</definedName>
    <definedName name="Total_Interest">#REF!</definedName>
    <definedName name="Total_Pay">#REF!</definedName>
    <definedName name="Total_Payment">Scheduled_Payment+Extra_Payment</definedName>
    <definedName name="Values_Entered">IF(Loan_Amount*Interest_Rate*Loan_Years*Loan_Start&gt;0,1,0)</definedName>
  </definedNames>
  <calcPr calcId="152511"/>
</workbook>
</file>

<file path=xl/calcChain.xml><?xml version="1.0" encoding="utf-8"?>
<calcChain xmlns="http://schemas.openxmlformats.org/spreadsheetml/2006/main">
  <c r="D8" i="25" l="1"/>
  <c r="E8" i="25"/>
  <c r="E20" i="5"/>
  <c r="C10" i="25"/>
  <c r="C9" i="25"/>
  <c r="C8" i="25"/>
  <c r="C11" i="3"/>
  <c r="C10" i="3"/>
  <c r="C9" i="3"/>
  <c r="E8" i="15" l="1"/>
  <c r="D8" i="15"/>
  <c r="B36" i="17"/>
  <c r="B35" i="17"/>
  <c r="C45" i="15"/>
  <c r="L156" i="18"/>
  <c r="E12" i="7"/>
  <c r="E22" i="13" l="1"/>
  <c r="E8" i="5"/>
  <c r="E13" i="5"/>
  <c r="E12" i="5"/>
  <c r="E11" i="5"/>
  <c r="E10" i="5"/>
  <c r="E9" i="5"/>
  <c r="M163" i="15"/>
  <c r="M165" i="15" s="1"/>
  <c r="M145" i="15"/>
  <c r="L35" i="17"/>
  <c r="L11" i="17"/>
  <c r="L21" i="17"/>
  <c r="N44" i="16"/>
  <c r="L158" i="18"/>
  <c r="L36" i="17" s="1"/>
  <c r="K156" i="18"/>
  <c r="E18" i="5" l="1"/>
  <c r="E19" i="5" s="1"/>
  <c r="L33" i="17"/>
  <c r="K11" i="17"/>
  <c r="J11" i="17"/>
  <c r="K35" i="17"/>
  <c r="J35" i="17"/>
  <c r="K21" i="17"/>
  <c r="J21" i="17"/>
  <c r="D235" i="15"/>
  <c r="C235" i="15"/>
  <c r="F234" i="15"/>
  <c r="L145" i="15"/>
  <c r="L163" i="15"/>
  <c r="L165" i="15" s="1"/>
  <c r="M44" i="16"/>
  <c r="L44" i="16"/>
  <c r="C155" i="18"/>
  <c r="J158" i="18"/>
  <c r="J36" i="17" s="1"/>
  <c r="K158" i="18"/>
  <c r="K36" i="17" s="1"/>
  <c r="J156" i="18"/>
  <c r="I158" i="18" s="1"/>
  <c r="I156" i="18"/>
  <c r="E18" i="13"/>
  <c r="I21" i="17"/>
  <c r="H21" i="17"/>
  <c r="G21" i="17"/>
  <c r="F21" i="17"/>
  <c r="E21" i="17"/>
  <c r="D21" i="17"/>
  <c r="C21" i="17"/>
  <c r="B21" i="17"/>
  <c r="I35" i="17"/>
  <c r="H35" i="17"/>
  <c r="G35" i="17"/>
  <c r="F35" i="17"/>
  <c r="E35" i="17"/>
  <c r="D35" i="17"/>
  <c r="C35" i="17"/>
  <c r="B155" i="18"/>
  <c r="B157" i="18" s="1"/>
  <c r="B51" i="17" s="1"/>
  <c r="E235" i="15" l="1"/>
  <c r="K33" i="17"/>
  <c r="J33" i="17"/>
  <c r="G234" i="15"/>
  <c r="D8" i="4"/>
  <c r="C8" i="3" s="1"/>
  <c r="I11" i="17"/>
  <c r="H11" i="17"/>
  <c r="K145" i="15"/>
  <c r="J145" i="15"/>
  <c r="I145" i="15"/>
  <c r="K163" i="15"/>
  <c r="K165" i="15" s="1"/>
  <c r="J163" i="15"/>
  <c r="J165" i="15" s="1"/>
  <c r="I163" i="15"/>
  <c r="I165" i="15" s="1"/>
  <c r="A39" i="15"/>
  <c r="K44" i="16"/>
  <c r="J44" i="16"/>
  <c r="H156" i="18"/>
  <c r="G156" i="18"/>
  <c r="C8" i="4"/>
  <c r="H234" i="15" l="1"/>
  <c r="I36" i="17"/>
  <c r="I234" i="15" l="1"/>
  <c r="I33" i="17"/>
  <c r="J234" i="15" l="1"/>
  <c r="E28" i="10"/>
  <c r="E27" i="10"/>
  <c r="E26" i="10"/>
  <c r="E25" i="10"/>
  <c r="E24" i="10"/>
  <c r="E21" i="10"/>
  <c r="E20" i="10"/>
  <c r="E19" i="10"/>
  <c r="E18" i="10"/>
  <c r="E17" i="10"/>
  <c r="E16" i="10"/>
  <c r="E13" i="10"/>
  <c r="E12" i="10"/>
  <c r="E11" i="10"/>
  <c r="E10" i="10"/>
  <c r="E10" i="25"/>
  <c r="F10" i="25" s="1"/>
  <c r="E9" i="25"/>
  <c r="F9" i="25" s="1"/>
  <c r="K234" i="15" l="1"/>
  <c r="G11" i="17"/>
  <c r="I44" i="16"/>
  <c r="H163" i="15"/>
  <c r="H165" i="15" s="1"/>
  <c r="H145" i="15"/>
  <c r="L234" i="15" l="1"/>
  <c r="M234" i="15" s="1"/>
  <c r="B155" i="15"/>
  <c r="B179" i="15"/>
  <c r="A6" i="13"/>
  <c r="A6" i="7"/>
  <c r="A5" i="5"/>
  <c r="B10" i="25"/>
  <c r="B9" i="25"/>
  <c r="B8" i="25"/>
  <c r="A4" i="16"/>
  <c r="A3" i="16"/>
  <c r="A2" i="16"/>
  <c r="A4" i="10"/>
  <c r="A3" i="10"/>
  <c r="A2" i="10"/>
  <c r="A4" i="9"/>
  <c r="A3" i="9"/>
  <c r="A2" i="9"/>
  <c r="A4" i="18"/>
  <c r="A3" i="18"/>
  <c r="A2" i="18"/>
  <c r="A4" i="13"/>
  <c r="A3" i="13"/>
  <c r="A2" i="13"/>
  <c r="A4" i="7"/>
  <c r="A3" i="7"/>
  <c r="A2" i="7"/>
  <c r="A4" i="5"/>
  <c r="A3" i="5"/>
  <c r="A2" i="5"/>
  <c r="A4" i="4"/>
  <c r="A3" i="4"/>
  <c r="A2" i="4"/>
  <c r="A1" i="4"/>
  <c r="A4" i="25"/>
  <c r="F11" i="17" l="1"/>
  <c r="G163" i="15" l="1"/>
  <c r="G165" i="15" s="1"/>
  <c r="G145" i="15"/>
  <c r="F156" i="18"/>
  <c r="E156" i="18"/>
  <c r="D156" i="18"/>
  <c r="C156" i="18"/>
  <c r="B156" i="18"/>
  <c r="E19" i="13"/>
  <c r="E21" i="13"/>
  <c r="E20" i="13"/>
  <c r="H44" i="16" l="1"/>
  <c r="D145" i="15"/>
  <c r="D163" i="15"/>
  <c r="D165" i="15" s="1"/>
  <c r="E16" i="13"/>
  <c r="E15" i="13"/>
  <c r="E14" i="13"/>
  <c r="E17" i="13"/>
  <c r="E13" i="13"/>
  <c r="E12" i="13"/>
  <c r="E11" i="13"/>
  <c r="E10" i="13"/>
  <c r="E9" i="13"/>
  <c r="E8" i="13"/>
  <c r="E23" i="13" l="1"/>
  <c r="E24" i="13" s="1"/>
  <c r="F233" i="15"/>
  <c r="G233" i="15" s="1"/>
  <c r="H233" i="15" s="1"/>
  <c r="I233" i="15" s="1"/>
  <c r="J233" i="15" s="1"/>
  <c r="K233" i="15" s="1"/>
  <c r="L233" i="15" s="1"/>
  <c r="M233" i="15" s="1"/>
  <c r="B78" i="15" l="1"/>
  <c r="B237" i="15"/>
  <c r="B218" i="15"/>
  <c r="B117" i="15"/>
  <c r="A1" i="17" l="1"/>
  <c r="E11" i="17"/>
  <c r="F163" i="15"/>
  <c r="F165" i="15" s="1"/>
  <c r="E163" i="15"/>
  <c r="E165" i="15" s="1"/>
  <c r="C163" i="15"/>
  <c r="C165" i="15" s="1"/>
  <c r="F145" i="15"/>
  <c r="E145" i="15"/>
  <c r="D88" i="15"/>
  <c r="E98" i="15" s="1"/>
  <c r="C29" i="10"/>
  <c r="C11" i="25"/>
  <c r="A3" i="25"/>
  <c r="A2" i="25"/>
  <c r="E11" i="7"/>
  <c r="E10" i="7"/>
  <c r="E9" i="7"/>
  <c r="E8" i="7"/>
  <c r="E13" i="7" l="1"/>
  <c r="E14" i="7" s="1"/>
  <c r="G44" i="16"/>
  <c r="D168" i="15"/>
  <c r="A1" i="13"/>
  <c r="A1" i="5"/>
  <c r="A1" i="7"/>
  <c r="A1" i="16"/>
  <c r="A1" i="25"/>
  <c r="C168" i="15"/>
  <c r="E11" i="25"/>
  <c r="A1" i="18"/>
  <c r="C12" i="3" l="1"/>
  <c r="F11" i="25"/>
  <c r="D158" i="18"/>
  <c r="D36" i="17" s="1"/>
  <c r="D33" i="17" s="1"/>
  <c r="C158" i="18"/>
  <c r="C36" i="17" s="1"/>
  <c r="C33" i="17" s="1"/>
  <c r="B158" i="18"/>
  <c r="D11" i="17"/>
  <c r="C11" i="17"/>
  <c r="B11" i="17"/>
  <c r="C88" i="15"/>
  <c r="E97" i="15" s="1"/>
  <c r="E9" i="10"/>
  <c r="E29" i="10" s="1"/>
  <c r="E186" i="15" s="1"/>
  <c r="C145" i="15"/>
  <c r="C19" i="3" l="1"/>
  <c r="C44" i="16"/>
  <c r="F44" i="16"/>
  <c r="E44" i="16"/>
  <c r="D44" i="16"/>
  <c r="F226" i="15"/>
  <c r="G226" i="15" s="1"/>
  <c r="H226" i="15" s="1"/>
  <c r="I226" i="15" s="1"/>
  <c r="J226" i="15" s="1"/>
  <c r="K226" i="15" s="1"/>
  <c r="L226" i="15" s="1"/>
  <c r="M226" i="15" s="1"/>
  <c r="D148" i="15"/>
  <c r="F228" i="15"/>
  <c r="G228" i="15" s="1"/>
  <c r="H228" i="15" s="1"/>
  <c r="I228" i="15" s="1"/>
  <c r="J228" i="15" s="1"/>
  <c r="K228" i="15" s="1"/>
  <c r="L228" i="15" s="1"/>
  <c r="M228" i="15" s="1"/>
  <c r="F232" i="15"/>
  <c r="G232" i="15" s="1"/>
  <c r="H232" i="15" s="1"/>
  <c r="I232" i="15" s="1"/>
  <c r="J232" i="15" s="1"/>
  <c r="K232" i="15" s="1"/>
  <c r="L232" i="15" s="1"/>
  <c r="M232" i="15" s="1"/>
  <c r="F167" i="15"/>
  <c r="E168" i="15"/>
  <c r="F230" i="15"/>
  <c r="G230" i="15" s="1"/>
  <c r="H230" i="15" s="1"/>
  <c r="I230" i="15" s="1"/>
  <c r="J230" i="15" s="1"/>
  <c r="K230" i="15" s="1"/>
  <c r="L230" i="15" s="1"/>
  <c r="M230" i="15" s="1"/>
  <c r="F225" i="15"/>
  <c r="G225" i="15" s="1"/>
  <c r="H225" i="15" s="1"/>
  <c r="I225" i="15" s="1"/>
  <c r="J225" i="15" s="1"/>
  <c r="K225" i="15" s="1"/>
  <c r="L225" i="15" s="1"/>
  <c r="M225" i="15" s="1"/>
  <c r="F229" i="15"/>
  <c r="G229" i="15" s="1"/>
  <c r="H229" i="15" s="1"/>
  <c r="I229" i="15" s="1"/>
  <c r="J229" i="15" s="1"/>
  <c r="K229" i="15" s="1"/>
  <c r="L229" i="15" s="1"/>
  <c r="M229" i="15" s="1"/>
  <c r="F227" i="15"/>
  <c r="G227" i="15" s="1"/>
  <c r="H227" i="15" s="1"/>
  <c r="I227" i="15" s="1"/>
  <c r="J227" i="15" s="1"/>
  <c r="K227" i="15" s="1"/>
  <c r="L227" i="15" s="1"/>
  <c r="M227" i="15" s="1"/>
  <c r="F231" i="15"/>
  <c r="G231" i="15" s="1"/>
  <c r="H231" i="15" s="1"/>
  <c r="I231" i="15" s="1"/>
  <c r="J231" i="15" s="1"/>
  <c r="K231" i="15" s="1"/>
  <c r="L231" i="15" s="1"/>
  <c r="M231" i="15" s="1"/>
  <c r="C148" i="15"/>
  <c r="D127" i="15"/>
  <c r="E136" i="15" s="1"/>
  <c r="C127" i="15"/>
  <c r="E135" i="15" s="1"/>
  <c r="C138" i="15" l="1"/>
  <c r="C170" i="15" s="1"/>
  <c r="F168" i="15"/>
  <c r="G167" i="15"/>
  <c r="C21" i="16"/>
  <c r="F244" i="15"/>
  <c r="G244" i="15" s="1"/>
  <c r="H244" i="15" s="1"/>
  <c r="I244" i="15" s="1"/>
  <c r="J244" i="15" s="1"/>
  <c r="K244" i="15" s="1"/>
  <c r="L244" i="15" s="1"/>
  <c r="M244" i="15" s="1"/>
  <c r="B159" i="18"/>
  <c r="C188" i="15"/>
  <c r="D14" i="15" s="1"/>
  <c r="C28" i="16"/>
  <c r="D6" i="15" l="1"/>
  <c r="G168" i="15"/>
  <c r="H167" i="15"/>
  <c r="D46" i="15"/>
  <c r="B43" i="17" s="1"/>
  <c r="C23" i="16"/>
  <c r="D19" i="16" s="1"/>
  <c r="D21" i="16" s="1"/>
  <c r="F98" i="15"/>
  <c r="G98" i="15" s="1"/>
  <c r="H98" i="15" s="1"/>
  <c r="I98" i="15" s="1"/>
  <c r="J98" i="15" s="1"/>
  <c r="K98" i="15" s="1"/>
  <c r="L98" i="15" s="1"/>
  <c r="M98" i="15" s="1"/>
  <c r="F136" i="15"/>
  <c r="G136" i="15" s="1"/>
  <c r="H136" i="15" s="1"/>
  <c r="I136" i="15" s="1"/>
  <c r="J136" i="15" s="1"/>
  <c r="K136" i="15" s="1"/>
  <c r="L136" i="15" s="1"/>
  <c r="M136" i="15" s="1"/>
  <c r="E148" i="15"/>
  <c r="F147" i="15"/>
  <c r="C157" i="18"/>
  <c r="D188" i="15"/>
  <c r="E14" i="15" s="1"/>
  <c r="C30" i="16"/>
  <c r="D26" i="16" s="1"/>
  <c r="D28" i="16" s="1"/>
  <c r="C159" i="18" l="1"/>
  <c r="C51" i="17"/>
  <c r="D138" i="15"/>
  <c r="D170" i="15" s="1"/>
  <c r="H168" i="15"/>
  <c r="I167" i="15"/>
  <c r="D23" i="16"/>
  <c r="E19" i="16" s="1"/>
  <c r="E21" i="16" s="1"/>
  <c r="E46" i="15"/>
  <c r="C43" i="17" s="1"/>
  <c r="F148" i="15"/>
  <c r="G147" i="15"/>
  <c r="D100" i="15"/>
  <c r="D157" i="18"/>
  <c r="F243" i="15"/>
  <c r="G243" i="15" s="1"/>
  <c r="H243" i="15" s="1"/>
  <c r="I243" i="15" s="1"/>
  <c r="E188" i="15"/>
  <c r="F14" i="15" s="1"/>
  <c r="F224" i="15"/>
  <c r="D30" i="16"/>
  <c r="E26" i="16" s="1"/>
  <c r="E28" i="16" s="1"/>
  <c r="D159" i="18" l="1"/>
  <c r="D51" i="17"/>
  <c r="G224" i="15"/>
  <c r="F235" i="15"/>
  <c r="F188" i="15" s="1"/>
  <c r="G14" i="15" s="1"/>
  <c r="E6" i="15"/>
  <c r="F135" i="15"/>
  <c r="E138" i="15"/>
  <c r="E170" i="15" s="1"/>
  <c r="J243" i="15"/>
  <c r="K243" i="15" s="1"/>
  <c r="J167" i="15"/>
  <c r="I168" i="15"/>
  <c r="G148" i="15"/>
  <c r="H147" i="15"/>
  <c r="E23" i="16"/>
  <c r="F19" i="16" s="1"/>
  <c r="F21" i="16" s="1"/>
  <c r="F22" i="16" s="1"/>
  <c r="F46" i="15"/>
  <c r="D43" i="17" s="1"/>
  <c r="D199" i="15"/>
  <c r="F97" i="15"/>
  <c r="D104" i="15"/>
  <c r="D198" i="15" s="1"/>
  <c r="C14" i="16"/>
  <c r="C43" i="16"/>
  <c r="E157" i="18"/>
  <c r="E51" i="17" s="1"/>
  <c r="E30" i="16"/>
  <c r="F26" i="16" s="1"/>
  <c r="F28" i="16" s="1"/>
  <c r="F29" i="16" s="1"/>
  <c r="C35" i="16"/>
  <c r="C100" i="15"/>
  <c r="C104" i="15" s="1"/>
  <c r="C198" i="15" s="1"/>
  <c r="H224" i="15" l="1"/>
  <c r="G235" i="15"/>
  <c r="G188" i="15" s="1"/>
  <c r="H14" i="15" s="1"/>
  <c r="L243" i="15"/>
  <c r="M243" i="15" s="1"/>
  <c r="C45" i="16"/>
  <c r="G46" i="15"/>
  <c r="F6" i="15"/>
  <c r="G135" i="15"/>
  <c r="H135" i="15" s="1"/>
  <c r="I135" i="15" s="1"/>
  <c r="J135" i="15" s="1"/>
  <c r="K135" i="15" s="1"/>
  <c r="L135" i="15" s="1"/>
  <c r="F138" i="15"/>
  <c r="F170" i="15" s="1"/>
  <c r="H148" i="15"/>
  <c r="I147" i="15"/>
  <c r="K167" i="15"/>
  <c r="J168" i="15"/>
  <c r="F23" i="16"/>
  <c r="G19" i="16" s="1"/>
  <c r="G21" i="16" s="1"/>
  <c r="G22" i="16" s="1"/>
  <c r="G23" i="16" s="1"/>
  <c r="H19" i="16" s="1"/>
  <c r="H21" i="16" s="1"/>
  <c r="C199" i="15"/>
  <c r="E199" i="15"/>
  <c r="E100" i="15"/>
  <c r="E104" i="15" s="1"/>
  <c r="E198" i="15" s="1"/>
  <c r="F100" i="15"/>
  <c r="F104" i="15" s="1"/>
  <c r="F198" i="15" s="1"/>
  <c r="G97" i="15"/>
  <c r="D200" i="15"/>
  <c r="D204" i="15" s="1"/>
  <c r="D185" i="15" s="1"/>
  <c r="D106" i="15"/>
  <c r="C16" i="16"/>
  <c r="D12" i="16" s="1"/>
  <c r="D14" i="16" s="1"/>
  <c r="F30" i="16"/>
  <c r="G26" i="16" s="1"/>
  <c r="G28" i="16" s="1"/>
  <c r="C106" i="15"/>
  <c r="D5" i="15" s="1"/>
  <c r="E8" i="17" l="1"/>
  <c r="E9" i="17" s="1"/>
  <c r="E43" i="17"/>
  <c r="H235" i="15"/>
  <c r="H188" i="15" s="1"/>
  <c r="I14" i="15" s="1"/>
  <c r="I224" i="15"/>
  <c r="L138" i="15"/>
  <c r="L199" i="15" s="1"/>
  <c r="M135" i="15"/>
  <c r="M138" i="15" s="1"/>
  <c r="K168" i="15"/>
  <c r="L167" i="15"/>
  <c r="G6" i="15"/>
  <c r="J147" i="15"/>
  <c r="I148" i="15"/>
  <c r="G138" i="15"/>
  <c r="G100" i="15"/>
  <c r="G104" i="15" s="1"/>
  <c r="G198" i="15" s="1"/>
  <c r="H97" i="15"/>
  <c r="F106" i="15"/>
  <c r="G5" i="15" s="1"/>
  <c r="G8" i="15" s="1"/>
  <c r="F199" i="15"/>
  <c r="F200" i="15" s="1"/>
  <c r="E106" i="15"/>
  <c r="F5" i="15" s="1"/>
  <c r="F8" i="15" s="1"/>
  <c r="H22" i="16"/>
  <c r="H23" i="16" s="1"/>
  <c r="I19" i="16" s="1"/>
  <c r="I21" i="16" s="1"/>
  <c r="D16" i="16"/>
  <c r="E12" i="16" s="1"/>
  <c r="E14" i="16" s="1"/>
  <c r="G29" i="16"/>
  <c r="G30" i="16" s="1"/>
  <c r="H26" i="16" s="1"/>
  <c r="H28" i="16" s="1"/>
  <c r="C200" i="15"/>
  <c r="C8" i="15"/>
  <c r="C37" i="16"/>
  <c r="D33" i="16" s="1"/>
  <c r="D43" i="16" s="1"/>
  <c r="C39" i="16"/>
  <c r="C19" i="15" s="1"/>
  <c r="C46" i="16"/>
  <c r="C48" i="16" s="1"/>
  <c r="I235" i="15" l="1"/>
  <c r="I188" i="15" s="1"/>
  <c r="J14" i="15" s="1"/>
  <c r="J224" i="15"/>
  <c r="L168" i="15"/>
  <c r="M167" i="15"/>
  <c r="M168" i="15" s="1"/>
  <c r="M199" i="15"/>
  <c r="G170" i="15"/>
  <c r="H6" i="15" s="1"/>
  <c r="E16" i="16"/>
  <c r="F12" i="16" s="1"/>
  <c r="G199" i="15"/>
  <c r="G200" i="15" s="1"/>
  <c r="G204" i="15" s="1"/>
  <c r="G185" i="15" s="1"/>
  <c r="H138" i="15"/>
  <c r="K147" i="15"/>
  <c r="J148" i="15"/>
  <c r="H100" i="15"/>
  <c r="H104" i="15" s="1"/>
  <c r="H198" i="15" s="1"/>
  <c r="I97" i="15"/>
  <c r="I22" i="16"/>
  <c r="I23" i="16" s="1"/>
  <c r="J19" i="16" s="1"/>
  <c r="J21" i="16" s="1"/>
  <c r="F204" i="15"/>
  <c r="F185" i="15" s="1"/>
  <c r="G11" i="15" s="1"/>
  <c r="C204" i="15"/>
  <c r="G106" i="15"/>
  <c r="H5" i="15" s="1"/>
  <c r="H8" i="15" s="1"/>
  <c r="H29" i="16"/>
  <c r="H30" i="16" s="1"/>
  <c r="I26" i="16" s="1"/>
  <c r="I28" i="16" s="1"/>
  <c r="E5" i="15"/>
  <c r="C54" i="15"/>
  <c r="E200" i="15"/>
  <c r="D35" i="16"/>
  <c r="J235" i="15" l="1"/>
  <c r="J188" i="15" s="1"/>
  <c r="K14" i="15" s="1"/>
  <c r="K224" i="15"/>
  <c r="H170" i="15"/>
  <c r="I6" i="15" s="1"/>
  <c r="K148" i="15"/>
  <c r="L147" i="15"/>
  <c r="D45" i="16"/>
  <c r="D39" i="16"/>
  <c r="D19" i="15" s="1"/>
  <c r="H199" i="15"/>
  <c r="H200" i="15" s="1"/>
  <c r="H204" i="15" s="1"/>
  <c r="H185" i="15" s="1"/>
  <c r="I100" i="15"/>
  <c r="J97" i="15"/>
  <c r="I138" i="15"/>
  <c r="I170" i="15" s="1"/>
  <c r="H106" i="15"/>
  <c r="I5" i="15" s="1"/>
  <c r="I8" i="15" s="1"/>
  <c r="J22" i="16"/>
  <c r="J23" i="16" s="1"/>
  <c r="K19" i="16" s="1"/>
  <c r="K21" i="16" s="1"/>
  <c r="K22" i="16" s="1"/>
  <c r="K23" i="16" s="1"/>
  <c r="L19" i="16" s="1"/>
  <c r="L21" i="16" s="1"/>
  <c r="I29" i="16"/>
  <c r="I30" i="16" s="1"/>
  <c r="J26" i="16" s="1"/>
  <c r="J28" i="16" s="1"/>
  <c r="J29" i="16" s="1"/>
  <c r="J30" i="16" s="1"/>
  <c r="K26" i="16" s="1"/>
  <c r="K28" i="16" s="1"/>
  <c r="C185" i="15"/>
  <c r="D11" i="15" s="1"/>
  <c r="E204" i="15"/>
  <c r="F14" i="16"/>
  <c r="A1" i="10"/>
  <c r="A1" i="9"/>
  <c r="K235" i="15" l="1"/>
  <c r="K188" i="15" s="1"/>
  <c r="L14" i="15" s="1"/>
  <c r="L224" i="15"/>
  <c r="L148" i="15"/>
  <c r="L170" i="15" s="1"/>
  <c r="M6" i="15" s="1"/>
  <c r="M147" i="15"/>
  <c r="M148" i="15" s="1"/>
  <c r="M170" i="15" s="1"/>
  <c r="N6" i="15" s="1"/>
  <c r="L22" i="16"/>
  <c r="L23" i="16" s="1"/>
  <c r="M19" i="16" s="1"/>
  <c r="M21" i="16" s="1"/>
  <c r="M22" i="16" s="1"/>
  <c r="M23" i="16" s="1"/>
  <c r="N19" i="16" s="1"/>
  <c r="N21" i="16" s="1"/>
  <c r="F15" i="16"/>
  <c r="F16" i="16" s="1"/>
  <c r="G12" i="16" s="1"/>
  <c r="J6" i="15"/>
  <c r="I104" i="15"/>
  <c r="I198" i="15" s="1"/>
  <c r="K97" i="15"/>
  <c r="J100" i="15"/>
  <c r="K138" i="15"/>
  <c r="K170" i="15" s="1"/>
  <c r="J138" i="15"/>
  <c r="J170" i="15" s="1"/>
  <c r="I199" i="15"/>
  <c r="K29" i="16"/>
  <c r="K30" i="16" s="1"/>
  <c r="L26" i="16" s="1"/>
  <c r="L28" i="16" s="1"/>
  <c r="I11" i="15"/>
  <c r="E11" i="15"/>
  <c r="E185" i="15"/>
  <c r="F11" i="15" s="1"/>
  <c r="H11" i="15"/>
  <c r="D37" i="16"/>
  <c r="E33" i="16" s="1"/>
  <c r="E35" i="16" s="1"/>
  <c r="D46" i="16"/>
  <c r="D48" i="16" s="1"/>
  <c r="B20" i="17"/>
  <c r="D54" i="15" l="1"/>
  <c r="B50" i="17"/>
  <c r="B48" i="17" s="1"/>
  <c r="N22" i="16"/>
  <c r="N23" i="16" s="1"/>
  <c r="M224" i="15"/>
  <c r="M235" i="15" s="1"/>
  <c r="M188" i="15" s="1"/>
  <c r="N14" i="15" s="1"/>
  <c r="L235" i="15"/>
  <c r="L188" i="15" s="1"/>
  <c r="M14" i="15" s="1"/>
  <c r="K100" i="15"/>
  <c r="K104" i="15" s="1"/>
  <c r="K198" i="15" s="1"/>
  <c r="L97" i="15"/>
  <c r="E45" i="16"/>
  <c r="E37" i="16"/>
  <c r="F33" i="16" s="1"/>
  <c r="F43" i="16" s="1"/>
  <c r="L29" i="16"/>
  <c r="L30" i="16" s="1"/>
  <c r="M26" i="16" s="1"/>
  <c r="M28" i="16" s="1"/>
  <c r="L6" i="15"/>
  <c r="K6" i="15"/>
  <c r="J199" i="15"/>
  <c r="K199" i="15"/>
  <c r="J104" i="15"/>
  <c r="J198" i="15" s="1"/>
  <c r="I106" i="15"/>
  <c r="J5" i="15" s="1"/>
  <c r="J8" i="15" s="1"/>
  <c r="I200" i="15"/>
  <c r="I204" i="15" s="1"/>
  <c r="I185" i="15" s="1"/>
  <c r="E43" i="16"/>
  <c r="G14" i="16"/>
  <c r="L100" i="15" l="1"/>
  <c r="L104" i="15" s="1"/>
  <c r="L198" i="15" s="1"/>
  <c r="L200" i="15" s="1"/>
  <c r="L204" i="15" s="1"/>
  <c r="L185" i="15" s="1"/>
  <c r="M11" i="15" s="1"/>
  <c r="M97" i="15"/>
  <c r="M100" i="15" s="1"/>
  <c r="M104" i="15" s="1"/>
  <c r="M29" i="16"/>
  <c r="M30" i="16" s="1"/>
  <c r="N26" i="16" s="1"/>
  <c r="N28" i="16" s="1"/>
  <c r="N29" i="16" s="1"/>
  <c r="N30" i="16" s="1"/>
  <c r="E39" i="16"/>
  <c r="E19" i="15" s="1"/>
  <c r="C20" i="17" s="1"/>
  <c r="G15" i="16"/>
  <c r="J106" i="15"/>
  <c r="K5" i="15" s="1"/>
  <c r="K8" i="15" s="1"/>
  <c r="J200" i="15"/>
  <c r="J204" i="15" s="1"/>
  <c r="J185" i="15" s="1"/>
  <c r="K11" i="15" s="1"/>
  <c r="K200" i="15"/>
  <c r="K204" i="15" s="1"/>
  <c r="K185" i="15" s="1"/>
  <c r="J11" i="15"/>
  <c r="K106" i="15"/>
  <c r="L5" i="15" s="1"/>
  <c r="L8" i="15" s="1"/>
  <c r="F35" i="16"/>
  <c r="F45" i="16" s="1"/>
  <c r="E46" i="16"/>
  <c r="E48" i="16" s="1"/>
  <c r="E54" i="15" l="1"/>
  <c r="C50" i="17"/>
  <c r="C48" i="17" s="1"/>
  <c r="M106" i="15"/>
  <c r="N5" i="15" s="1"/>
  <c r="N8" i="15" s="1"/>
  <c r="M198" i="15"/>
  <c r="M200" i="15" s="1"/>
  <c r="M204" i="15" s="1"/>
  <c r="M185" i="15" s="1"/>
  <c r="L106" i="15"/>
  <c r="M5" i="15" s="1"/>
  <c r="M8" i="15" s="1"/>
  <c r="L11" i="15"/>
  <c r="F186" i="15"/>
  <c r="G186" i="15" s="1"/>
  <c r="H186" i="15" s="1"/>
  <c r="I186" i="15" s="1"/>
  <c r="J186" i="15" s="1"/>
  <c r="K186" i="15" s="1"/>
  <c r="F36" i="16"/>
  <c r="F37" i="16" s="1"/>
  <c r="G33" i="16" s="1"/>
  <c r="G35" i="16" s="1"/>
  <c r="G45" i="16" s="1"/>
  <c r="G16" i="16"/>
  <c r="H12" i="16" s="1"/>
  <c r="N11" i="15" l="1"/>
  <c r="L12" i="15"/>
  <c r="L186" i="15"/>
  <c r="M186" i="15" s="1"/>
  <c r="N12" i="15" s="1"/>
  <c r="F46" i="16"/>
  <c r="F48" i="16" s="1"/>
  <c r="G36" i="16"/>
  <c r="G37" i="16" s="1"/>
  <c r="H33" i="16" s="1"/>
  <c r="H35" i="16" s="1"/>
  <c r="H36" i="16" s="1"/>
  <c r="H37" i="16" s="1"/>
  <c r="I33" i="16" s="1"/>
  <c r="G43" i="16"/>
  <c r="F39" i="16"/>
  <c r="F19" i="15" s="1"/>
  <c r="D20" i="17" s="1"/>
  <c r="H14" i="16"/>
  <c r="F54" i="15" l="1"/>
  <c r="D50" i="17"/>
  <c r="D48" i="17" s="1"/>
  <c r="M12" i="15"/>
  <c r="H45" i="16"/>
  <c r="H43" i="16"/>
  <c r="I35" i="16"/>
  <c r="G46" i="16"/>
  <c r="G48" i="16" s="1"/>
  <c r="G39" i="16"/>
  <c r="G19" i="15" s="1"/>
  <c r="E20" i="17" s="1"/>
  <c r="D12" i="15"/>
  <c r="H15" i="16"/>
  <c r="H16" i="16" s="1"/>
  <c r="I12" i="16" s="1"/>
  <c r="I14" i="16" s="1"/>
  <c r="G54" i="15" l="1"/>
  <c r="E50" i="17"/>
  <c r="E48" i="17" s="1"/>
  <c r="I45" i="16"/>
  <c r="I43" i="16"/>
  <c r="I15" i="16"/>
  <c r="I16" i="16" s="1"/>
  <c r="J12" i="16" s="1"/>
  <c r="I36" i="16"/>
  <c r="E12" i="15"/>
  <c r="H46" i="16"/>
  <c r="H48" i="16" s="1"/>
  <c r="H39" i="16"/>
  <c r="H19" i="15" s="1"/>
  <c r="F20" i="17" s="1"/>
  <c r="H54" i="15" l="1"/>
  <c r="F50" i="17"/>
  <c r="J14" i="16"/>
  <c r="I46" i="16"/>
  <c r="I48" i="16" s="1"/>
  <c r="I39" i="16"/>
  <c r="I19" i="15" s="1"/>
  <c r="G20" i="17" s="1"/>
  <c r="I37" i="16"/>
  <c r="J33" i="16" s="1"/>
  <c r="J35" i="16" s="1"/>
  <c r="F12" i="15"/>
  <c r="I54" i="15" l="1"/>
  <c r="G50" i="17"/>
  <c r="J45" i="16"/>
  <c r="J36" i="16"/>
  <c r="J37" i="16" s="1"/>
  <c r="K33" i="16" s="1"/>
  <c r="K35" i="16" s="1"/>
  <c r="J43" i="16"/>
  <c r="J15" i="16"/>
  <c r="G12" i="15"/>
  <c r="K36" i="16" l="1"/>
  <c r="K37" i="16" s="1"/>
  <c r="L33" i="16" s="1"/>
  <c r="L35" i="16" s="1"/>
  <c r="J39" i="16"/>
  <c r="J19" i="15" s="1"/>
  <c r="H20" i="17" s="1"/>
  <c r="J46" i="16"/>
  <c r="J48" i="16" s="1"/>
  <c r="J16" i="16"/>
  <c r="K12" i="16" s="1"/>
  <c r="H12" i="15"/>
  <c r="J54" i="15" l="1"/>
  <c r="H50" i="17"/>
  <c r="L36" i="16"/>
  <c r="L37" i="16" s="1"/>
  <c r="M33" i="16" s="1"/>
  <c r="M35" i="16" s="1"/>
  <c r="M36" i="16" s="1"/>
  <c r="M37" i="16" s="1"/>
  <c r="N33" i="16" s="1"/>
  <c r="N35" i="16" s="1"/>
  <c r="N36" i="16" s="1"/>
  <c r="N37" i="16" s="1"/>
  <c r="J12" i="15"/>
  <c r="K43" i="16"/>
  <c r="K14" i="16"/>
  <c r="K45" i="16" s="1"/>
  <c r="I12" i="15"/>
  <c r="K12" i="15" l="1"/>
  <c r="K15" i="16"/>
  <c r="K39" i="16" l="1"/>
  <c r="K19" i="15" s="1"/>
  <c r="I20" i="17" s="1"/>
  <c r="K46" i="16"/>
  <c r="K48" i="16" s="1"/>
  <c r="K16" i="16"/>
  <c r="L12" i="16" s="1"/>
  <c r="K54" i="15" l="1"/>
  <c r="I50" i="17"/>
  <c r="L43" i="16"/>
  <c r="L14" i="16"/>
  <c r="L15" i="16" l="1"/>
  <c r="L45" i="16"/>
  <c r="L46" i="16" l="1"/>
  <c r="L48" i="16" s="1"/>
  <c r="L39" i="16"/>
  <c r="L19" i="15" s="1"/>
  <c r="J20" i="17" s="1"/>
  <c r="L16" i="16"/>
  <c r="M12" i="16" s="1"/>
  <c r="L54" i="15" l="1"/>
  <c r="J50" i="17"/>
  <c r="M43" i="16"/>
  <c r="M14" i="16"/>
  <c r="M15" i="16" l="1"/>
  <c r="M16" i="16" s="1"/>
  <c r="N12" i="16" s="1"/>
  <c r="M45" i="16"/>
  <c r="N43" i="16" l="1"/>
  <c r="N14" i="16"/>
  <c r="M46" i="16"/>
  <c r="M48" i="16" s="1"/>
  <c r="M39" i="16"/>
  <c r="M19" i="15" s="1"/>
  <c r="K20" i="17" s="1"/>
  <c r="M54" i="15" l="1"/>
  <c r="K50" i="17"/>
  <c r="N45" i="16"/>
  <c r="N15" i="16"/>
  <c r="N16" i="16" s="1"/>
  <c r="N46" i="16" l="1"/>
  <c r="N48" i="16" s="1"/>
  <c r="N39" i="16"/>
  <c r="N19" i="15" s="1"/>
  <c r="N54" i="15" l="1"/>
  <c r="L50" i="17"/>
  <c r="L20" i="17"/>
  <c r="C60" i="15" l="1"/>
  <c r="C17" i="15" l="1"/>
  <c r="C21" i="15" s="1"/>
  <c r="C23" i="15" s="1"/>
  <c r="C25" i="15" s="1"/>
  <c r="C26" i="15" l="1"/>
  <c r="C27" i="15" s="1"/>
  <c r="D9" i="18"/>
  <c r="F9" i="18" s="1"/>
  <c r="G9" i="18" s="1"/>
  <c r="C29" i="15" l="1"/>
  <c r="B10" i="18"/>
  <c r="D10" i="18" s="1"/>
  <c r="F10" i="18" s="1"/>
  <c r="G10" i="18" s="1"/>
  <c r="C50" i="15" l="1"/>
  <c r="C62" i="15" s="1"/>
  <c r="B11" i="18"/>
  <c r="D11" i="18" s="1"/>
  <c r="F11" i="18" s="1"/>
  <c r="G11" i="18" s="1"/>
  <c r="B12" i="18" l="1"/>
  <c r="D12" i="18" s="1"/>
  <c r="F12" i="18" s="1"/>
  <c r="G12" i="18" s="1"/>
  <c r="B13" i="18" l="1"/>
  <c r="D13" i="18" s="1"/>
  <c r="F13" i="18" s="1"/>
  <c r="G13" i="18" s="1"/>
  <c r="B14" i="18" l="1"/>
  <c r="D14" i="18" s="1"/>
  <c r="F14" i="18" s="1"/>
  <c r="G14" i="18" s="1"/>
  <c r="B15" i="18" l="1"/>
  <c r="D15" i="18" s="1"/>
  <c r="F15" i="18" s="1"/>
  <c r="G15" i="18" s="1"/>
  <c r="B16" i="18" l="1"/>
  <c r="D16" i="18" s="1"/>
  <c r="F16" i="18" s="1"/>
  <c r="G16" i="18" s="1"/>
  <c r="H16" i="18" l="1"/>
  <c r="B19" i="18"/>
  <c r="B154" i="18" l="1"/>
  <c r="B8" i="17"/>
  <c r="B9" i="17" s="1"/>
  <c r="C245" i="15" l="1"/>
  <c r="D58" i="15" s="1"/>
  <c r="D60" i="15" s="1"/>
  <c r="B160" i="18"/>
  <c r="C242" i="15"/>
  <c r="D19" i="18"/>
  <c r="F19" i="18" s="1"/>
  <c r="G19" i="18" s="1"/>
  <c r="C246" i="15" l="1"/>
  <c r="C187" i="15" s="1"/>
  <c r="D13" i="15" s="1"/>
  <c r="B19" i="17"/>
  <c r="B25" i="17" s="1"/>
  <c r="B20" i="18"/>
  <c r="D20" i="18" s="1"/>
  <c r="F20" i="18" s="1"/>
  <c r="G20" i="18" s="1"/>
  <c r="D17" i="15" l="1"/>
  <c r="D21" i="15" s="1"/>
  <c r="D23" i="15" s="1"/>
  <c r="D25" i="15" s="1"/>
  <c r="C189" i="15"/>
  <c r="B21" i="18"/>
  <c r="D21" i="18" s="1"/>
  <c r="F21" i="18" s="1"/>
  <c r="G21" i="18" s="1"/>
  <c r="D26" i="15" l="1"/>
  <c r="D27" i="15" s="1"/>
  <c r="D29" i="15" s="1"/>
  <c r="D45" i="15" s="1"/>
  <c r="B22" i="18"/>
  <c r="D22" i="18" s="1"/>
  <c r="F22" i="18" s="1"/>
  <c r="G22" i="18" s="1"/>
  <c r="B44" i="17" l="1"/>
  <c r="B41" i="17" s="1"/>
  <c r="D50" i="15"/>
  <c r="D62" i="15" s="1"/>
  <c r="B23" i="18"/>
  <c r="D23" i="18" s="1"/>
  <c r="F23" i="18" s="1"/>
  <c r="G23" i="18" s="1"/>
  <c r="B18" i="17" l="1"/>
  <c r="B22" i="17" s="1"/>
  <c r="B24" i="18"/>
  <c r="D24" i="18" s="1"/>
  <c r="F24" i="18" s="1"/>
  <c r="G24" i="18" s="1"/>
  <c r="B12" i="17" l="1"/>
  <c r="B13" i="17" s="1"/>
  <c r="B6" i="17" s="1"/>
  <c r="B25" i="18"/>
  <c r="D25" i="18" s="1"/>
  <c r="F25" i="18" s="1"/>
  <c r="G25" i="18" s="1"/>
  <c r="B26" i="18" l="1"/>
  <c r="D26" i="18" s="1"/>
  <c r="F26" i="18" s="1"/>
  <c r="G26" i="18" s="1"/>
  <c r="B27" i="18" l="1"/>
  <c r="D27" i="18" s="1"/>
  <c r="F27" i="18" s="1"/>
  <c r="G27" i="18" s="1"/>
  <c r="B28" i="18" l="1"/>
  <c r="D28" i="18" s="1"/>
  <c r="F28" i="18" s="1"/>
  <c r="G28" i="18" s="1"/>
  <c r="B29" i="18" l="1"/>
  <c r="D29" i="18" s="1"/>
  <c r="F29" i="18" s="1"/>
  <c r="G29" i="18" s="1"/>
  <c r="B30" i="18" l="1"/>
  <c r="D30" i="18" s="1"/>
  <c r="F30" i="18" s="1"/>
  <c r="G30" i="18" s="1"/>
  <c r="B33" i="18" l="1"/>
  <c r="H30" i="18"/>
  <c r="C154" i="18" s="1"/>
  <c r="D245" i="15" l="1"/>
  <c r="E58" i="15" s="1"/>
  <c r="E60" i="15" s="1"/>
  <c r="C13" i="3"/>
  <c r="C14" i="3" s="1"/>
  <c r="C20" i="3" s="1"/>
  <c r="C160" i="18"/>
  <c r="D242" i="15"/>
  <c r="C8" i="17"/>
  <c r="C9" i="17" s="1"/>
  <c r="F58" i="15" l="1"/>
  <c r="F60" i="15" s="1"/>
  <c r="D246" i="15"/>
  <c r="D187" i="15" s="1"/>
  <c r="C19" i="17"/>
  <c r="D33" i="18"/>
  <c r="F33" i="18" s="1"/>
  <c r="G33" i="18" s="1"/>
  <c r="G58" i="15" l="1"/>
  <c r="G60" i="15" s="1"/>
  <c r="H58" i="15"/>
  <c r="H60" i="15" s="1"/>
  <c r="D189" i="15"/>
  <c r="E13" i="15"/>
  <c r="E17" i="15" s="1"/>
  <c r="C25" i="17"/>
  <c r="B34" i="18"/>
  <c r="D34" i="18" s="1"/>
  <c r="F34" i="18" s="1"/>
  <c r="G34" i="18" s="1"/>
  <c r="I58" i="15" l="1"/>
  <c r="I60" i="15" s="1"/>
  <c r="E21" i="15"/>
  <c r="E23" i="15" s="1"/>
  <c r="E25" i="15" s="1"/>
  <c r="E26" i="15" s="1"/>
  <c r="B35" i="18"/>
  <c r="D35" i="18" s="1"/>
  <c r="F35" i="18" s="1"/>
  <c r="G35" i="18" s="1"/>
  <c r="J58" i="15" l="1"/>
  <c r="J60" i="15" s="1"/>
  <c r="B36" i="18"/>
  <c r="D36" i="18" s="1"/>
  <c r="F36" i="18" s="1"/>
  <c r="G36" i="18" s="1"/>
  <c r="K58" i="15" l="1"/>
  <c r="K60" i="15" s="1"/>
  <c r="E27" i="15"/>
  <c r="B37" i="18"/>
  <c r="D37" i="18" s="1"/>
  <c r="F37" i="18" s="1"/>
  <c r="G37" i="18" s="1"/>
  <c r="L58" i="15" l="1"/>
  <c r="L60" i="15" s="1"/>
  <c r="E29" i="15"/>
  <c r="E45" i="15" s="1"/>
  <c r="C18" i="17"/>
  <c r="C22" i="17" s="1"/>
  <c r="B38" i="18"/>
  <c r="D38" i="18" s="1"/>
  <c r="F38" i="18" s="1"/>
  <c r="G38" i="18" s="1"/>
  <c r="C44" i="17" l="1"/>
  <c r="C41" i="17" s="1"/>
  <c r="E50" i="15"/>
  <c r="E62" i="15" s="1"/>
  <c r="M58" i="15"/>
  <c r="M60" i="15" s="1"/>
  <c r="C12" i="17"/>
  <c r="C13" i="17" s="1"/>
  <c r="C6" i="17" s="1"/>
  <c r="B39" i="18"/>
  <c r="D39" i="18" s="1"/>
  <c r="F39" i="18" s="1"/>
  <c r="G39" i="18" s="1"/>
  <c r="N58" i="15" l="1"/>
  <c r="N60" i="15" s="1"/>
  <c r="B40" i="18"/>
  <c r="D40" i="18" s="1"/>
  <c r="F40" i="18" s="1"/>
  <c r="G40" i="18" s="1"/>
  <c r="B41" i="18" l="1"/>
  <c r="D41" i="18" s="1"/>
  <c r="F41" i="18" s="1"/>
  <c r="G41" i="18" s="1"/>
  <c r="B42" i="18" l="1"/>
  <c r="D42" i="18" s="1"/>
  <c r="F42" i="18" s="1"/>
  <c r="G42" i="18" s="1"/>
  <c r="B43" i="18" l="1"/>
  <c r="D43" i="18" s="1"/>
  <c r="F43" i="18" s="1"/>
  <c r="G43" i="18" s="1"/>
  <c r="B44" i="18" l="1"/>
  <c r="D44" i="18" s="1"/>
  <c r="F44" i="18" s="1"/>
  <c r="G44" i="18" s="1"/>
  <c r="B47" i="18" l="1"/>
  <c r="H44" i="18"/>
  <c r="D154" i="18" s="1"/>
  <c r="D160" i="18" l="1"/>
  <c r="D24" i="17" s="1"/>
  <c r="E242" i="15"/>
  <c r="D8" i="17"/>
  <c r="D9" i="17" s="1"/>
  <c r="E246" i="15" l="1"/>
  <c r="E187" i="15" s="1"/>
  <c r="D19" i="17"/>
  <c r="D47" i="18"/>
  <c r="F47" i="18" s="1"/>
  <c r="G47" i="18" s="1"/>
  <c r="E189" i="15" l="1"/>
  <c r="F13" i="15"/>
  <c r="F17" i="15" s="1"/>
  <c r="D25" i="17"/>
  <c r="B48" i="18"/>
  <c r="D48" i="18" s="1"/>
  <c r="F48" i="18" s="1"/>
  <c r="G48" i="18" s="1"/>
  <c r="F21" i="15" l="1"/>
  <c r="F23" i="15" s="1"/>
  <c r="F25" i="15" s="1"/>
  <c r="F26" i="15" s="1"/>
  <c r="B49" i="18"/>
  <c r="D49" i="18" s="1"/>
  <c r="F49" i="18" s="1"/>
  <c r="G49" i="18" s="1"/>
  <c r="B50" i="18" l="1"/>
  <c r="D50" i="18" s="1"/>
  <c r="F50" i="18" s="1"/>
  <c r="G50" i="18" s="1"/>
  <c r="F27" i="15" l="1"/>
  <c r="B51" i="18"/>
  <c r="D51" i="18" s="1"/>
  <c r="F51" i="18" s="1"/>
  <c r="G51" i="18" s="1"/>
  <c r="F29" i="15" l="1"/>
  <c r="F45" i="15" s="1"/>
  <c r="D18" i="17"/>
  <c r="D22" i="17" s="1"/>
  <c r="B52" i="18"/>
  <c r="D52" i="18" s="1"/>
  <c r="F52" i="18" s="1"/>
  <c r="G52" i="18" s="1"/>
  <c r="D44" i="17" l="1"/>
  <c r="D41" i="17" s="1"/>
  <c r="F50" i="15"/>
  <c r="F62" i="15" s="1"/>
  <c r="D27" i="17"/>
  <c r="D12" i="17"/>
  <c r="D13" i="17" s="1"/>
  <c r="D6" i="17" s="1"/>
  <c r="B53" i="18"/>
  <c r="D53" i="18" s="1"/>
  <c r="F53" i="18" s="1"/>
  <c r="G53" i="18" s="1"/>
  <c r="B54" i="18" l="1"/>
  <c r="D54" i="18" s="1"/>
  <c r="F54" i="18" s="1"/>
  <c r="G54" i="18" s="1"/>
  <c r="B55" i="18" l="1"/>
  <c r="D55" i="18" s="1"/>
  <c r="F55" i="18" s="1"/>
  <c r="G55" i="18" s="1"/>
  <c r="B56" i="18" l="1"/>
  <c r="D56" i="18" s="1"/>
  <c r="F56" i="18" s="1"/>
  <c r="G56" i="18" s="1"/>
  <c r="B57" i="18" l="1"/>
  <c r="D57" i="18" s="1"/>
  <c r="F57" i="18" s="1"/>
  <c r="G57" i="18" s="1"/>
  <c r="E158" i="18" l="1"/>
  <c r="E159" i="18" s="1"/>
  <c r="F157" i="18"/>
  <c r="F51" i="17" s="1"/>
  <c r="F48" i="17" s="1"/>
  <c r="B58" i="18"/>
  <c r="D58" i="18" s="1"/>
  <c r="F58" i="18" s="1"/>
  <c r="G58" i="18" s="1"/>
  <c r="H46" i="15" l="1"/>
  <c r="F43" i="17" s="1"/>
  <c r="E36" i="17"/>
  <c r="E33" i="17" s="1"/>
  <c r="H58" i="18"/>
  <c r="E154" i="18" s="1"/>
  <c r="B61" i="18"/>
  <c r="D61" i="18" s="1"/>
  <c r="F61" i="18" s="1"/>
  <c r="G61" i="18" s="1"/>
  <c r="E160" i="18" l="1"/>
  <c r="E24" i="17" s="1"/>
  <c r="F242" i="15"/>
  <c r="E19" i="17" s="1"/>
  <c r="F8" i="17"/>
  <c r="F9" i="17" s="1"/>
  <c r="B62" i="18"/>
  <c r="D62" i="18" s="1"/>
  <c r="F62" i="18" s="1"/>
  <c r="G62" i="18" s="1"/>
  <c r="E25" i="17" l="1"/>
  <c r="F246" i="15"/>
  <c r="F187" i="15" s="1"/>
  <c r="B63" i="18"/>
  <c r="D63" i="18" s="1"/>
  <c r="F63" i="18" s="1"/>
  <c r="G63" i="18" s="1"/>
  <c r="F189" i="15" l="1"/>
  <c r="G13" i="15"/>
  <c r="G17" i="15" s="1"/>
  <c r="B64" i="18"/>
  <c r="D64" i="18" s="1"/>
  <c r="F64" i="18" s="1"/>
  <c r="G64" i="18" s="1"/>
  <c r="G21" i="15" l="1"/>
  <c r="G23" i="15" s="1"/>
  <c r="G25" i="15" s="1"/>
  <c r="B65" i="18"/>
  <c r="D65" i="18" s="1"/>
  <c r="F65" i="18" s="1"/>
  <c r="G65" i="18" s="1"/>
  <c r="G26" i="15" l="1"/>
  <c r="G27" i="15" s="1"/>
  <c r="B66" i="18"/>
  <c r="D66" i="18" s="1"/>
  <c r="F66" i="18" s="1"/>
  <c r="G66" i="18" s="1"/>
  <c r="E18" i="17" l="1"/>
  <c r="E22" i="17" s="1"/>
  <c r="G29" i="15"/>
  <c r="G45" i="15" s="1"/>
  <c r="G50" i="15" s="1"/>
  <c r="B67" i="18"/>
  <c r="D67" i="18" s="1"/>
  <c r="F67" i="18" s="1"/>
  <c r="G67" i="18" s="1"/>
  <c r="E12" i="17" l="1"/>
  <c r="E13" i="17" s="1"/>
  <c r="E6" i="17" s="1"/>
  <c r="E44" i="17"/>
  <c r="E41" i="17" s="1"/>
  <c r="E27" i="17"/>
  <c r="G62" i="15"/>
  <c r="B68" i="18"/>
  <c r="D68" i="18" s="1"/>
  <c r="F68" i="18" s="1"/>
  <c r="G68" i="18" s="1"/>
  <c r="B69" i="18" l="1"/>
  <c r="D69" i="18" s="1"/>
  <c r="F69" i="18" s="1"/>
  <c r="G69" i="18" s="1"/>
  <c r="B70" i="18" l="1"/>
  <c r="D70" i="18" s="1"/>
  <c r="F70" i="18" s="1"/>
  <c r="G70" i="18" s="1"/>
  <c r="B71" i="18" l="1"/>
  <c r="D71" i="18" s="1"/>
  <c r="F71" i="18" s="1"/>
  <c r="G71" i="18" s="1"/>
  <c r="B72" i="18" l="1"/>
  <c r="D72" i="18" s="1"/>
  <c r="F72" i="18" s="1"/>
  <c r="G72" i="18" s="1"/>
  <c r="H72" i="18" l="1"/>
  <c r="F154" i="18" s="1"/>
  <c r="F160" i="18" s="1"/>
  <c r="F24" i="17" s="1"/>
  <c r="B75" i="18"/>
  <c r="D75" i="18" s="1"/>
  <c r="F75" i="18" s="1"/>
  <c r="G75" i="18" s="1"/>
  <c r="B76" i="18" l="1"/>
  <c r="D76" i="18" s="1"/>
  <c r="F76" i="18" s="1"/>
  <c r="G76" i="18" s="1"/>
  <c r="F158" i="18"/>
  <c r="F159" i="18" s="1"/>
  <c r="G157" i="18"/>
  <c r="G51" i="17" s="1"/>
  <c r="G48" i="17" s="1"/>
  <c r="G242" i="15"/>
  <c r="G246" i="15" l="1"/>
  <c r="G187" i="15" s="1"/>
  <c r="H13" i="15" s="1"/>
  <c r="H17" i="15" s="1"/>
  <c r="F19" i="17"/>
  <c r="F25" i="17" s="1"/>
  <c r="I46" i="15"/>
  <c r="G43" i="17" s="1"/>
  <c r="B77" i="18"/>
  <c r="D77" i="18" s="1"/>
  <c r="F77" i="18" s="1"/>
  <c r="G77" i="18" s="1"/>
  <c r="F36" i="17"/>
  <c r="F33" i="17" s="1"/>
  <c r="H21" i="15" l="1"/>
  <c r="H23" i="15" s="1"/>
  <c r="H25" i="15" s="1"/>
  <c r="H26" i="15" s="1"/>
  <c r="G189" i="15"/>
  <c r="G8" i="17"/>
  <c r="G9" i="17" s="1"/>
  <c r="B78" i="18"/>
  <c r="D78" i="18" s="1"/>
  <c r="F78" i="18" s="1"/>
  <c r="G78" i="18" s="1"/>
  <c r="H27" i="15" l="1"/>
  <c r="H29" i="15" s="1"/>
  <c r="H45" i="15" s="1"/>
  <c r="H50" i="15" s="1"/>
  <c r="B79" i="18"/>
  <c r="D79" i="18" s="1"/>
  <c r="F79" i="18" s="1"/>
  <c r="G79" i="18" s="1"/>
  <c r="H62" i="15" l="1"/>
  <c r="F44" i="17"/>
  <c r="F41" i="17" s="1"/>
  <c r="F12" i="17"/>
  <c r="F13" i="17" s="1"/>
  <c r="F6" i="17" s="1"/>
  <c r="F18" i="17"/>
  <c r="F22" i="17" s="1"/>
  <c r="B80" i="18"/>
  <c r="D80" i="18" s="1"/>
  <c r="F80" i="18" s="1"/>
  <c r="G80" i="18" s="1"/>
  <c r="F27" i="17" l="1"/>
  <c r="B81" i="18"/>
  <c r="D81" i="18" s="1"/>
  <c r="F81" i="18" s="1"/>
  <c r="G81" i="18" s="1"/>
  <c r="B82" i="18" l="1"/>
  <c r="D82" i="18" s="1"/>
  <c r="F82" i="18" s="1"/>
  <c r="G82" i="18" s="1"/>
  <c r="B83" i="18" l="1"/>
  <c r="D83" i="18" s="1"/>
  <c r="F83" i="18" s="1"/>
  <c r="G83" i="18" s="1"/>
  <c r="B84" i="18" l="1"/>
  <c r="D84" i="18" s="1"/>
  <c r="F84" i="18" s="1"/>
  <c r="G84" i="18" s="1"/>
  <c r="B85" i="18" l="1"/>
  <c r="D85" i="18" s="1"/>
  <c r="F85" i="18" s="1"/>
  <c r="G85" i="18" s="1"/>
  <c r="H157" i="18" l="1"/>
  <c r="H51" i="17" s="1"/>
  <c r="H48" i="17" s="1"/>
  <c r="G158" i="18"/>
  <c r="G159" i="18" s="1"/>
  <c r="H158" i="18"/>
  <c r="H36" i="17" s="1"/>
  <c r="H33" i="17" s="1"/>
  <c r="B86" i="18"/>
  <c r="D86" i="18" s="1"/>
  <c r="F86" i="18" s="1"/>
  <c r="G86" i="18" s="1"/>
  <c r="H159" i="18" l="1"/>
  <c r="J46" i="15"/>
  <c r="H43" i="17" s="1"/>
  <c r="I157" i="18"/>
  <c r="G36" i="17"/>
  <c r="G33" i="17" s="1"/>
  <c r="H86" i="18"/>
  <c r="G154" i="18" s="1"/>
  <c r="G160" i="18" s="1"/>
  <c r="G24" i="17" s="1"/>
  <c r="B89" i="18"/>
  <c r="D89" i="18" s="1"/>
  <c r="F89" i="18" s="1"/>
  <c r="G89" i="18" s="1"/>
  <c r="J157" i="18" l="1"/>
  <c r="K157" i="18" s="1"/>
  <c r="I51" i="17"/>
  <c r="I48" i="17" s="1"/>
  <c r="H8" i="17"/>
  <c r="H9" i="17" s="1"/>
  <c r="K46" i="15"/>
  <c r="I43" i="17" s="1"/>
  <c r="I159" i="18"/>
  <c r="B90" i="18"/>
  <c r="D90" i="18" s="1"/>
  <c r="F90" i="18" s="1"/>
  <c r="G90" i="18" s="1"/>
  <c r="H242" i="15"/>
  <c r="G19" i="17" s="1"/>
  <c r="L157" i="18" l="1"/>
  <c r="L51" i="17" s="1"/>
  <c r="K51" i="17"/>
  <c r="K48" i="17" s="1"/>
  <c r="L46" i="15"/>
  <c r="J51" i="17"/>
  <c r="J48" i="17" s="1"/>
  <c r="J159" i="18"/>
  <c r="K159" i="18"/>
  <c r="M46" i="15"/>
  <c r="K43" i="17" s="1"/>
  <c r="I8" i="17"/>
  <c r="I9" i="17" s="1"/>
  <c r="B91" i="18"/>
  <c r="D91" i="18" s="1"/>
  <c r="F91" i="18" s="1"/>
  <c r="G91" i="18" s="1"/>
  <c r="H246" i="15"/>
  <c r="H187" i="15" s="1"/>
  <c r="G25" i="17"/>
  <c r="L159" i="18" l="1"/>
  <c r="N46" i="15"/>
  <c r="L43" i="17" s="1"/>
  <c r="J43" i="17"/>
  <c r="J8" i="17"/>
  <c r="J9" i="17" s="1"/>
  <c r="K8" i="17"/>
  <c r="K9" i="17" s="1"/>
  <c r="B92" i="18"/>
  <c r="D92" i="18" s="1"/>
  <c r="F92" i="18" s="1"/>
  <c r="G92" i="18" s="1"/>
  <c r="H189" i="15"/>
  <c r="I13" i="15"/>
  <c r="I17" i="15" s="1"/>
  <c r="L8" i="17" l="1"/>
  <c r="L9" i="17" s="1"/>
  <c r="I21" i="15"/>
  <c r="I23" i="15" s="1"/>
  <c r="I25" i="15" s="1"/>
  <c r="I26" i="15" s="1"/>
  <c r="I27" i="15" s="1"/>
  <c r="G18" i="17" s="1"/>
  <c r="G22" i="17" s="1"/>
  <c r="B93" i="18"/>
  <c r="D93" i="18" s="1"/>
  <c r="F93" i="18" s="1"/>
  <c r="G93" i="18" s="1"/>
  <c r="I29" i="15" l="1"/>
  <c r="I45" i="15" s="1"/>
  <c r="I50" i="15" s="1"/>
  <c r="B94" i="18"/>
  <c r="D94" i="18" s="1"/>
  <c r="F94" i="18" s="1"/>
  <c r="G94" i="18" s="1"/>
  <c r="G44" i="17" l="1"/>
  <c r="G41" i="17" s="1"/>
  <c r="G27" i="17"/>
  <c r="I62" i="15"/>
  <c r="G12" i="17"/>
  <c r="G13" i="17" s="1"/>
  <c r="G6" i="17" s="1"/>
  <c r="B95" i="18"/>
  <c r="D95" i="18" s="1"/>
  <c r="F95" i="18" s="1"/>
  <c r="G95" i="18" s="1"/>
  <c r="B96" i="18" l="1"/>
  <c r="D96" i="18" s="1"/>
  <c r="F96" i="18" s="1"/>
  <c r="G96" i="18" s="1"/>
  <c r="B97" i="18" l="1"/>
  <c r="D97" i="18" s="1"/>
  <c r="F97" i="18" s="1"/>
  <c r="G97" i="18" s="1"/>
  <c r="B98" i="18" l="1"/>
  <c r="D98" i="18" s="1"/>
  <c r="F98" i="18" s="1"/>
  <c r="G98" i="18" s="1"/>
  <c r="B99" i="18" l="1"/>
  <c r="D99" i="18" s="1"/>
  <c r="F99" i="18" s="1"/>
  <c r="G99" i="18" s="1"/>
  <c r="B100" i="18" l="1"/>
  <c r="D100" i="18" s="1"/>
  <c r="F100" i="18" s="1"/>
  <c r="G100" i="18" s="1"/>
  <c r="H100" i="18" l="1"/>
  <c r="H154" i="18" s="1"/>
  <c r="B103" i="18"/>
  <c r="D103" i="18" s="1"/>
  <c r="F103" i="18" s="1"/>
  <c r="G103" i="18" s="1"/>
  <c r="H160" i="18" l="1"/>
  <c r="H24" i="17" s="1"/>
  <c r="I242" i="15"/>
  <c r="B104" i="18"/>
  <c r="D104" i="18" s="1"/>
  <c r="F104" i="18" s="1"/>
  <c r="G104" i="18" s="1"/>
  <c r="H19" i="17" l="1"/>
  <c r="H25" i="17" s="1"/>
  <c r="I246" i="15"/>
  <c r="I187" i="15" s="1"/>
  <c r="B105" i="18"/>
  <c r="D105" i="18" s="1"/>
  <c r="F105" i="18" s="1"/>
  <c r="G105" i="18" s="1"/>
  <c r="J13" i="15" l="1"/>
  <c r="J17" i="15" s="1"/>
  <c r="I189" i="15"/>
  <c r="B106" i="18"/>
  <c r="D106" i="18" s="1"/>
  <c r="F106" i="18" s="1"/>
  <c r="G106" i="18" s="1"/>
  <c r="J21" i="15" l="1"/>
  <c r="J23" i="15" s="1"/>
  <c r="J25" i="15" s="1"/>
  <c r="B107" i="18"/>
  <c r="D107" i="18" s="1"/>
  <c r="F107" i="18" s="1"/>
  <c r="G107" i="18" s="1"/>
  <c r="J26" i="15" l="1"/>
  <c r="J27" i="15" s="1"/>
  <c r="H18" i="17" s="1"/>
  <c r="B108" i="18"/>
  <c r="D108" i="18" s="1"/>
  <c r="F108" i="18" s="1"/>
  <c r="H22" i="17" l="1"/>
  <c r="H27" i="17" s="1"/>
  <c r="G108" i="18"/>
  <c r="B109" i="18"/>
  <c r="D109" i="18" s="1"/>
  <c r="F109" i="18" s="1"/>
  <c r="J29" i="15"/>
  <c r="J45" i="15" s="1"/>
  <c r="J50" i="15" s="1"/>
  <c r="H12" i="17" l="1"/>
  <c r="H13" i="17" s="1"/>
  <c r="H6" i="17" s="1"/>
  <c r="H44" i="17"/>
  <c r="H41" i="17" s="1"/>
  <c r="B110" i="18"/>
  <c r="D110" i="18" s="1"/>
  <c r="F110" i="18" s="1"/>
  <c r="G109" i="18"/>
  <c r="J62" i="15"/>
  <c r="G110" i="18" l="1"/>
  <c r="B111" i="18"/>
  <c r="D111" i="18" s="1"/>
  <c r="F111" i="18" s="1"/>
  <c r="G111" i="18" l="1"/>
  <c r="B112" i="18"/>
  <c r="D112" i="18" s="1"/>
  <c r="F112" i="18" s="1"/>
  <c r="B113" i="18" l="1"/>
  <c r="D113" i="18" s="1"/>
  <c r="F113" i="18" s="1"/>
  <c r="G112" i="18"/>
  <c r="G113" i="18" l="1"/>
  <c r="B114" i="18"/>
  <c r="D114" i="18" s="1"/>
  <c r="F114" i="18" s="1"/>
  <c r="G114" i="18" l="1"/>
  <c r="H114" i="18" s="1"/>
  <c r="I154" i="18" s="1"/>
  <c r="B117" i="18"/>
  <c r="D117" i="18" s="1"/>
  <c r="F117" i="18" s="1"/>
  <c r="B118" i="18" l="1"/>
  <c r="D118" i="18" s="1"/>
  <c r="F118" i="18" s="1"/>
  <c r="G117" i="18"/>
  <c r="I160" i="18"/>
  <c r="I24" i="17" s="1"/>
  <c r="J242" i="15"/>
  <c r="I19" i="17" l="1"/>
  <c r="I25" i="17" s="1"/>
  <c r="J246" i="15"/>
  <c r="J187" i="15" s="1"/>
  <c r="G118" i="18"/>
  <c r="B119" i="18"/>
  <c r="D119" i="18" s="1"/>
  <c r="F119" i="18" s="1"/>
  <c r="B120" i="18" l="1"/>
  <c r="D120" i="18" s="1"/>
  <c r="F120" i="18" s="1"/>
  <c r="G119" i="18"/>
  <c r="K13" i="15"/>
  <c r="K17" i="15" s="1"/>
  <c r="J189" i="15"/>
  <c r="K21" i="15" l="1"/>
  <c r="K23" i="15" s="1"/>
  <c r="K25" i="15" s="1"/>
  <c r="K26" i="15" s="1"/>
  <c r="K27" i="15" s="1"/>
  <c r="G120" i="18"/>
  <c r="B121" i="18"/>
  <c r="D121" i="18" s="1"/>
  <c r="F121" i="18" s="1"/>
  <c r="K29" i="15" l="1"/>
  <c r="K45" i="15" s="1"/>
  <c r="K50" i="15" s="1"/>
  <c r="I18" i="17"/>
  <c r="I22" i="17" s="1"/>
  <c r="G121" i="18"/>
  <c r="B122" i="18"/>
  <c r="D122" i="18" s="1"/>
  <c r="F122" i="18" s="1"/>
  <c r="I44" i="17" l="1"/>
  <c r="I41" i="17" s="1"/>
  <c r="I12" i="17"/>
  <c r="I13" i="17" s="1"/>
  <c r="I6" i="17" s="1"/>
  <c r="I27" i="17"/>
  <c r="K62" i="15"/>
  <c r="B123" i="18"/>
  <c r="D123" i="18" s="1"/>
  <c r="F123" i="18" s="1"/>
  <c r="G122" i="18"/>
  <c r="B124" i="18" l="1"/>
  <c r="D124" i="18" s="1"/>
  <c r="F124" i="18" s="1"/>
  <c r="G123" i="18"/>
  <c r="G124" i="18" l="1"/>
  <c r="B125" i="18"/>
  <c r="D125" i="18" s="1"/>
  <c r="F125" i="18" s="1"/>
  <c r="B126" i="18" l="1"/>
  <c r="D126" i="18" s="1"/>
  <c r="F126" i="18" s="1"/>
  <c r="G125" i="18"/>
  <c r="G126" i="18" l="1"/>
  <c r="B127" i="18"/>
  <c r="D127" i="18" s="1"/>
  <c r="F127" i="18" s="1"/>
  <c r="B128" i="18" l="1"/>
  <c r="D128" i="18" s="1"/>
  <c r="F128" i="18" s="1"/>
  <c r="B131" i="18" s="1"/>
  <c r="D131" i="18" s="1"/>
  <c r="F131" i="18" s="1"/>
  <c r="G127" i="18"/>
  <c r="G131" i="18" l="1"/>
  <c r="B132" i="18"/>
  <c r="D132" i="18" s="1"/>
  <c r="F132" i="18" s="1"/>
  <c r="G128" i="18"/>
  <c r="H128" i="18" s="1"/>
  <c r="J154" i="18" s="1"/>
  <c r="J160" i="18" l="1"/>
  <c r="J24" i="17" s="1"/>
  <c r="J25" i="17" s="1"/>
  <c r="K242" i="15"/>
  <c r="G132" i="18"/>
  <c r="B133" i="18"/>
  <c r="D133" i="18" s="1"/>
  <c r="F133" i="18" s="1"/>
  <c r="J19" i="17" l="1"/>
  <c r="K246" i="15"/>
  <c r="K187" i="15" s="1"/>
  <c r="G133" i="18"/>
  <c r="B134" i="18"/>
  <c r="D134" i="18" s="1"/>
  <c r="F134" i="18" s="1"/>
  <c r="L13" i="15" l="1"/>
  <c r="K189" i="15"/>
  <c r="G134" i="18"/>
  <c r="B135" i="18"/>
  <c r="D135" i="18" s="1"/>
  <c r="F135" i="18" s="1"/>
  <c r="L17" i="15" l="1"/>
  <c r="L21" i="15" s="1"/>
  <c r="L23" i="15" s="1"/>
  <c r="L25" i="15" s="1"/>
  <c r="L26" i="15" s="1"/>
  <c r="L27" i="15" s="1"/>
  <c r="L29" i="15" s="1"/>
  <c r="L45" i="15" s="1"/>
  <c r="G135" i="18"/>
  <c r="B136" i="18"/>
  <c r="D136" i="18" s="1"/>
  <c r="F136" i="18" s="1"/>
  <c r="J44" i="17" l="1"/>
  <c r="J41" i="17" s="1"/>
  <c r="L50" i="15"/>
  <c r="L62" i="15" s="1"/>
  <c r="J18" i="17"/>
  <c r="J22" i="17" s="1"/>
  <c r="J27" i="17" s="1"/>
  <c r="J12" i="17"/>
  <c r="J13" i="17" s="1"/>
  <c r="J6" i="17" s="1"/>
  <c r="B137" i="18"/>
  <c r="D137" i="18" s="1"/>
  <c r="F137" i="18" s="1"/>
  <c r="G136" i="18"/>
  <c r="G137" i="18" l="1"/>
  <c r="B138" i="18"/>
  <c r="D138" i="18" s="1"/>
  <c r="F138" i="18" s="1"/>
  <c r="B139" i="18" l="1"/>
  <c r="D139" i="18" s="1"/>
  <c r="F139" i="18" s="1"/>
  <c r="G138" i="18"/>
  <c r="B140" i="18" l="1"/>
  <c r="D140" i="18" s="1"/>
  <c r="F140" i="18" s="1"/>
  <c r="G139" i="18"/>
  <c r="G140" i="18" l="1"/>
  <c r="B141" i="18"/>
  <c r="D141" i="18" s="1"/>
  <c r="F141" i="18" s="1"/>
  <c r="B142" i="18" l="1"/>
  <c r="D142" i="18" s="1"/>
  <c r="F142" i="18" s="1"/>
  <c r="G141" i="18"/>
  <c r="G142" i="18" l="1"/>
  <c r="H142" i="18" s="1"/>
  <c r="K154" i="18" s="1"/>
  <c r="K160" i="18" s="1"/>
  <c r="K24" i="17" s="1"/>
  <c r="K25" i="17" s="1"/>
  <c r="B145" i="18"/>
  <c r="D145" i="18" s="1"/>
  <c r="F145" i="18" s="1"/>
  <c r="G145" i="18" l="1"/>
  <c r="B146" i="18"/>
  <c r="D146" i="18" s="1"/>
  <c r="F146" i="18" s="1"/>
  <c r="L242" i="15"/>
  <c r="K19" i="17" s="1"/>
  <c r="G146" i="18" l="1"/>
  <c r="B147" i="18"/>
  <c r="D147" i="18" s="1"/>
  <c r="F147" i="18" s="1"/>
  <c r="L246" i="15"/>
  <c r="L187" i="15" s="1"/>
  <c r="G147" i="18" l="1"/>
  <c r="B148" i="18"/>
  <c r="D148" i="18" s="1"/>
  <c r="F148" i="18" s="1"/>
  <c r="G148" i="18" s="1"/>
  <c r="M13" i="15"/>
  <c r="L189" i="15"/>
  <c r="H148" i="18" l="1"/>
  <c r="L154" i="18" s="1"/>
  <c r="M242" i="15" s="1"/>
  <c r="M17" i="15"/>
  <c r="M21" i="15" s="1"/>
  <c r="M23" i="15" s="1"/>
  <c r="M25" i="15" s="1"/>
  <c r="M26" i="15" s="1"/>
  <c r="M27" i="15" s="1"/>
  <c r="L160" i="18" l="1"/>
  <c r="L24" i="17" s="1"/>
  <c r="L25" i="17" s="1"/>
  <c r="M29" i="15"/>
  <c r="M45" i="15" s="1"/>
  <c r="K12" i="17" s="1"/>
  <c r="K13" i="17" s="1"/>
  <c r="K6" i="17" s="1"/>
  <c r="K18" i="17"/>
  <c r="K22" i="17" s="1"/>
  <c r="K27" i="17" s="1"/>
  <c r="L19" i="17"/>
  <c r="M246" i="15"/>
  <c r="M187" i="15" s="1"/>
  <c r="K44" i="17" l="1"/>
  <c r="K41" i="17" s="1"/>
  <c r="M50" i="15"/>
  <c r="M62" i="15" s="1"/>
  <c r="N13" i="15"/>
  <c r="M189" i="15"/>
  <c r="N17" i="15" l="1"/>
  <c r="N21" i="15" s="1"/>
  <c r="N23" i="15" s="1"/>
  <c r="N25" i="15" s="1"/>
  <c r="N26" i="15" s="1"/>
  <c r="N27" i="15" s="1"/>
  <c r="L18" i="17" s="1"/>
  <c r="L22" i="17" s="1"/>
  <c r="N29" i="15" l="1"/>
  <c r="N45" i="15" s="1"/>
  <c r="L12" i="17" s="1"/>
  <c r="L13" i="17" s="1"/>
  <c r="L6" i="17" s="1"/>
  <c r="L27" i="17"/>
  <c r="B29" i="17"/>
  <c r="L44" i="17" l="1"/>
  <c r="L41" i="17" s="1"/>
  <c r="N50" i="15"/>
  <c r="N62" i="15" s="1"/>
</calcChain>
</file>

<file path=xl/sharedStrings.xml><?xml version="1.0" encoding="utf-8"?>
<sst xmlns="http://schemas.openxmlformats.org/spreadsheetml/2006/main" count="703" uniqueCount="312">
  <si>
    <t xml:space="preserve"> (Amount Rs. in Lacs)</t>
  </si>
  <si>
    <t>YEAR</t>
  </si>
  <si>
    <t>Interest</t>
  </si>
  <si>
    <t>-</t>
  </si>
  <si>
    <t>Total Liabilities</t>
  </si>
  <si>
    <t>TOTAL</t>
  </si>
  <si>
    <t>Other Current Liabilities</t>
  </si>
  <si>
    <t>Principal</t>
  </si>
  <si>
    <t>COST OF PROJECT</t>
  </si>
  <si>
    <t>LAND</t>
  </si>
  <si>
    <t>BUILDING</t>
  </si>
  <si>
    <t>PLANT AND MACHINERY</t>
  </si>
  <si>
    <t>TOTAL COST OF PROJECT</t>
  </si>
  <si>
    <t>MEANS OF FINANCE</t>
  </si>
  <si>
    <t>TERM LOAN FROM BANK</t>
  </si>
  <si>
    <t>TOTAL SOURCE OF FUNDS</t>
  </si>
  <si>
    <t>S.NO</t>
  </si>
  <si>
    <t>LAND DETAILS &amp; SITE DEVELOPMENT</t>
  </si>
  <si>
    <t>RATE</t>
  </si>
  <si>
    <t>DESCRIPTION</t>
  </si>
  <si>
    <t>Total</t>
  </si>
  <si>
    <t>PARTICULARS</t>
  </si>
  <si>
    <t>IMPLEMENTATION SCHEDULE OF PROPOSED UNIT</t>
  </si>
  <si>
    <t>ACTIVITIES</t>
  </si>
  <si>
    <t>START DATE</t>
  </si>
  <si>
    <t>END DATE</t>
  </si>
  <si>
    <t>ORDER PLACEMENT</t>
  </si>
  <si>
    <t>RECEIPT OF MACHINE</t>
  </si>
  <si>
    <t xml:space="preserve">INSTALLATION </t>
  </si>
  <si>
    <t>COMMISSIONING</t>
  </si>
  <si>
    <t>FURNITURE/FIXTURE/MISC ASSTES</t>
  </si>
  <si>
    <t>DESIGNATION</t>
  </si>
  <si>
    <t>MANPOWER DETAILS PER MONTH</t>
  </si>
  <si>
    <t>TOTAL FIXED ASSETS</t>
  </si>
  <si>
    <t>Salary Expenses</t>
  </si>
  <si>
    <t>FURNITURE &amp; FIXTURES</t>
  </si>
  <si>
    <t>AMOUNT (RS. IN LACS)</t>
  </si>
  <si>
    <t>Particulars</t>
  </si>
  <si>
    <t>Other Receipts</t>
  </si>
  <si>
    <t>Total Revenue</t>
  </si>
  <si>
    <t>Food &amp; Beverages Exp.</t>
  </si>
  <si>
    <t>Financial Expenses</t>
  </si>
  <si>
    <t>Adm. &amp; Operational Exp.</t>
  </si>
  <si>
    <t>Pre-Operative Expenses W/off</t>
  </si>
  <si>
    <t>Total Expenses</t>
  </si>
  <si>
    <t>Less : Depreciation</t>
  </si>
  <si>
    <t>Operating Profit</t>
  </si>
  <si>
    <t>Profit Before Tax</t>
  </si>
  <si>
    <t>Provision For Tax</t>
  </si>
  <si>
    <t>Profit After Tax</t>
  </si>
  <si>
    <t>Net Retained Profit</t>
  </si>
  <si>
    <t>Total Expenses including Depreciation</t>
  </si>
  <si>
    <t>PROJECTED BALANCE SHEET</t>
  </si>
  <si>
    <t>LIABILITIES</t>
  </si>
  <si>
    <t>Reserves and Surplus</t>
  </si>
  <si>
    <t>Term Loan From Bank</t>
  </si>
  <si>
    <t>ASSETS</t>
  </si>
  <si>
    <t>Fixed Assets</t>
  </si>
  <si>
    <t>Loans and Deposits</t>
  </si>
  <si>
    <t>Other Current Assets</t>
  </si>
  <si>
    <t>Cash and Bank</t>
  </si>
  <si>
    <t>Total Assets</t>
  </si>
  <si>
    <t>REVENUE:</t>
  </si>
  <si>
    <t>EXPENSES:</t>
  </si>
  <si>
    <t>Total No. of Days in Year</t>
  </si>
  <si>
    <t>365 Days</t>
  </si>
  <si>
    <t>Season Days</t>
  </si>
  <si>
    <t>Off Season Days</t>
  </si>
  <si>
    <t>During Season</t>
  </si>
  <si>
    <t>During Off Season</t>
  </si>
  <si>
    <t>Occupancy</t>
  </si>
  <si>
    <t>Total No. of Days in Season</t>
  </si>
  <si>
    <t>Tariff</t>
  </si>
  <si>
    <t>%tage of Gross Receipts</t>
  </si>
  <si>
    <t>Sitting Capacity</t>
  </si>
  <si>
    <t>Total Seats to be Occupied</t>
  </si>
  <si>
    <t>Avg Selling Price per Plate</t>
  </si>
  <si>
    <t>BANQUET SERVICES</t>
  </si>
  <si>
    <t>Total No. of Days</t>
  </si>
  <si>
    <t>Occupancy %tage</t>
  </si>
  <si>
    <t>No. of Days to be Occupied</t>
  </si>
  <si>
    <t>%tage Increase in rates</t>
  </si>
  <si>
    <t>Banquet Tariff Per Day</t>
  </si>
  <si>
    <t>RECEIPT OF FURNITURE</t>
  </si>
  <si>
    <t>Receptionist</t>
  </si>
  <si>
    <t>Housekeeping Staffs</t>
  </si>
  <si>
    <t>Cleaner</t>
  </si>
  <si>
    <t>Sweeper</t>
  </si>
  <si>
    <t>A.</t>
  </si>
  <si>
    <t>Waiters</t>
  </si>
  <si>
    <t>Chef</t>
  </si>
  <si>
    <t>Cooking Staff</t>
  </si>
  <si>
    <t>General</t>
  </si>
  <si>
    <t>GM</t>
  </si>
  <si>
    <t>Office Boy</t>
  </si>
  <si>
    <t>Accountant</t>
  </si>
  <si>
    <t>Store Keeper</t>
  </si>
  <si>
    <t>FOOD AND BEVERAGES EXPENSES</t>
  </si>
  <si>
    <t>EXPENSES SUMMARY</t>
  </si>
  <si>
    <t>%tage of Material Consumed</t>
  </si>
  <si>
    <t>Total Cost of Material Consumed</t>
  </si>
  <si>
    <t>ADM. &amp; OPERATIONAL EXPENSES</t>
  </si>
  <si>
    <t>%tage Increase in Expenses</t>
  </si>
  <si>
    <t>Laundry and Toiletries Expenses</t>
  </si>
  <si>
    <t>Banquet Maintenance Expenses</t>
  </si>
  <si>
    <t>Electricity and Water Expenses</t>
  </si>
  <si>
    <t>Repairs and Maintenance Expenses</t>
  </si>
  <si>
    <t>Telephone and Internet Expenses</t>
  </si>
  <si>
    <t>Travelling Expenses</t>
  </si>
  <si>
    <t>Advertisement Expenses</t>
  </si>
  <si>
    <t>Printing Expenses</t>
  </si>
  <si>
    <t>Professional &amp; Legal Fees</t>
  </si>
  <si>
    <t>Land</t>
  </si>
  <si>
    <t>Current Dep.</t>
  </si>
  <si>
    <t>WDV (End of Year)</t>
  </si>
  <si>
    <t>WDV (Beg.)</t>
  </si>
  <si>
    <t xml:space="preserve">Additions </t>
  </si>
  <si>
    <t>Furniture &amp; Fixture</t>
  </si>
  <si>
    <t>Total Current Dep.</t>
  </si>
  <si>
    <t xml:space="preserve">Calculation of Depreciation as per Income Tax </t>
  </si>
  <si>
    <t>Rate</t>
  </si>
  <si>
    <t>Building</t>
  </si>
  <si>
    <t>(Rs. in Lakhs)</t>
  </si>
  <si>
    <t>Construction Rate per Sq. ft.</t>
  </si>
  <si>
    <t>NO'S</t>
  </si>
  <si>
    <t>Plant &amp; Machinery</t>
  </si>
  <si>
    <t>Computers &amp; Softwares</t>
  </si>
  <si>
    <t>Gross Block</t>
  </si>
  <si>
    <t>Less: Dep</t>
  </si>
  <si>
    <t>Net Block</t>
  </si>
  <si>
    <t>DSCR CALCULATIONS</t>
  </si>
  <si>
    <t>Debt Equity Ratio = a/b</t>
  </si>
  <si>
    <t>Term Loan</t>
  </si>
  <si>
    <t>Total (a)</t>
  </si>
  <si>
    <t>Capital + Internal Accruals</t>
  </si>
  <si>
    <t>Reserve &amp; Surplus</t>
  </si>
  <si>
    <t>Debt Service Coverage Ratio (DSCR)</t>
  </si>
  <si>
    <t>Total (A)</t>
  </si>
  <si>
    <t>Interest on Term Loan</t>
  </si>
  <si>
    <t>Total (B)</t>
  </si>
  <si>
    <t>Debt Service Coverage Ratio (DSCR)A/B</t>
  </si>
  <si>
    <t>B.</t>
  </si>
  <si>
    <t>C.</t>
  </si>
  <si>
    <t>FINANCIAL EXPENSES</t>
  </si>
  <si>
    <t>Bank Charges</t>
  </si>
  <si>
    <t>Other Interest and Charges</t>
  </si>
  <si>
    <t>Net Operating Profit</t>
  </si>
  <si>
    <t>Add: Interest Expenses</t>
  </si>
  <si>
    <t>Add: Depreciation</t>
  </si>
  <si>
    <t>Add: Preliminary Expenses W/off</t>
  </si>
  <si>
    <t>Debt Equity Ratio</t>
  </si>
  <si>
    <t>Addition</t>
  </si>
  <si>
    <t>(Rs. In Lakhs)</t>
  </si>
  <si>
    <t>NO.</t>
  </si>
  <si>
    <t>S.NO.</t>
  </si>
  <si>
    <t>Months</t>
  </si>
  <si>
    <t>Opening</t>
  </si>
  <si>
    <t>Repaid</t>
  </si>
  <si>
    <t>Closing</t>
  </si>
  <si>
    <t>2023-24</t>
  </si>
  <si>
    <t>2024-25</t>
  </si>
  <si>
    <t>2025-26</t>
  </si>
  <si>
    <t>2026-27</t>
  </si>
  <si>
    <t>2027-28</t>
  </si>
  <si>
    <t>Year</t>
  </si>
  <si>
    <t>Repayment</t>
  </si>
  <si>
    <t>Outstanding</t>
  </si>
  <si>
    <t>Air Conditions</t>
  </si>
  <si>
    <t>DG Set</t>
  </si>
  <si>
    <t>Transformer</t>
  </si>
  <si>
    <t>CCTV</t>
  </si>
  <si>
    <t>Television Sets</t>
  </si>
  <si>
    <t>Lumpsum</t>
  </si>
  <si>
    <t>BANQUET FURNITURE</t>
  </si>
  <si>
    <t>TERM LOAN CALCULATION</t>
  </si>
  <si>
    <t>REPAYMENT SCHEDULE</t>
  </si>
  <si>
    <t>AMOUNT</t>
  </si>
  <si>
    <t>MARGIN %</t>
  </si>
  <si>
    <t>OWN FUNDS</t>
  </si>
  <si>
    <t>BANK LOAN</t>
  </si>
  <si>
    <t>(Rs. In Lacs)</t>
  </si>
  <si>
    <t>Area in Sq. ft.</t>
  </si>
  <si>
    <t>(Rs. in lacs)</t>
  </si>
  <si>
    <t>Received</t>
  </si>
  <si>
    <t>Current Maturity</t>
  </si>
  <si>
    <t>Long Term Maturity</t>
  </si>
  <si>
    <t>EMI</t>
  </si>
  <si>
    <t>219 Days</t>
  </si>
  <si>
    <t>146 Days</t>
  </si>
  <si>
    <t>SERVICES FROM SPA</t>
  </si>
  <si>
    <t>Total Person in a year</t>
  </si>
  <si>
    <t>%tage of Person will use SPA Services</t>
  </si>
  <si>
    <t>Person will use SPA Services</t>
  </si>
  <si>
    <t>%tage increase in Price</t>
  </si>
  <si>
    <t>SPA Price per Person</t>
  </si>
  <si>
    <t>(-) Charged to Pre-operative Expenses</t>
  </si>
  <si>
    <t xml:space="preserve">PROJECTED PROFITABILITY STATEMENT </t>
  </si>
  <si>
    <t>Current Ratio</t>
  </si>
  <si>
    <t>Current Ratio = a/b</t>
  </si>
  <si>
    <t>TOL/TNW</t>
  </si>
  <si>
    <t>TOL/TNW= a/b</t>
  </si>
  <si>
    <t>Current Assets (a)</t>
  </si>
  <si>
    <t>Current Liabilities including Current Term Loan Installment (b)</t>
  </si>
  <si>
    <t>TOL (a)</t>
  </si>
  <si>
    <t>TNW (b)</t>
  </si>
  <si>
    <t>Total (b)</t>
  </si>
  <si>
    <t>WATER HEATER</t>
  </si>
  <si>
    <t>WATER TREATMENT</t>
  </si>
  <si>
    <t>WATER SOFTNER PLANT</t>
  </si>
  <si>
    <t>FILTER PLANT</t>
  </si>
  <si>
    <t>Sewerage Treatment Plant</t>
  </si>
  <si>
    <t>Unsecured Loans</t>
  </si>
  <si>
    <t>SOURCE OF FUNDS</t>
  </si>
  <si>
    <t>AREA IN SQUARE METERS</t>
  </si>
  <si>
    <t>KITCHEN EQUIPMENTS</t>
  </si>
  <si>
    <t>COMPUTER SYSTEM</t>
  </si>
  <si>
    <t>EPABX SYSTEM, TELEPHONE SETS AND TELEPHONE LINES</t>
  </si>
  <si>
    <t>2028-29</t>
  </si>
  <si>
    <t>(Amount Rs. in Lacs)</t>
  </si>
  <si>
    <t>LAND DETAILS</t>
  </si>
  <si>
    <t xml:space="preserve">NOTE: </t>
  </si>
  <si>
    <t>SPECIFICATION</t>
  </si>
  <si>
    <t>BANQUET HALL</t>
  </si>
  <si>
    <t xml:space="preserve">SWIMMING POOL </t>
  </si>
  <si>
    <t>a</t>
  </si>
  <si>
    <t>b</t>
  </si>
  <si>
    <t>c</t>
  </si>
  <si>
    <t>d</t>
  </si>
  <si>
    <t>MANPOWER</t>
  </si>
  <si>
    <t>BUILDING (COST OF CONSTRUCTION)</t>
  </si>
  <si>
    <t>2029-30</t>
  </si>
  <si>
    <t>(a)</t>
  </si>
  <si>
    <t>SPA</t>
  </si>
  <si>
    <t>Swimming Pool and Spa</t>
  </si>
  <si>
    <t>2030-31</t>
  </si>
  <si>
    <t>2031-32</t>
  </si>
  <si>
    <t>2032-33</t>
  </si>
  <si>
    <t>Swimming Pool and Spa Maintenance Expenses</t>
  </si>
  <si>
    <t>TOTAL AMOUNT (RS. IN LAKHS)</t>
  </si>
  <si>
    <t xml:space="preserve">TOTAL </t>
  </si>
  <si>
    <t>RECEPTION FURNITURE</t>
  </si>
  <si>
    <t>Manager</t>
  </si>
  <si>
    <t>Service</t>
  </si>
  <si>
    <t>Services</t>
  </si>
  <si>
    <t>Total Food Receipts (A)</t>
  </si>
  <si>
    <t>Total Receipts from Banquet (B)</t>
  </si>
  <si>
    <t>Receipts from SPA ('C)</t>
  </si>
  <si>
    <t xml:space="preserve">Receipts from Food </t>
  </si>
  <si>
    <t>M/s VAYU SUITES</t>
  </si>
  <si>
    <t>OTHER AREA FURNITURE</t>
  </si>
  <si>
    <t>Project Report of M/s VAYU SUITES</t>
  </si>
  <si>
    <t xml:space="preserve">Interest @ </t>
  </si>
  <si>
    <t>Preoperative Expenses</t>
  </si>
  <si>
    <t>PARTNERS CAPITAL /QUASI CAPITAL</t>
  </si>
  <si>
    <t xml:space="preserve">REG. ADDRESS : -LOBBY LEVEL, INSIDE HOTEL VISHNUPRIYA, 9, GULAB BAGH ROAD, UDAIPUR, RAJASTHAN, 313001 </t>
  </si>
  <si>
    <t>Operations - Others</t>
  </si>
  <si>
    <t>FOOD RECEIPTS</t>
  </si>
  <si>
    <t>NO. OF ROOMS / VILLAS</t>
  </si>
  <si>
    <t>Partner's Capital</t>
  </si>
  <si>
    <t>Avg. No. of Person to be stayed in Single Villa</t>
  </si>
  <si>
    <t>UNIT ADDRESS : -KHASARA NO. 579/546, REVENUE VILLAGE-SENA, TEHSIL-BALI, DISTRICT-PALI, RAJASTHAN</t>
  </si>
  <si>
    <r>
      <rPr>
        <b/>
        <sz val="12"/>
        <color theme="1"/>
        <rFont val="Calibri"/>
        <family val="2"/>
        <scheme val="minor"/>
      </rPr>
      <t>LAND</t>
    </r>
    <r>
      <rPr>
        <sz val="12"/>
        <color theme="1"/>
        <rFont val="Calibri"/>
        <family val="2"/>
        <scheme val="minor"/>
      </rPr>
      <t xml:space="preserve"> IS SITUATED AT KHASARA NO. 579/546, REVENUE VILLAGE-SENA, TEHSIL-BALI, DISTRICT-PALI, RAJASTHAN, HAVING TOTAL AREA OF 32800 SQUARE METERS.</t>
    </r>
  </si>
  <si>
    <r>
      <rPr>
        <b/>
        <sz val="12"/>
        <color theme="1"/>
        <rFont val="Calibri"/>
        <family val="2"/>
        <scheme val="minor"/>
      </rPr>
      <t>LAND</t>
    </r>
    <r>
      <rPr>
        <sz val="12"/>
        <color theme="1"/>
        <rFont val="Calibri"/>
        <family val="2"/>
        <scheme val="minor"/>
      </rPr>
      <t xml:space="preserve"> IS SITUATED AT KHASARA NO. 579/546, REVENUE VILLAGE-SENA, TEHSIL-BALI, DISTRICT-PALI, RAJASTHAN.</t>
    </r>
  </si>
  <si>
    <t>NEW HOTEL PROJECT</t>
  </si>
  <si>
    <t>ROOMS/VILLA'S FURNITURE</t>
  </si>
  <si>
    <t>Operations -Hotel</t>
  </si>
  <si>
    <t>Manager - Hotel</t>
  </si>
  <si>
    <t>Rooms/Villa Receipts</t>
  </si>
  <si>
    <t>ROOMS/VILLA RECEIPTS</t>
  </si>
  <si>
    <t>Total No.of Rooms/Villa</t>
  </si>
  <si>
    <t>No. of Rooms / Villa</t>
  </si>
  <si>
    <t>Total Rooms/Villa to be Occupied</t>
  </si>
  <si>
    <t>Rooms/Villa Receipts -</t>
  </si>
  <si>
    <t>Total Rooms/ Villa Booking Receipts (A)</t>
  </si>
  <si>
    <t>Rooms/ Villa Service Charges -</t>
  </si>
  <si>
    <t>Total Rooms/ Villa Service Charges Receipts (B)</t>
  </si>
  <si>
    <t>Total Rooms/ Villa Receipts (A+B)</t>
  </si>
  <si>
    <t>Total No. of Rooms/ Villa</t>
  </si>
  <si>
    <t>Receipts from Rooms/ Villa Services</t>
  </si>
  <si>
    <t>Refrigerator</t>
  </si>
  <si>
    <t>Security Guards</t>
  </si>
  <si>
    <t>2033-34</t>
  </si>
  <si>
    <t>TOTAL OTHER RECEIPTS (A+B+C)</t>
  </si>
  <si>
    <t>2034-35</t>
  </si>
  <si>
    <t>Average DSCR based on 2025-2035</t>
  </si>
  <si>
    <t>Other Administrative Expenses</t>
  </si>
  <si>
    <t>31.03.2026</t>
  </si>
  <si>
    <t>31.01.2026</t>
  </si>
  <si>
    <t>01.04.2025</t>
  </si>
  <si>
    <t>28.02.2026</t>
  </si>
  <si>
    <t>Reception Block</t>
  </si>
  <si>
    <t>Spa and Gym</t>
  </si>
  <si>
    <t>Restaurant &amp; Bar Block</t>
  </si>
  <si>
    <t>BOH</t>
  </si>
  <si>
    <t>One Room Villa (12)</t>
  </si>
  <si>
    <t>Two Room Villa (3)</t>
  </si>
  <si>
    <t>Electrical Installation</t>
  </si>
  <si>
    <t>PRELIMINARY EXPENSES</t>
  </si>
  <si>
    <t xml:space="preserve">Staff Area </t>
  </si>
  <si>
    <t>Landscaping</t>
  </si>
  <si>
    <t>Archietect Fees</t>
  </si>
  <si>
    <t>Brand Tie Up Cost</t>
  </si>
  <si>
    <t>Add : GST @ 18%</t>
  </si>
  <si>
    <t>Foundation</t>
  </si>
  <si>
    <t>AMOUNT (RS.)</t>
  </si>
  <si>
    <t>RESTAURANT FURNITURE</t>
  </si>
  <si>
    <t>Fixed Asset Coverage Ratio</t>
  </si>
  <si>
    <t>Net Fixed Asset/Debt= a/b</t>
  </si>
  <si>
    <t>Net Fixed Asset (a)</t>
  </si>
  <si>
    <t>Debt (b)</t>
  </si>
  <si>
    <t>AMOUNT ( Rs. In Lakhs)</t>
  </si>
  <si>
    <t>RATE (RS. IN LACS)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</si>
</sst>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(&quot;$&quot;* #,##0.00_);_(&quot;$&quot;* \(#,##0.00\);_(&quot;$&quot;* &quot;-&quot;??_);_(@_)"/>
    <numFmt numFmtId="165" formatCode="0.00_)"/>
    <numFmt numFmtId="166" formatCode="0_)"/>
    <numFmt numFmtId="167" formatCode="_(* #,##0.00_);_(* \(#,##0.00\);_(* \-??_);_(@_)"/>
    <numFmt numFmtId="168" formatCode="m&quot;ont&quot;h\ d&quot;, &quot;yyyy"/>
    <numFmt numFmtId="169" formatCode="#.00"/>
    <numFmt numFmtId="170" formatCode="#."/>
  </numFmts>
  <fonts count="33" x14ac:knownFonts="1">
    <font>
      <sz val="10"/>
      <name val="Courie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"/>
      <color indexed="8"/>
      <name val="Courier New"/>
      <family val="3"/>
    </font>
    <font>
      <b/>
      <sz val="1"/>
      <color indexed="8"/>
      <name val="Courier New"/>
      <family val="3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ourier"/>
      <family val="3"/>
    </font>
    <font>
      <b/>
      <u/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14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Courier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5">
    <xf numFmtId="0" fontId="0" fillId="0" borderId="0"/>
    <xf numFmtId="0" fontId="17" fillId="0" borderId="0"/>
    <xf numFmtId="9" fontId="17" fillId="0" borderId="0" applyFill="0" applyBorder="0" applyAlignment="0" applyProtection="0"/>
    <xf numFmtId="167" fontId="17" fillId="0" borderId="0" applyFill="0" applyBorder="0" applyAlignment="0" applyProtection="0"/>
    <xf numFmtId="168" fontId="18" fillId="0" borderId="0">
      <protection locked="0"/>
    </xf>
    <xf numFmtId="169" fontId="18" fillId="0" borderId="0">
      <protection locked="0"/>
    </xf>
    <xf numFmtId="170" fontId="19" fillId="0" borderId="0">
      <protection locked="0"/>
    </xf>
    <xf numFmtId="170" fontId="19" fillId="0" borderId="0">
      <protection locked="0"/>
    </xf>
    <xf numFmtId="0" fontId="17" fillId="0" borderId="0"/>
    <xf numFmtId="0" fontId="17" fillId="0" borderId="0"/>
    <xf numFmtId="0" fontId="16" fillId="0" borderId="0"/>
    <xf numFmtId="0" fontId="21" fillId="0" borderId="0"/>
    <xf numFmtId="164" fontId="17" fillId="0" borderId="0" applyFont="0" applyFill="0" applyBorder="0" applyAlignment="0" applyProtection="0"/>
    <xf numFmtId="0" fontId="9" fillId="0" borderId="0"/>
    <xf numFmtId="9" fontId="32" fillId="0" borderId="0" applyFont="0" applyFill="0" applyBorder="0" applyAlignment="0" applyProtection="0"/>
  </cellStyleXfs>
  <cellXfs count="360">
    <xf numFmtId="0" fontId="0" fillId="0" borderId="0" xfId="0"/>
    <xf numFmtId="0" fontId="16" fillId="0" borderId="0" xfId="10"/>
    <xf numFmtId="0" fontId="16" fillId="0" borderId="0" xfId="10" applyAlignment="1">
      <alignment wrapText="1"/>
    </xf>
    <xf numFmtId="0" fontId="20" fillId="0" borderId="4" xfId="10" applyFont="1" applyBorder="1"/>
    <xf numFmtId="0" fontId="16" fillId="0" borderId="4" xfId="10" applyBorder="1"/>
    <xf numFmtId="0" fontId="20" fillId="0" borderId="0" xfId="10" applyFont="1"/>
    <xf numFmtId="0" fontId="14" fillId="0" borderId="4" xfId="10" applyFont="1" applyBorder="1"/>
    <xf numFmtId="0" fontId="14" fillId="0" borderId="0" xfId="10" applyFont="1"/>
    <xf numFmtId="2" fontId="16" fillId="0" borderId="0" xfId="10" applyNumberFormat="1"/>
    <xf numFmtId="0" fontId="20" fillId="0" borderId="4" xfId="10" applyFont="1" applyBorder="1" applyAlignment="1">
      <alignment horizontal="center"/>
    </xf>
    <xf numFmtId="0" fontId="20" fillId="0" borderId="4" xfId="10" applyFont="1" applyBorder="1" applyAlignment="1">
      <alignment horizontal="center" vertical="center"/>
    </xf>
    <xf numFmtId="0" fontId="22" fillId="0" borderId="4" xfId="0" applyFont="1" applyBorder="1"/>
    <xf numFmtId="2" fontId="22" fillId="0" borderId="4" xfId="0" applyNumberFormat="1" applyFont="1" applyBorder="1"/>
    <xf numFmtId="0" fontId="12" fillId="0" borderId="4" xfId="10" applyFont="1" applyBorder="1" applyAlignment="1">
      <alignment vertical="center"/>
    </xf>
    <xf numFmtId="0" fontId="22" fillId="0" borderId="0" xfId="0" applyFont="1"/>
    <xf numFmtId="0" fontId="23" fillId="0" borderId="0" xfId="0" applyFont="1"/>
    <xf numFmtId="0" fontId="23" fillId="0" borderId="4" xfId="0" applyFont="1" applyBorder="1"/>
    <xf numFmtId="10" fontId="22" fillId="0" borderId="4" xfId="0" applyNumberFormat="1" applyFont="1" applyBorder="1"/>
    <xf numFmtId="0" fontId="16" fillId="0" borderId="4" xfId="10" applyBorder="1" applyAlignment="1">
      <alignment horizontal="center" vertical="center"/>
    </xf>
    <xf numFmtId="0" fontId="24" fillId="0" borderId="0" xfId="0" applyFont="1"/>
    <xf numFmtId="0" fontId="20" fillId="0" borderId="4" xfId="10" applyFont="1" applyBorder="1" applyAlignment="1">
      <alignment vertical="center"/>
    </xf>
    <xf numFmtId="0" fontId="20" fillId="0" borderId="4" xfId="10" applyFont="1" applyBorder="1" applyAlignment="1">
      <alignment vertical="center" wrapText="1"/>
    </xf>
    <xf numFmtId="0" fontId="15" fillId="0" borderId="5" xfId="10" applyFont="1" applyBorder="1" applyAlignment="1">
      <alignment horizontal="center" vertical="center"/>
    </xf>
    <xf numFmtId="0" fontId="20" fillId="0" borderId="4" xfId="10" applyFont="1" applyBorder="1" applyAlignment="1">
      <alignment horizontal="center" vertical="center" wrapText="1"/>
    </xf>
    <xf numFmtId="0" fontId="12" fillId="0" borderId="4" xfId="10" applyFont="1" applyBorder="1" applyAlignment="1">
      <alignment horizontal="center" vertical="center"/>
    </xf>
    <xf numFmtId="0" fontId="12" fillId="0" borderId="4" xfId="10" applyFont="1" applyBorder="1" applyAlignment="1">
      <alignment vertical="center" wrapText="1"/>
    </xf>
    <xf numFmtId="0" fontId="12" fillId="0" borderId="4" xfId="10" applyFont="1" applyBorder="1" applyAlignment="1">
      <alignment horizontal="center" vertical="center" wrapText="1"/>
    </xf>
    <xf numFmtId="2" fontId="12" fillId="0" borderId="4" xfId="10" applyNumberFormat="1" applyFont="1" applyBorder="1" applyAlignment="1">
      <alignment vertical="center"/>
    </xf>
    <xf numFmtId="2" fontId="20" fillId="0" borderId="4" xfId="10" applyNumberFormat="1" applyFont="1" applyBorder="1" applyAlignment="1">
      <alignment vertical="center"/>
    </xf>
    <xf numFmtId="2" fontId="12" fillId="0" borderId="4" xfId="10" applyNumberFormat="1" applyFont="1" applyBorder="1" applyAlignment="1">
      <alignment horizontal="center" vertical="center"/>
    </xf>
    <xf numFmtId="2" fontId="16" fillId="0" borderId="5" xfId="10" applyNumberFormat="1" applyBorder="1" applyAlignment="1">
      <alignment horizontal="center" vertical="center"/>
    </xf>
    <xf numFmtId="2" fontId="12" fillId="0" borderId="4" xfId="10" applyNumberFormat="1" applyFont="1" applyBorder="1" applyAlignment="1">
      <alignment vertical="center" wrapText="1"/>
    </xf>
    <xf numFmtId="2" fontId="23" fillId="0" borderId="4" xfId="0" applyNumberFormat="1" applyFont="1" applyBorder="1"/>
    <xf numFmtId="0" fontId="13" fillId="0" borderId="1" xfId="10" applyFont="1" applyBorder="1" applyAlignment="1"/>
    <xf numFmtId="0" fontId="20" fillId="0" borderId="1" xfId="10" applyFont="1" applyBorder="1" applyAlignment="1"/>
    <xf numFmtId="0" fontId="22" fillId="0" borderId="4" xfId="0" applyFont="1" applyBorder="1" applyAlignment="1">
      <alignment horizontal="center" vertical="center"/>
    </xf>
    <xf numFmtId="17" fontId="13" fillId="0" borderId="4" xfId="10" applyNumberFormat="1" applyFont="1" applyBorder="1" applyAlignment="1">
      <alignment horizontal="center" vertical="center"/>
    </xf>
    <xf numFmtId="2" fontId="13" fillId="0" borderId="4" xfId="10" applyNumberFormat="1" applyFont="1" applyBorder="1" applyAlignment="1">
      <alignment horizontal="center" vertical="center"/>
    </xf>
    <xf numFmtId="2" fontId="22" fillId="0" borderId="4" xfId="0" applyNumberFormat="1" applyFont="1" applyBorder="1" applyAlignment="1">
      <alignment horizontal="center" vertical="center"/>
    </xf>
    <xf numFmtId="2" fontId="13" fillId="0" borderId="0" xfId="10" applyNumberFormat="1" applyFont="1" applyBorder="1" applyAlignment="1">
      <alignment horizontal="center" vertical="center"/>
    </xf>
    <xf numFmtId="17" fontId="13" fillId="0" borderId="7" xfId="10" applyNumberFormat="1" applyFont="1" applyBorder="1" applyAlignment="1">
      <alignment horizontal="center" vertical="center"/>
    </xf>
    <xf numFmtId="2" fontId="13" fillId="0" borderId="7" xfId="10" applyNumberFormat="1" applyFont="1" applyBorder="1" applyAlignment="1">
      <alignment horizontal="center" vertical="center"/>
    </xf>
    <xf numFmtId="2" fontId="22" fillId="0" borderId="7" xfId="0" applyNumberFormat="1" applyFont="1" applyBorder="1" applyAlignment="1">
      <alignment horizontal="center" vertical="center"/>
    </xf>
    <xf numFmtId="17" fontId="13" fillId="0" borderId="9" xfId="10" applyNumberFormat="1" applyFont="1" applyBorder="1" applyAlignment="1">
      <alignment horizontal="center" vertical="center"/>
    </xf>
    <xf numFmtId="0" fontId="13" fillId="0" borderId="9" xfId="10" applyFont="1" applyBorder="1" applyAlignment="1">
      <alignment horizontal="center" vertical="center"/>
    </xf>
    <xf numFmtId="2" fontId="13" fillId="0" borderId="9" xfId="10" applyNumberFormat="1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17" fontId="20" fillId="0" borderId="4" xfId="10" applyNumberFormat="1" applyFont="1" applyBorder="1" applyAlignment="1">
      <alignment horizontal="center" vertical="center"/>
    </xf>
    <xf numFmtId="0" fontId="22" fillId="0" borderId="4" xfId="0" applyFont="1" applyFill="1" applyBorder="1"/>
    <xf numFmtId="0" fontId="16" fillId="0" borderId="4" xfId="10" applyBorder="1" applyAlignment="1">
      <alignment horizontal="left" vertical="center"/>
    </xf>
    <xf numFmtId="0" fontId="14" fillId="0" borderId="4" xfId="10" applyFont="1" applyBorder="1" applyAlignment="1">
      <alignment horizontal="left" vertical="center"/>
    </xf>
    <xf numFmtId="0" fontId="22" fillId="0" borderId="0" xfId="0" applyFont="1" applyFill="1"/>
    <xf numFmtId="0" fontId="22" fillId="0" borderId="1" xfId="0" applyFont="1" applyFill="1" applyBorder="1" applyAlignment="1"/>
    <xf numFmtId="2" fontId="22" fillId="0" borderId="0" xfId="0" applyNumberFormat="1" applyFont="1"/>
    <xf numFmtId="39" fontId="22" fillId="0" borderId="0" xfId="0" applyNumberFormat="1" applyFont="1" applyAlignment="1" applyProtection="1">
      <alignment horizontal="justify" vertical="center" wrapText="1"/>
    </xf>
    <xf numFmtId="0" fontId="22" fillId="0" borderId="0" xfId="0" applyFont="1" applyFill="1" applyBorder="1" applyAlignment="1"/>
    <xf numFmtId="0" fontId="22" fillId="0" borderId="0" xfId="0" applyFont="1" applyFill="1" applyBorder="1" applyAlignment="1">
      <alignment horizontal="right"/>
    </xf>
    <xf numFmtId="0" fontId="22" fillId="0" borderId="4" xfId="0" applyFont="1" applyBorder="1" applyAlignment="1">
      <alignment horizontal="left" vertical="center"/>
    </xf>
    <xf numFmtId="0" fontId="23" fillId="0" borderId="4" xfId="0" applyFont="1" applyBorder="1" applyAlignment="1">
      <alignment horizontal="left" vertical="center"/>
    </xf>
    <xf numFmtId="0" fontId="23" fillId="0" borderId="4" xfId="0" applyFont="1" applyBorder="1" applyAlignment="1">
      <alignment horizontal="left" vertical="center" wrapText="1"/>
    </xf>
    <xf numFmtId="1" fontId="23" fillId="0" borderId="8" xfId="0" applyNumberFormat="1" applyFont="1" applyFill="1" applyBorder="1" applyAlignment="1">
      <alignment vertical="center"/>
    </xf>
    <xf numFmtId="2" fontId="22" fillId="0" borderId="4" xfId="0" applyNumberFormat="1" applyFont="1" applyFill="1" applyBorder="1" applyAlignment="1">
      <alignment vertical="center"/>
    </xf>
    <xf numFmtId="0" fontId="23" fillId="0" borderId="6" xfId="0" applyFont="1" applyBorder="1"/>
    <xf numFmtId="0" fontId="22" fillId="0" borderId="4" xfId="0" applyFont="1" applyFill="1" applyBorder="1" applyAlignment="1">
      <alignment vertical="center"/>
    </xf>
    <xf numFmtId="9" fontId="22" fillId="0" borderId="4" xfId="0" applyNumberFormat="1" applyFont="1" applyFill="1" applyBorder="1" applyAlignment="1">
      <alignment vertical="center"/>
    </xf>
    <xf numFmtId="1" fontId="22" fillId="0" borderId="4" xfId="0" applyNumberFormat="1" applyFont="1" applyFill="1" applyBorder="1" applyAlignment="1">
      <alignment vertical="center"/>
    </xf>
    <xf numFmtId="1" fontId="23" fillId="0" borderId="4" xfId="0" applyNumberFormat="1" applyFont="1" applyFill="1" applyBorder="1" applyAlignment="1">
      <alignment vertical="center"/>
    </xf>
    <xf numFmtId="165" fontId="22" fillId="0" borderId="4" xfId="0" applyNumberFormat="1" applyFont="1" applyFill="1" applyBorder="1" applyAlignment="1" applyProtection="1">
      <alignment vertical="center"/>
    </xf>
    <xf numFmtId="2" fontId="23" fillId="0" borderId="4" xfId="0" applyNumberFormat="1" applyFont="1" applyFill="1" applyBorder="1" applyAlignment="1">
      <alignment vertical="center"/>
    </xf>
    <xf numFmtId="9" fontId="23" fillId="0" borderId="4" xfId="0" applyNumberFormat="1" applyFont="1" applyFill="1" applyBorder="1" applyAlignment="1">
      <alignment vertical="center"/>
    </xf>
    <xf numFmtId="2" fontId="22" fillId="0" borderId="4" xfId="0" applyNumberFormat="1" applyFont="1" applyFill="1" applyBorder="1" applyAlignment="1" applyProtection="1">
      <alignment vertical="center"/>
    </xf>
    <xf numFmtId="2" fontId="22" fillId="0" borderId="4" xfId="0" applyNumberFormat="1" applyFont="1" applyBorder="1" applyAlignment="1">
      <alignment vertical="center"/>
    </xf>
    <xf numFmtId="165" fontId="23" fillId="0" borderId="4" xfId="0" applyNumberFormat="1" applyFont="1" applyFill="1" applyBorder="1" applyAlignment="1" applyProtection="1">
      <alignment vertical="center"/>
    </xf>
    <xf numFmtId="0" fontId="22" fillId="0" borderId="10" xfId="0" applyFont="1" applyBorder="1"/>
    <xf numFmtId="0" fontId="23" fillId="0" borderId="10" xfId="0" applyFont="1" applyBorder="1"/>
    <xf numFmtId="2" fontId="23" fillId="0" borderId="4" xfId="0" applyNumberFormat="1" applyFont="1" applyBorder="1" applyAlignment="1">
      <alignment vertical="center"/>
    </xf>
    <xf numFmtId="2" fontId="23" fillId="0" borderId="4" xfId="0" applyNumberFormat="1" applyFont="1" applyFill="1" applyBorder="1" applyAlignment="1">
      <alignment horizontal="right" vertical="center"/>
    </xf>
    <xf numFmtId="0" fontId="10" fillId="0" borderId="4" xfId="10" applyFont="1" applyBorder="1" applyAlignment="1">
      <alignment vertical="center"/>
    </xf>
    <xf numFmtId="0" fontId="10" fillId="0" borderId="4" xfId="10" applyFont="1" applyBorder="1" applyAlignment="1">
      <alignment vertical="center" wrapText="1"/>
    </xf>
    <xf numFmtId="0" fontId="12" fillId="0" borderId="4" xfId="10" applyFont="1" applyFill="1" applyBorder="1" applyAlignment="1">
      <alignment horizontal="center" vertical="center"/>
    </xf>
    <xf numFmtId="0" fontId="12" fillId="0" borderId="4" xfId="10" applyFont="1" applyFill="1" applyBorder="1" applyAlignment="1">
      <alignment vertical="center"/>
    </xf>
    <xf numFmtId="2" fontId="12" fillId="0" borderId="4" xfId="10" applyNumberFormat="1" applyFont="1" applyFill="1" applyBorder="1" applyAlignment="1">
      <alignment horizontal="center" vertical="center"/>
    </xf>
    <xf numFmtId="2" fontId="12" fillId="0" borderId="4" xfId="10" applyNumberFormat="1" applyFont="1" applyFill="1" applyBorder="1" applyAlignment="1">
      <alignment vertical="center"/>
    </xf>
    <xf numFmtId="17" fontId="13" fillId="0" borderId="0" xfId="10" applyNumberFormat="1" applyFont="1" applyBorder="1" applyAlignment="1">
      <alignment horizontal="center" vertical="center"/>
    </xf>
    <xf numFmtId="2" fontId="22" fillId="0" borderId="0" xfId="0" applyNumberFormat="1" applyFont="1" applyBorder="1" applyAlignment="1">
      <alignment vertical="center"/>
    </xf>
    <xf numFmtId="1" fontId="22" fillId="0" borderId="0" xfId="0" applyNumberFormat="1" applyFont="1"/>
    <xf numFmtId="0" fontId="9" fillId="0" borderId="4" xfId="10" applyFont="1" applyBorder="1" applyAlignment="1">
      <alignment vertical="center" wrapText="1"/>
    </xf>
    <xf numFmtId="2" fontId="16" fillId="0" borderId="4" xfId="10" applyNumberFormat="1" applyBorder="1" applyAlignment="1">
      <alignment vertical="center"/>
    </xf>
    <xf numFmtId="0" fontId="9" fillId="0" borderId="4" xfId="10" applyFont="1" applyBorder="1" applyAlignment="1">
      <alignment vertical="center"/>
    </xf>
    <xf numFmtId="0" fontId="9" fillId="0" borderId="4" xfId="10" applyFont="1" applyBorder="1" applyAlignment="1">
      <alignment horizontal="center" vertical="center"/>
    </xf>
    <xf numFmtId="14" fontId="9" fillId="0" borderId="4" xfId="10" applyNumberFormat="1" applyFont="1" applyBorder="1" applyAlignment="1">
      <alignment horizontal="center" vertical="center"/>
    </xf>
    <xf numFmtId="0" fontId="22" fillId="0" borderId="0" xfId="0" applyFont="1" applyFill="1" applyBorder="1" applyAlignment="1">
      <alignment vertical="center"/>
    </xf>
    <xf numFmtId="0" fontId="22" fillId="0" borderId="12" xfId="0" applyFont="1" applyBorder="1" applyAlignment="1">
      <alignment vertical="center"/>
    </xf>
    <xf numFmtId="39" fontId="23" fillId="0" borderId="6" xfId="0" applyNumberFormat="1" applyFont="1" applyBorder="1" applyAlignment="1" applyProtection="1">
      <alignment horizontal="justify" vertical="center" wrapText="1"/>
    </xf>
    <xf numFmtId="0" fontId="23" fillId="0" borderId="4" xfId="0" applyFont="1" applyBorder="1" applyAlignment="1">
      <alignment horizontal="center"/>
    </xf>
    <xf numFmtId="0" fontId="23" fillId="0" borderId="4" xfId="0" applyFont="1" applyBorder="1" applyAlignment="1">
      <alignment vertical="center"/>
    </xf>
    <xf numFmtId="1" fontId="23" fillId="0" borderId="17" xfId="0" applyNumberFormat="1" applyFont="1" applyFill="1" applyBorder="1" applyAlignment="1">
      <alignment vertical="center"/>
    </xf>
    <xf numFmtId="0" fontId="20" fillId="0" borderId="1" xfId="13" applyFont="1" applyBorder="1" applyAlignment="1">
      <alignment horizontal="center" wrapText="1"/>
    </xf>
    <xf numFmtId="0" fontId="20" fillId="0" borderId="11" xfId="13" applyFont="1" applyBorder="1" applyAlignment="1">
      <alignment horizontal="center" vertical="center"/>
    </xf>
    <xf numFmtId="0" fontId="20" fillId="0" borderId="11" xfId="13" applyFont="1" applyBorder="1" applyAlignment="1">
      <alignment horizontal="center" vertical="center" wrapText="1"/>
    </xf>
    <xf numFmtId="39" fontId="23" fillId="0" borderId="6" xfId="0" applyNumberFormat="1" applyFont="1" applyBorder="1" applyAlignment="1" applyProtection="1">
      <alignment horizontal="left" vertical="center" wrapText="1"/>
    </xf>
    <xf numFmtId="10" fontId="22" fillId="0" borderId="4" xfId="0" applyNumberFormat="1" applyFont="1" applyBorder="1" applyAlignment="1">
      <alignment vertical="center"/>
    </xf>
    <xf numFmtId="0" fontId="22" fillId="0" borderId="4" xfId="0" applyFont="1" applyBorder="1" applyAlignment="1">
      <alignment vertical="center" wrapText="1"/>
    </xf>
    <xf numFmtId="0" fontId="23" fillId="0" borderId="4" xfId="0" applyFont="1" applyBorder="1" applyAlignment="1">
      <alignment horizontal="center"/>
    </xf>
    <xf numFmtId="2" fontId="0" fillId="0" borderId="0" xfId="0" applyNumberFormat="1"/>
    <xf numFmtId="0" fontId="22" fillId="0" borderId="13" xfId="0" applyFont="1" applyBorder="1" applyAlignment="1">
      <alignment vertical="center" wrapText="1"/>
    </xf>
    <xf numFmtId="1" fontId="23" fillId="0" borderId="18" xfId="0" applyNumberFormat="1" applyFont="1" applyFill="1" applyBorder="1" applyAlignment="1">
      <alignment vertical="center"/>
    </xf>
    <xf numFmtId="0" fontId="22" fillId="0" borderId="1" xfId="0" applyFont="1" applyBorder="1"/>
    <xf numFmtId="0" fontId="23" fillId="0" borderId="11" xfId="0" applyFont="1" applyBorder="1" applyAlignment="1">
      <alignment horizontal="center" vertical="center"/>
    </xf>
    <xf numFmtId="0" fontId="22" fillId="0" borderId="1" xfId="0" applyFont="1" applyFill="1" applyBorder="1"/>
    <xf numFmtId="0" fontId="23" fillId="0" borderId="19" xfId="0" applyFont="1" applyBorder="1" applyAlignment="1">
      <alignment horizontal="center" vertical="center"/>
    </xf>
    <xf numFmtId="1" fontId="23" fillId="0" borderId="20" xfId="0" applyNumberFormat="1" applyFont="1" applyFill="1" applyBorder="1" applyAlignment="1">
      <alignment vertical="center"/>
    </xf>
    <xf numFmtId="1" fontId="23" fillId="0" borderId="6" xfId="0" applyNumberFormat="1" applyFont="1" applyFill="1" applyBorder="1" applyAlignment="1">
      <alignment vertical="center"/>
    </xf>
    <xf numFmtId="1" fontId="22" fillId="0" borderId="6" xfId="0" applyNumberFormat="1" applyFont="1" applyFill="1" applyBorder="1" applyAlignment="1">
      <alignment vertical="center"/>
    </xf>
    <xf numFmtId="9" fontId="22" fillId="0" borderId="11" xfId="0" applyNumberFormat="1" applyFont="1" applyFill="1" applyBorder="1" applyAlignment="1">
      <alignment vertical="center"/>
    </xf>
    <xf numFmtId="0" fontId="23" fillId="0" borderId="17" xfId="0" applyFont="1" applyBorder="1" applyAlignment="1">
      <alignment vertical="center" wrapText="1"/>
    </xf>
    <xf numFmtId="0" fontId="22" fillId="0" borderId="1" xfId="0" applyFont="1" applyFill="1" applyBorder="1" applyAlignment="1">
      <alignment horizontal="right"/>
    </xf>
    <xf numFmtId="2" fontId="23" fillId="0" borderId="11" xfId="0" applyNumberFormat="1" applyFont="1" applyFill="1" applyBorder="1" applyAlignment="1">
      <alignment vertical="center"/>
    </xf>
    <xf numFmtId="2" fontId="22" fillId="0" borderId="11" xfId="0" applyNumberFormat="1" applyFont="1" applyBorder="1" applyAlignment="1">
      <alignment vertical="center"/>
    </xf>
    <xf numFmtId="2" fontId="22" fillId="0" borderId="19" xfId="0" applyNumberFormat="1" applyFont="1" applyBorder="1" applyAlignment="1">
      <alignment vertical="center"/>
    </xf>
    <xf numFmtId="2" fontId="22" fillId="0" borderId="3" xfId="0" applyNumberFormat="1" applyFont="1" applyBorder="1" applyAlignment="1">
      <alignment vertical="center"/>
    </xf>
    <xf numFmtId="2" fontId="22" fillId="0" borderId="1" xfId="0" applyNumberFormat="1" applyFont="1" applyBorder="1" applyAlignment="1">
      <alignment vertical="center"/>
    </xf>
    <xf numFmtId="2" fontId="23" fillId="0" borderId="19" xfId="0" applyNumberFormat="1" applyFont="1" applyFill="1" applyBorder="1" applyAlignment="1">
      <alignment vertical="center"/>
    </xf>
    <xf numFmtId="2" fontId="23" fillId="0" borderId="11" xfId="0" applyNumberFormat="1" applyFont="1" applyFill="1" applyBorder="1" applyAlignment="1">
      <alignment horizontal="right" vertical="center"/>
    </xf>
    <xf numFmtId="2" fontId="23" fillId="0" borderId="19" xfId="0" applyNumberFormat="1" applyFont="1" applyFill="1" applyBorder="1" applyAlignment="1">
      <alignment horizontal="right" vertical="center"/>
    </xf>
    <xf numFmtId="0" fontId="20" fillId="0" borderId="1" xfId="13" applyFont="1" applyBorder="1" applyAlignment="1">
      <alignment horizontal="left"/>
    </xf>
    <xf numFmtId="0" fontId="23" fillId="0" borderId="4" xfId="0" applyFont="1" applyFill="1" applyBorder="1" applyAlignment="1">
      <alignment horizontal="center" vertical="center" wrapText="1"/>
    </xf>
    <xf numFmtId="0" fontId="27" fillId="0" borderId="4" xfId="10" applyFont="1" applyBorder="1" applyAlignment="1">
      <alignment horizontal="center" vertical="center"/>
    </xf>
    <xf numFmtId="0" fontId="27" fillId="0" borderId="4" xfId="10" applyFont="1" applyBorder="1" applyAlignment="1">
      <alignment vertical="center" wrapText="1"/>
    </xf>
    <xf numFmtId="2" fontId="27" fillId="0" borderId="4" xfId="10" applyNumberFormat="1" applyFont="1" applyBorder="1" applyAlignment="1">
      <alignment vertical="center"/>
    </xf>
    <xf numFmtId="0" fontId="27" fillId="0" borderId="0" xfId="10" applyFont="1" applyAlignment="1">
      <alignment horizontal="left" vertical="center" wrapText="1"/>
    </xf>
    <xf numFmtId="0" fontId="8" fillId="0" borderId="4" xfId="10" applyFont="1" applyBorder="1"/>
    <xf numFmtId="0" fontId="22" fillId="0" borderId="4" xfId="0" applyNumberFormat="1" applyFont="1" applyFill="1" applyBorder="1" applyAlignment="1">
      <alignment vertical="center"/>
    </xf>
    <xf numFmtId="10" fontId="22" fillId="0" borderId="4" xfId="0" applyNumberFormat="1" applyFont="1" applyFill="1" applyBorder="1" applyAlignment="1">
      <alignment vertical="center"/>
    </xf>
    <xf numFmtId="0" fontId="22" fillId="0" borderId="4" xfId="0" applyFont="1" applyBorder="1" applyAlignment="1">
      <alignment vertical="center"/>
    </xf>
    <xf numFmtId="0" fontId="23" fillId="0" borderId="22" xfId="0" applyFont="1" applyBorder="1" applyAlignment="1">
      <alignment horizontal="center" vertical="center"/>
    </xf>
    <xf numFmtId="17" fontId="20" fillId="0" borderId="22" xfId="10" applyNumberFormat="1" applyFont="1" applyBorder="1" applyAlignment="1">
      <alignment horizontal="center" vertical="center"/>
    </xf>
    <xf numFmtId="2" fontId="23" fillId="0" borderId="22" xfId="0" applyNumberFormat="1" applyFont="1" applyFill="1" applyBorder="1" applyAlignment="1" applyProtection="1">
      <alignment vertical="center"/>
    </xf>
    <xf numFmtId="39" fontId="23" fillId="0" borderId="21" xfId="0" applyNumberFormat="1" applyFont="1" applyBorder="1" applyAlignment="1" applyProtection="1">
      <alignment horizontal="justify" vertical="center" wrapText="1"/>
    </xf>
    <xf numFmtId="2" fontId="22" fillId="0" borderId="7" xfId="0" applyNumberFormat="1" applyFont="1" applyFill="1" applyBorder="1" applyAlignment="1" applyProtection="1">
      <alignment vertical="center"/>
    </xf>
    <xf numFmtId="2" fontId="22" fillId="0" borderId="11" xfId="0" applyNumberFormat="1" applyFont="1" applyFill="1" applyBorder="1" applyAlignment="1" applyProtection="1">
      <alignment vertical="center"/>
    </xf>
    <xf numFmtId="165" fontId="23" fillId="0" borderId="22" xfId="0" applyNumberFormat="1" applyFont="1" applyFill="1" applyBorder="1" applyAlignment="1" applyProtection="1">
      <alignment vertical="center"/>
    </xf>
    <xf numFmtId="0" fontId="22" fillId="0" borderId="11" xfId="0" applyFont="1" applyBorder="1" applyAlignment="1"/>
    <xf numFmtId="0" fontId="23" fillId="0" borderId="10" xfId="0" applyFont="1" applyBorder="1" applyAlignment="1"/>
    <xf numFmtId="0" fontId="7" fillId="0" borderId="4" xfId="10" applyFont="1" applyBorder="1" applyAlignment="1">
      <alignment vertical="center" wrapText="1"/>
    </xf>
    <xf numFmtId="0" fontId="7" fillId="0" borderId="4" xfId="10" applyFont="1" applyBorder="1"/>
    <xf numFmtId="0" fontId="31" fillId="0" borderId="0" xfId="0" applyFont="1" applyAlignment="1">
      <alignment horizontal="right" vertical="center"/>
    </xf>
    <xf numFmtId="0" fontId="30" fillId="0" borderId="4" xfId="10" applyFont="1" applyBorder="1" applyAlignment="1">
      <alignment vertical="center" wrapText="1"/>
    </xf>
    <xf numFmtId="0" fontId="30" fillId="0" borderId="3" xfId="10" applyFont="1" applyBorder="1" applyAlignment="1">
      <alignment horizontal="center" vertical="center" wrapText="1"/>
    </xf>
    <xf numFmtId="0" fontId="6" fillId="0" borderId="1" xfId="10" applyFont="1" applyBorder="1" applyAlignment="1">
      <alignment horizontal="left"/>
    </xf>
    <xf numFmtId="10" fontId="13" fillId="0" borderId="1" xfId="10" applyNumberFormat="1" applyFont="1" applyBorder="1" applyAlignment="1">
      <alignment horizontal="left"/>
    </xf>
    <xf numFmtId="2" fontId="23" fillId="0" borderId="4" xfId="0" applyNumberFormat="1" applyFont="1" applyBorder="1" applyAlignment="1">
      <alignment horizontal="right" vertical="center"/>
    </xf>
    <xf numFmtId="39" fontId="23" fillId="0" borderId="0" xfId="0" applyNumberFormat="1" applyFont="1" applyAlignment="1" applyProtection="1"/>
    <xf numFmtId="0" fontId="5" fillId="0" borderId="4" xfId="10" applyFont="1" applyBorder="1" applyAlignment="1">
      <alignment vertical="center" wrapText="1"/>
    </xf>
    <xf numFmtId="2" fontId="20" fillId="0" borderId="4" xfId="10" applyNumberFormat="1" applyFont="1" applyBorder="1" applyAlignment="1">
      <alignment horizontal="center" vertical="center"/>
    </xf>
    <xf numFmtId="0" fontId="20" fillId="0" borderId="4" xfId="10" applyFont="1" applyBorder="1" applyAlignment="1">
      <alignment horizontal="center" wrapText="1"/>
    </xf>
    <xf numFmtId="0" fontId="30" fillId="0" borderId="0" xfId="10" applyFont="1" applyAlignment="1">
      <alignment horizontal="left" vertical="center" wrapText="1"/>
    </xf>
    <xf numFmtId="0" fontId="27" fillId="0" borderId="0" xfId="10" applyFont="1" applyAlignment="1">
      <alignment horizontal="center" vertical="center"/>
    </xf>
    <xf numFmtId="39" fontId="25" fillId="0" borderId="0" xfId="0" applyNumberFormat="1" applyFont="1" applyAlignment="1" applyProtection="1">
      <alignment horizontal="center"/>
    </xf>
    <xf numFmtId="0" fontId="4" fillId="0" borderId="4" xfId="10" applyFont="1" applyBorder="1" applyAlignment="1">
      <alignment vertical="center" wrapText="1"/>
    </xf>
    <xf numFmtId="0" fontId="4" fillId="0" borderId="4" xfId="10" applyFont="1" applyBorder="1"/>
    <xf numFmtId="0" fontId="16" fillId="0" borderId="0" xfId="10" applyAlignment="1">
      <alignment vertical="center"/>
    </xf>
    <xf numFmtId="2" fontId="16" fillId="0" borderId="0" xfId="10" applyNumberFormat="1" applyAlignment="1">
      <alignment vertical="center"/>
    </xf>
    <xf numFmtId="0" fontId="27" fillId="0" borderId="4" xfId="10" applyFont="1" applyBorder="1" applyAlignment="1">
      <alignment vertical="center"/>
    </xf>
    <xf numFmtId="0" fontId="27" fillId="0" borderId="0" xfId="10" applyFont="1" applyBorder="1" applyAlignment="1">
      <alignment vertical="center"/>
    </xf>
    <xf numFmtId="0" fontId="27" fillId="0" borderId="9" xfId="10" applyFont="1" applyBorder="1" applyAlignment="1">
      <alignment vertical="center" wrapText="1"/>
    </xf>
    <xf numFmtId="0" fontId="30" fillId="0" borderId="0" xfId="10" applyFont="1" applyAlignment="1">
      <alignment vertical="center"/>
    </xf>
    <xf numFmtId="0" fontId="16" fillId="0" borderId="0" xfId="10" applyAlignment="1">
      <alignment horizontal="center" vertical="center"/>
    </xf>
    <xf numFmtId="0" fontId="27" fillId="0" borderId="0" xfId="10" applyFont="1" applyAlignment="1">
      <alignment vertical="center"/>
    </xf>
    <xf numFmtId="0" fontId="30" fillId="0" borderId="0" xfId="10" applyFont="1" applyAlignment="1">
      <alignment vertical="center" wrapText="1"/>
    </xf>
    <xf numFmtId="0" fontId="30" fillId="0" borderId="0" xfId="10" applyFont="1" applyAlignment="1">
      <alignment horizontal="center" vertical="center"/>
    </xf>
    <xf numFmtId="0" fontId="27" fillId="0" borderId="0" xfId="10" applyFont="1" applyAlignment="1">
      <alignment vertical="center" wrapText="1"/>
    </xf>
    <xf numFmtId="0" fontId="16" fillId="0" borderId="0" xfId="10" applyAlignment="1">
      <alignment vertical="center" wrapText="1"/>
    </xf>
    <xf numFmtId="0" fontId="20" fillId="0" borderId="0" xfId="10" applyFont="1" applyAlignment="1">
      <alignment vertical="center"/>
    </xf>
    <xf numFmtId="0" fontId="3" fillId="0" borderId="4" xfId="10" applyFont="1" applyBorder="1" applyAlignment="1">
      <alignment vertical="center" wrapText="1"/>
    </xf>
    <xf numFmtId="0" fontId="12" fillId="0" borderId="5" xfId="10" applyFont="1" applyBorder="1" applyAlignment="1">
      <alignment horizontal="center" vertical="center" wrapText="1"/>
    </xf>
    <xf numFmtId="2" fontId="12" fillId="0" borderId="5" xfId="10" applyNumberFormat="1" applyFont="1" applyBorder="1" applyAlignment="1">
      <alignment horizontal="center" vertical="center"/>
    </xf>
    <xf numFmtId="0" fontId="3" fillId="0" borderId="4" xfId="10" applyFont="1" applyBorder="1"/>
    <xf numFmtId="17" fontId="13" fillId="0" borderId="4" xfId="10" applyNumberFormat="1" applyFont="1" applyFill="1" applyBorder="1" applyAlignment="1">
      <alignment horizontal="center" vertical="center"/>
    </xf>
    <xf numFmtId="2" fontId="13" fillId="0" borderId="4" xfId="10" applyNumberFormat="1" applyFont="1" applyFill="1" applyBorder="1" applyAlignment="1">
      <alignment horizontal="center" vertical="center"/>
    </xf>
    <xf numFmtId="0" fontId="0" fillId="0" borderId="0" xfId="0" applyFill="1"/>
    <xf numFmtId="0" fontId="22" fillId="0" borderId="15" xfId="0" applyFont="1" applyFill="1" applyBorder="1" applyAlignment="1">
      <alignment vertical="center"/>
    </xf>
    <xf numFmtId="0" fontId="22" fillId="0" borderId="16" xfId="0" applyFont="1" applyFill="1" applyBorder="1" applyAlignment="1">
      <alignment vertical="center"/>
    </xf>
    <xf numFmtId="0" fontId="22" fillId="0" borderId="0" xfId="0" applyFont="1" applyAlignment="1">
      <alignment vertical="center"/>
    </xf>
    <xf numFmtId="39" fontId="23" fillId="0" borderId="0" xfId="0" applyNumberFormat="1" applyFont="1" applyBorder="1" applyAlignment="1" applyProtection="1">
      <alignment horizontal="right" vertical="center"/>
    </xf>
    <xf numFmtId="0" fontId="23" fillId="0" borderId="23" xfId="0" applyFont="1" applyBorder="1" applyAlignment="1">
      <alignment vertical="center"/>
    </xf>
    <xf numFmtId="166" fontId="22" fillId="0" borderId="0" xfId="0" applyNumberFormat="1" applyFont="1" applyAlignment="1" applyProtection="1">
      <alignment vertical="center"/>
    </xf>
    <xf numFmtId="39" fontId="23" fillId="0" borderId="14" xfId="0" applyNumberFormat="1" applyFont="1" applyBorder="1" applyAlignment="1" applyProtection="1">
      <alignment horizontal="left" vertical="center"/>
    </xf>
    <xf numFmtId="39" fontId="22" fillId="0" borderId="6" xfId="0" applyNumberFormat="1" applyFont="1" applyBorder="1" applyAlignment="1" applyProtection="1">
      <alignment horizontal="left" vertical="center"/>
    </xf>
    <xf numFmtId="39" fontId="22" fillId="0" borderId="6" xfId="0" applyNumberFormat="1" applyFont="1" applyBorder="1" applyAlignment="1" applyProtection="1">
      <alignment vertical="center"/>
    </xf>
    <xf numFmtId="39" fontId="23" fillId="0" borderId="6" xfId="0" applyNumberFormat="1" applyFont="1" applyBorder="1" applyAlignment="1" applyProtection="1">
      <alignment horizontal="left" vertical="center"/>
    </xf>
    <xf numFmtId="0" fontId="22" fillId="0" borderId="0" xfId="0" applyFont="1" applyAlignment="1">
      <alignment horizontal="center" vertical="center"/>
    </xf>
    <xf numFmtId="39" fontId="23" fillId="0" borderId="23" xfId="0" applyNumberFormat="1" applyFont="1" applyBorder="1" applyAlignment="1" applyProtection="1">
      <alignment horizontal="left" vertical="center"/>
    </xf>
    <xf numFmtId="39" fontId="22" fillId="0" borderId="0" xfId="0" applyNumberFormat="1" applyFont="1" applyAlignment="1" applyProtection="1">
      <alignment horizontal="left" vertical="center"/>
    </xf>
    <xf numFmtId="2" fontId="22" fillId="0" borderId="0" xfId="0" applyNumberFormat="1" applyFont="1" applyFill="1" applyAlignment="1">
      <alignment vertical="center"/>
    </xf>
    <xf numFmtId="165" fontId="22" fillId="0" borderId="0" xfId="0" applyNumberFormat="1" applyFont="1" applyFill="1" applyAlignment="1" applyProtection="1">
      <alignment vertical="center"/>
    </xf>
    <xf numFmtId="39" fontId="23" fillId="0" borderId="0" xfId="0" applyNumberFormat="1" applyFont="1" applyFill="1" applyBorder="1" applyAlignment="1" applyProtection="1">
      <alignment horizontal="right" vertical="center"/>
    </xf>
    <xf numFmtId="0" fontId="23" fillId="0" borderId="21" xfId="0" applyFont="1" applyBorder="1" applyAlignment="1">
      <alignment vertical="center"/>
    </xf>
    <xf numFmtId="39" fontId="23" fillId="0" borderId="11" xfId="0" applyNumberFormat="1" applyFont="1" applyBorder="1" applyAlignment="1" applyProtection="1">
      <alignment horizontal="left" vertical="center"/>
    </xf>
    <xf numFmtId="39" fontId="22" fillId="0" borderId="4" xfId="0" applyNumberFormat="1" applyFont="1" applyBorder="1" applyAlignment="1" applyProtection="1">
      <alignment horizontal="left" vertical="center"/>
    </xf>
    <xf numFmtId="39" fontId="22" fillId="0" borderId="7" xfId="0" applyNumberFormat="1" applyFont="1" applyBorder="1" applyAlignment="1" applyProtection="1">
      <alignment vertical="center"/>
    </xf>
    <xf numFmtId="39" fontId="23" fillId="0" borderId="21" xfId="0" applyNumberFormat="1" applyFont="1" applyBorder="1" applyAlignment="1" applyProtection="1">
      <alignment horizontal="left" vertical="center"/>
    </xf>
    <xf numFmtId="39" fontId="22" fillId="0" borderId="0" xfId="0" applyNumberFormat="1" applyFont="1" applyBorder="1" applyAlignment="1" applyProtection="1">
      <alignment vertical="center"/>
    </xf>
    <xf numFmtId="0" fontId="22" fillId="0" borderId="0" xfId="0" applyFont="1" applyFill="1" applyAlignment="1">
      <alignment vertical="center"/>
    </xf>
    <xf numFmtId="165" fontId="22" fillId="0" borderId="0" xfId="0" applyNumberFormat="1" applyFont="1" applyFill="1" applyAlignment="1">
      <alignment vertical="center"/>
    </xf>
    <xf numFmtId="0" fontId="22" fillId="0" borderId="0" xfId="0" applyFont="1" applyFill="1" applyBorder="1" applyAlignment="1">
      <alignment horizontal="right" vertical="center"/>
    </xf>
    <xf numFmtId="0" fontId="22" fillId="0" borderId="0" xfId="0" applyFont="1" applyBorder="1" applyAlignment="1">
      <alignment horizontal="right" vertical="center"/>
    </xf>
    <xf numFmtId="0" fontId="22" fillId="0" borderId="0" xfId="0" applyFont="1" applyBorder="1" applyAlignment="1">
      <alignment vertical="center"/>
    </xf>
    <xf numFmtId="9" fontId="22" fillId="0" borderId="0" xfId="0" applyNumberFormat="1" applyFont="1" applyFill="1" applyBorder="1" applyAlignment="1">
      <alignment vertical="center"/>
    </xf>
    <xf numFmtId="9" fontId="22" fillId="0" borderId="0" xfId="0" applyNumberFormat="1" applyFont="1" applyBorder="1" applyAlignment="1">
      <alignment vertical="center"/>
    </xf>
    <xf numFmtId="1" fontId="22" fillId="0" borderId="0" xfId="0" applyNumberFormat="1" applyFont="1" applyFill="1" applyBorder="1" applyAlignment="1">
      <alignment vertical="center"/>
    </xf>
    <xf numFmtId="0" fontId="22" fillId="0" borderId="1" xfId="0" applyFont="1" applyBorder="1" applyAlignment="1">
      <alignment vertical="center"/>
    </xf>
    <xf numFmtId="0" fontId="22" fillId="0" borderId="1" xfId="0" applyFont="1" applyFill="1" applyBorder="1" applyAlignment="1">
      <alignment vertical="center"/>
    </xf>
    <xf numFmtId="0" fontId="23" fillId="0" borderId="3" xfId="0" applyFont="1" applyBorder="1" applyAlignment="1">
      <alignment vertical="center"/>
    </xf>
    <xf numFmtId="0" fontId="22" fillId="0" borderId="7" xfId="0" applyFont="1" applyBorder="1" applyAlignment="1">
      <alignment vertical="center"/>
    </xf>
    <xf numFmtId="0" fontId="23" fillId="0" borderId="4" xfId="0" applyFont="1" applyBorder="1" applyAlignment="1">
      <alignment vertical="center" wrapText="1"/>
    </xf>
    <xf numFmtId="0" fontId="23" fillId="0" borderId="17" xfId="0" applyFont="1" applyBorder="1" applyAlignment="1">
      <alignment vertical="center"/>
    </xf>
    <xf numFmtId="0" fontId="22" fillId="0" borderId="9" xfId="0" applyFont="1" applyBorder="1" applyAlignment="1">
      <alignment vertical="center"/>
    </xf>
    <xf numFmtId="0" fontId="23" fillId="0" borderId="4" xfId="0" applyFont="1" applyFill="1" applyBorder="1" applyAlignment="1">
      <alignment vertical="center" wrapText="1"/>
    </xf>
    <xf numFmtId="0" fontId="22" fillId="0" borderId="4" xfId="0" applyFont="1" applyFill="1" applyBorder="1" applyAlignment="1">
      <alignment horizontal="right" vertical="center"/>
    </xf>
    <xf numFmtId="0" fontId="23" fillId="0" borderId="6" xfId="0" applyFont="1" applyBorder="1" applyAlignment="1">
      <alignment vertical="center"/>
    </xf>
    <xf numFmtId="0" fontId="22" fillId="0" borderId="13" xfId="0" applyFont="1" applyBorder="1" applyAlignment="1">
      <alignment vertical="center"/>
    </xf>
    <xf numFmtId="0" fontId="22" fillId="0" borderId="6" xfId="0" applyFont="1" applyBorder="1" applyAlignment="1">
      <alignment vertical="center"/>
    </xf>
    <xf numFmtId="1" fontId="22" fillId="0" borderId="7" xfId="0" applyNumberFormat="1" applyFont="1" applyFill="1" applyBorder="1" applyAlignment="1">
      <alignment vertical="center"/>
    </xf>
    <xf numFmtId="0" fontId="23" fillId="0" borderId="4" xfId="0" applyFont="1" applyBorder="1" applyAlignment="1">
      <alignment horizontal="center" vertical="center"/>
    </xf>
    <xf numFmtId="0" fontId="23" fillId="0" borderId="6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0" fontId="23" fillId="0" borderId="3" xfId="0" applyFont="1" applyBorder="1" applyAlignment="1">
      <alignment horizontal="center" vertical="center"/>
    </xf>
    <xf numFmtId="39" fontId="25" fillId="0" borderId="0" xfId="0" applyNumberFormat="1" applyFont="1" applyAlignment="1" applyProtection="1">
      <alignment horizontal="left" vertical="center"/>
    </xf>
    <xf numFmtId="39" fontId="25" fillId="0" borderId="0" xfId="0" applyNumberFormat="1" applyFont="1" applyAlignment="1" applyProtection="1">
      <alignment horizontal="center" vertical="center"/>
    </xf>
    <xf numFmtId="0" fontId="27" fillId="0" borderId="0" xfId="10" applyFont="1" applyAlignment="1">
      <alignment horizontal="center" vertical="center" wrapText="1"/>
    </xf>
    <xf numFmtId="0" fontId="30" fillId="0" borderId="0" xfId="10" applyFont="1" applyAlignment="1">
      <alignment horizontal="center" vertical="center" wrapText="1"/>
    </xf>
    <xf numFmtId="0" fontId="8" fillId="0" borderId="0" xfId="10" applyFont="1" applyAlignment="1">
      <alignment horizontal="center" wrapText="1"/>
    </xf>
    <xf numFmtId="0" fontId="8" fillId="0" borderId="0" xfId="10" applyFont="1" applyAlignment="1">
      <alignment horizontal="center" vertical="center" wrapText="1"/>
    </xf>
    <xf numFmtId="2" fontId="22" fillId="0" borderId="0" xfId="0" applyNumberFormat="1" applyFont="1" applyBorder="1" applyAlignment="1">
      <alignment horizontal="center" vertical="center"/>
    </xf>
    <xf numFmtId="2" fontId="22" fillId="0" borderId="7" xfId="0" applyNumberFormat="1" applyFont="1" applyBorder="1" applyAlignment="1">
      <alignment vertical="center"/>
    </xf>
    <xf numFmtId="2" fontId="22" fillId="0" borderId="10" xfId="0" applyNumberFormat="1" applyFont="1" applyBorder="1" applyAlignment="1">
      <alignment vertical="center"/>
    </xf>
    <xf numFmtId="39" fontId="25" fillId="0" borderId="0" xfId="0" applyNumberFormat="1" applyFont="1" applyAlignment="1" applyProtection="1">
      <alignment vertical="center"/>
    </xf>
    <xf numFmtId="39" fontId="23" fillId="0" borderId="0" xfId="0" applyNumberFormat="1" applyFont="1" applyAlignment="1" applyProtection="1">
      <alignment vertical="center"/>
    </xf>
    <xf numFmtId="39" fontId="22" fillId="0" borderId="2" xfId="0" applyNumberFormat="1" applyFont="1" applyBorder="1" applyAlignment="1" applyProtection="1">
      <alignment vertical="center"/>
    </xf>
    <xf numFmtId="39" fontId="22" fillId="0" borderId="3" xfId="0" applyNumberFormat="1" applyFont="1" applyBorder="1" applyAlignment="1" applyProtection="1">
      <alignment vertical="center"/>
    </xf>
    <xf numFmtId="165" fontId="22" fillId="0" borderId="2" xfId="0" applyNumberFormat="1" applyFont="1" applyFill="1" applyBorder="1" applyAlignment="1" applyProtection="1">
      <alignment vertical="center"/>
    </xf>
    <xf numFmtId="165" fontId="22" fillId="0" borderId="3" xfId="0" applyNumberFormat="1" applyFont="1" applyFill="1" applyBorder="1" applyAlignment="1" applyProtection="1">
      <alignment vertical="center"/>
    </xf>
    <xf numFmtId="39" fontId="22" fillId="0" borderId="6" xfId="0" applyNumberFormat="1" applyFont="1" applyBorder="1" applyAlignment="1" applyProtection="1">
      <alignment vertical="center" wrapText="1"/>
    </xf>
    <xf numFmtId="39" fontId="22" fillId="0" borderId="2" xfId="0" applyNumberFormat="1" applyFont="1" applyBorder="1" applyAlignment="1" applyProtection="1">
      <alignment vertical="center" wrapText="1"/>
    </xf>
    <xf numFmtId="39" fontId="22" fillId="0" borderId="3" xfId="0" applyNumberFormat="1" applyFont="1" applyBorder="1" applyAlignment="1" applyProtection="1">
      <alignment vertical="center" wrapText="1"/>
    </xf>
    <xf numFmtId="39" fontId="22" fillId="0" borderId="24" xfId="0" applyNumberFormat="1" applyFont="1" applyBorder="1" applyAlignment="1" applyProtection="1">
      <alignment vertical="center"/>
    </xf>
    <xf numFmtId="39" fontId="22" fillId="0" borderId="25" xfId="0" applyNumberFormat="1" applyFont="1" applyBorder="1" applyAlignment="1" applyProtection="1">
      <alignment vertical="center"/>
    </xf>
    <xf numFmtId="39" fontId="22" fillId="0" borderId="26" xfId="0" applyNumberFormat="1" applyFont="1" applyBorder="1" applyAlignment="1" applyProtection="1">
      <alignment vertical="center"/>
    </xf>
    <xf numFmtId="2" fontId="22" fillId="0" borderId="25" xfId="0" applyNumberFormat="1" applyFont="1" applyBorder="1" applyAlignment="1" applyProtection="1">
      <alignment vertical="center"/>
    </xf>
    <xf numFmtId="2" fontId="22" fillId="0" borderId="26" xfId="0" applyNumberFormat="1" applyFont="1" applyBorder="1" applyAlignment="1" applyProtection="1">
      <alignment vertical="center"/>
    </xf>
    <xf numFmtId="2" fontId="22" fillId="0" borderId="15" xfId="0" applyNumberFormat="1" applyFont="1" applyFill="1" applyBorder="1" applyAlignment="1" applyProtection="1">
      <alignment vertical="center"/>
    </xf>
    <xf numFmtId="2" fontId="22" fillId="0" borderId="16" xfId="0" applyNumberFormat="1" applyFont="1" applyFill="1" applyBorder="1" applyAlignment="1" applyProtection="1">
      <alignment vertical="center"/>
    </xf>
    <xf numFmtId="0" fontId="22" fillId="0" borderId="2" xfId="0" applyFont="1" applyFill="1" applyBorder="1" applyAlignment="1">
      <alignment vertical="center"/>
    </xf>
    <xf numFmtId="0" fontId="22" fillId="0" borderId="3" xfId="0" applyFont="1" applyFill="1" applyBorder="1" applyAlignment="1">
      <alignment vertical="center"/>
    </xf>
    <xf numFmtId="39" fontId="25" fillId="0" borderId="0" xfId="0" applyNumberFormat="1" applyFont="1" applyBorder="1" applyAlignment="1" applyProtection="1">
      <alignment vertical="center"/>
    </xf>
    <xf numFmtId="39" fontId="23" fillId="0" borderId="1" xfId="0" applyNumberFormat="1" applyFont="1" applyBorder="1" applyAlignment="1" applyProtection="1">
      <alignment vertical="center"/>
    </xf>
    <xf numFmtId="9" fontId="22" fillId="0" borderId="6" xfId="0" applyNumberFormat="1" applyFont="1" applyFill="1" applyBorder="1" applyAlignment="1">
      <alignment vertical="center"/>
    </xf>
    <xf numFmtId="9" fontId="22" fillId="0" borderId="2" xfId="0" applyNumberFormat="1" applyFont="1" applyFill="1" applyBorder="1" applyAlignment="1">
      <alignment vertical="center"/>
    </xf>
    <xf numFmtId="9" fontId="22" fillId="0" borderId="3" xfId="0" applyNumberFormat="1" applyFont="1" applyFill="1" applyBorder="1" applyAlignment="1">
      <alignment vertical="center"/>
    </xf>
    <xf numFmtId="0" fontId="23" fillId="0" borderId="7" xfId="0" applyFont="1" applyBorder="1" applyAlignment="1">
      <alignment vertical="center"/>
    </xf>
    <xf numFmtId="1" fontId="23" fillId="0" borderId="7" xfId="0" applyNumberFormat="1" applyFont="1" applyFill="1" applyBorder="1" applyAlignment="1">
      <alignment vertical="center"/>
    </xf>
    <xf numFmtId="1" fontId="23" fillId="0" borderId="5" xfId="0" applyNumberFormat="1" applyFont="1" applyFill="1" applyBorder="1" applyAlignment="1">
      <alignment vertical="center"/>
    </xf>
    <xf numFmtId="1" fontId="23" fillId="0" borderId="27" xfId="0" applyNumberFormat="1" applyFont="1" applyFill="1" applyBorder="1" applyAlignment="1">
      <alignment vertical="center"/>
    </xf>
    <xf numFmtId="0" fontId="2" fillId="0" borderId="4" xfId="10" applyFont="1" applyBorder="1" applyAlignment="1">
      <alignment horizontal="center" vertical="center"/>
    </xf>
    <xf numFmtId="0" fontId="20" fillId="0" borderId="7" xfId="10" applyFont="1" applyBorder="1" applyAlignment="1">
      <alignment horizontal="center" vertical="center"/>
    </xf>
    <xf numFmtId="0" fontId="2" fillId="0" borderId="4" xfId="10" applyFont="1" applyBorder="1" applyAlignment="1">
      <alignment vertical="center" wrapText="1"/>
    </xf>
    <xf numFmtId="0" fontId="23" fillId="0" borderId="4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0" fontId="23" fillId="0" borderId="3" xfId="0" applyFont="1" applyBorder="1" applyAlignment="1">
      <alignment horizontal="center" vertical="center"/>
    </xf>
    <xf numFmtId="2" fontId="20" fillId="0" borderId="4" xfId="10" applyNumberFormat="1" applyFont="1" applyBorder="1" applyAlignment="1">
      <alignment vertical="center" wrapText="1"/>
    </xf>
    <xf numFmtId="0" fontId="1" fillId="0" borderId="4" xfId="10" applyFont="1" applyBorder="1" applyAlignment="1">
      <alignment vertical="center" wrapText="1"/>
    </xf>
    <xf numFmtId="0" fontId="25" fillId="0" borderId="0" xfId="0" applyFont="1" applyAlignment="1">
      <alignment vertical="center"/>
    </xf>
    <xf numFmtId="0" fontId="25" fillId="0" borderId="0" xfId="0" applyFont="1" applyAlignment="1">
      <alignment horizontal="center" vertical="center"/>
    </xf>
    <xf numFmtId="39" fontId="25" fillId="0" borderId="0" xfId="0" applyNumberFormat="1" applyFont="1" applyBorder="1" applyAlignment="1" applyProtection="1">
      <alignment horizontal="right" vertical="center"/>
    </xf>
    <xf numFmtId="2" fontId="23" fillId="0" borderId="4" xfId="3" applyNumberFormat="1" applyFont="1" applyFill="1" applyBorder="1" applyAlignment="1" applyProtection="1">
      <alignment vertical="center"/>
    </xf>
    <xf numFmtId="9" fontId="22" fillId="0" borderId="4" xfId="0" applyNumberFormat="1" applyFont="1" applyBorder="1" applyAlignment="1">
      <alignment horizontal="center" vertical="center"/>
    </xf>
    <xf numFmtId="2" fontId="22" fillId="0" borderId="4" xfId="3" applyNumberFormat="1" applyFont="1" applyFill="1" applyBorder="1" applyAlignment="1" applyProtection="1">
      <alignment horizontal="center" vertical="center"/>
    </xf>
    <xf numFmtId="2" fontId="22" fillId="0" borderId="4" xfId="3" applyNumberFormat="1" applyFont="1" applyFill="1" applyBorder="1" applyAlignment="1" applyProtection="1">
      <alignment horizontal="right" vertical="center"/>
    </xf>
    <xf numFmtId="2" fontId="23" fillId="0" borderId="4" xfId="3" applyNumberFormat="1" applyFont="1" applyFill="1" applyBorder="1" applyAlignment="1" applyProtection="1">
      <alignment horizontal="right" vertical="center"/>
    </xf>
    <xf numFmtId="0" fontId="22" fillId="0" borderId="4" xfId="0" applyFont="1" applyBorder="1" applyAlignment="1">
      <alignment horizontal="right" vertical="center"/>
    </xf>
    <xf numFmtId="9" fontId="23" fillId="0" borderId="4" xfId="0" applyNumberFormat="1" applyFont="1" applyBorder="1" applyAlignment="1">
      <alignment horizontal="center" vertical="center"/>
    </xf>
    <xf numFmtId="2" fontId="22" fillId="0" borderId="4" xfId="0" applyNumberFormat="1" applyFont="1" applyBorder="1" applyAlignment="1">
      <alignment horizontal="right" vertical="center"/>
    </xf>
    <xf numFmtId="39" fontId="25" fillId="0" borderId="0" xfId="0" applyNumberFormat="1" applyFont="1" applyAlignment="1" applyProtection="1"/>
    <xf numFmtId="0" fontId="22" fillId="0" borderId="4" xfId="0" applyFont="1" applyBorder="1" applyAlignment="1"/>
    <xf numFmtId="9" fontId="22" fillId="0" borderId="0" xfId="14" applyFont="1"/>
    <xf numFmtId="0" fontId="30" fillId="0" borderId="0" xfId="10" applyFont="1" applyAlignment="1">
      <alignment horizontal="left" vertical="center" wrapText="1"/>
    </xf>
    <xf numFmtId="0" fontId="27" fillId="0" borderId="1" xfId="10" applyFont="1" applyBorder="1" applyAlignment="1">
      <alignment horizontal="left" vertical="center"/>
    </xf>
    <xf numFmtId="0" fontId="26" fillId="0" borderId="0" xfId="10" applyFont="1" applyAlignment="1">
      <alignment horizontal="center" vertical="center"/>
    </xf>
    <xf numFmtId="0" fontId="27" fillId="0" borderId="0" xfId="10" applyFont="1" applyAlignment="1">
      <alignment horizontal="center" vertical="center"/>
    </xf>
    <xf numFmtId="0" fontId="27" fillId="0" borderId="0" xfId="10" applyFont="1" applyAlignment="1">
      <alignment horizontal="center" vertical="center" wrapText="1"/>
    </xf>
    <xf numFmtId="0" fontId="30" fillId="0" borderId="0" xfId="10" applyFont="1" applyAlignment="1">
      <alignment horizontal="center" vertical="center" wrapText="1"/>
    </xf>
    <xf numFmtId="0" fontId="28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22" fillId="0" borderId="0" xfId="0" applyFont="1" applyAlignment="1">
      <alignment horizontal="center" wrapText="1"/>
    </xf>
    <xf numFmtId="0" fontId="23" fillId="0" borderId="6" xfId="0" applyFont="1" applyBorder="1" applyAlignment="1">
      <alignment horizontal="center"/>
    </xf>
    <xf numFmtId="0" fontId="23" fillId="0" borderId="3" xfId="0" applyFont="1" applyBorder="1" applyAlignment="1">
      <alignment horizontal="center"/>
    </xf>
    <xf numFmtId="0" fontId="22" fillId="0" borderId="0" xfId="0" applyFont="1" applyAlignment="1">
      <alignment horizontal="center" vertical="center" wrapText="1"/>
    </xf>
    <xf numFmtId="0" fontId="20" fillId="0" borderId="4" xfId="10" applyFont="1" applyBorder="1" applyAlignment="1">
      <alignment horizontal="center"/>
    </xf>
    <xf numFmtId="0" fontId="26" fillId="0" borderId="0" xfId="13" applyFont="1" applyAlignment="1">
      <alignment horizontal="center"/>
    </xf>
    <xf numFmtId="0" fontId="5" fillId="0" borderId="0" xfId="13" applyFont="1" applyAlignment="1">
      <alignment horizontal="center"/>
    </xf>
    <xf numFmtId="0" fontId="5" fillId="0" borderId="0" xfId="13" applyFont="1" applyAlignment="1">
      <alignment horizontal="center" wrapText="1"/>
    </xf>
    <xf numFmtId="0" fontId="5" fillId="0" borderId="0" xfId="13" applyFont="1" applyBorder="1" applyAlignment="1">
      <alignment horizontal="left" vertical="center" wrapText="1"/>
    </xf>
    <xf numFmtId="0" fontId="20" fillId="0" borderId="6" xfId="10" applyFont="1" applyBorder="1" applyAlignment="1">
      <alignment horizontal="center" vertical="center"/>
    </xf>
    <xf numFmtId="0" fontId="20" fillId="0" borderId="2" xfId="10" applyFont="1" applyBorder="1" applyAlignment="1">
      <alignment horizontal="center" vertical="center"/>
    </xf>
    <xf numFmtId="0" fontId="20" fillId="0" borderId="3" xfId="10" applyFont="1" applyBorder="1" applyAlignment="1">
      <alignment horizontal="center" vertical="center"/>
    </xf>
    <xf numFmtId="0" fontId="8" fillId="0" borderId="0" xfId="10" applyFont="1" applyAlignment="1">
      <alignment horizontal="center" vertical="center"/>
    </xf>
    <xf numFmtId="0" fontId="8" fillId="0" borderId="0" xfId="10" applyFont="1" applyAlignment="1">
      <alignment horizontal="center" vertical="center" wrapText="1"/>
    </xf>
    <xf numFmtId="0" fontId="20" fillId="0" borderId="1" xfId="10" applyFont="1" applyBorder="1" applyAlignment="1">
      <alignment horizontal="left" vertical="center"/>
    </xf>
    <xf numFmtId="0" fontId="20" fillId="0" borderId="4" xfId="10" applyFont="1" applyBorder="1" applyAlignment="1">
      <alignment horizontal="center" vertical="center"/>
    </xf>
    <xf numFmtId="0" fontId="26" fillId="0" borderId="0" xfId="10" applyFont="1" applyAlignment="1">
      <alignment horizontal="center"/>
    </xf>
    <xf numFmtId="0" fontId="8" fillId="0" borderId="0" xfId="10" applyFont="1" applyAlignment="1">
      <alignment horizontal="center"/>
    </xf>
    <xf numFmtId="0" fontId="20" fillId="0" borderId="1" xfId="10" applyFont="1" applyBorder="1" applyAlignment="1">
      <alignment horizontal="left"/>
    </xf>
    <xf numFmtId="0" fontId="8" fillId="0" borderId="0" xfId="10" applyFont="1" applyAlignment="1">
      <alignment horizontal="center" wrapText="1"/>
    </xf>
    <xf numFmtId="0" fontId="16" fillId="0" borderId="7" xfId="10" applyBorder="1" applyAlignment="1">
      <alignment horizontal="center" vertical="center"/>
    </xf>
    <xf numFmtId="0" fontId="16" fillId="0" borderId="10" xfId="10" applyBorder="1" applyAlignment="1">
      <alignment horizontal="center" vertical="center"/>
    </xf>
    <xf numFmtId="0" fontId="16" fillId="0" borderId="11" xfId="10" applyBorder="1" applyAlignment="1">
      <alignment horizontal="center" vertical="center"/>
    </xf>
    <xf numFmtId="0" fontId="16" fillId="0" borderId="6" xfId="10" applyBorder="1" applyAlignment="1">
      <alignment horizontal="center"/>
    </xf>
    <xf numFmtId="0" fontId="16" fillId="0" borderId="2" xfId="10" applyBorder="1" applyAlignment="1">
      <alignment horizontal="center"/>
    </xf>
    <xf numFmtId="0" fontId="16" fillId="0" borderId="3" xfId="10" applyBorder="1" applyAlignment="1">
      <alignment horizontal="center"/>
    </xf>
    <xf numFmtId="0" fontId="20" fillId="0" borderId="6" xfId="10" applyFont="1" applyBorder="1" applyAlignment="1">
      <alignment horizontal="center"/>
    </xf>
    <xf numFmtId="0" fontId="20" fillId="0" borderId="3" xfId="10" applyFont="1" applyBorder="1" applyAlignment="1">
      <alignment horizontal="center"/>
    </xf>
    <xf numFmtId="0" fontId="22" fillId="0" borderId="6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0" fontId="22" fillId="0" borderId="3" xfId="0" applyFont="1" applyBorder="1" applyAlignment="1">
      <alignment horizontal="center" vertical="center"/>
    </xf>
    <xf numFmtId="0" fontId="23" fillId="0" borderId="6" xfId="0" applyFont="1" applyFill="1" applyBorder="1" applyAlignment="1">
      <alignment horizontal="center" vertical="center"/>
    </xf>
    <xf numFmtId="0" fontId="23" fillId="0" borderId="3" xfId="0" applyFont="1" applyFill="1" applyBorder="1" applyAlignment="1">
      <alignment horizontal="center" vertical="center"/>
    </xf>
    <xf numFmtId="0" fontId="22" fillId="0" borderId="6" xfId="0" applyFont="1" applyFill="1" applyBorder="1" applyAlignment="1">
      <alignment horizontal="center" vertical="center"/>
    </xf>
    <xf numFmtId="0" fontId="22" fillId="0" borderId="2" xfId="0" applyFont="1" applyFill="1" applyBorder="1" applyAlignment="1">
      <alignment horizontal="center" vertical="center"/>
    </xf>
    <xf numFmtId="0" fontId="22" fillId="0" borderId="3" xfId="0" applyFont="1" applyFill="1" applyBorder="1" applyAlignment="1">
      <alignment horizontal="center" vertical="center"/>
    </xf>
    <xf numFmtId="39" fontId="23" fillId="0" borderId="0" xfId="0" applyNumberFormat="1" applyFont="1" applyAlignment="1" applyProtection="1">
      <alignment horizontal="center" vertical="center"/>
    </xf>
    <xf numFmtId="39" fontId="25" fillId="0" borderId="0" xfId="0" applyNumberFormat="1" applyFont="1" applyAlignment="1" applyProtection="1">
      <alignment horizontal="center" vertical="center"/>
    </xf>
    <xf numFmtId="0" fontId="22" fillId="0" borderId="4" xfId="0" applyFont="1" applyFill="1" applyBorder="1" applyAlignment="1">
      <alignment horizontal="center" vertical="center"/>
    </xf>
    <xf numFmtId="1" fontId="22" fillId="0" borderId="6" xfId="0" applyNumberFormat="1" applyFont="1" applyFill="1" applyBorder="1" applyAlignment="1">
      <alignment horizontal="center" vertical="center"/>
    </xf>
    <xf numFmtId="1" fontId="22" fillId="0" borderId="2" xfId="0" applyNumberFormat="1" applyFont="1" applyFill="1" applyBorder="1" applyAlignment="1">
      <alignment horizontal="center" vertical="center"/>
    </xf>
    <xf numFmtId="1" fontId="22" fillId="0" borderId="3" xfId="0" applyNumberFormat="1" applyFont="1" applyFill="1" applyBorder="1" applyAlignment="1">
      <alignment horizontal="center" vertical="center"/>
    </xf>
    <xf numFmtId="9" fontId="22" fillId="0" borderId="6" xfId="0" applyNumberFormat="1" applyFont="1" applyFill="1" applyBorder="1" applyAlignment="1">
      <alignment horizontal="center" vertical="center"/>
    </xf>
    <xf numFmtId="9" fontId="22" fillId="0" borderId="2" xfId="0" applyNumberFormat="1" applyFont="1" applyFill="1" applyBorder="1" applyAlignment="1">
      <alignment horizontal="center" vertical="center"/>
    </xf>
    <xf numFmtId="9" fontId="22" fillId="0" borderId="3" xfId="0" applyNumberFormat="1" applyFont="1" applyFill="1" applyBorder="1" applyAlignment="1">
      <alignment horizontal="center" vertical="center"/>
    </xf>
    <xf numFmtId="0" fontId="23" fillId="0" borderId="4" xfId="0" applyFont="1" applyBorder="1" applyAlignment="1">
      <alignment horizontal="center" vertical="center"/>
    </xf>
    <xf numFmtId="0" fontId="23" fillId="0" borderId="6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0" fontId="23" fillId="0" borderId="3" xfId="0" applyFont="1" applyBorder="1" applyAlignment="1">
      <alignment horizontal="center" vertical="center"/>
    </xf>
    <xf numFmtId="0" fontId="22" fillId="0" borderId="4" xfId="0" applyFont="1" applyBorder="1" applyAlignment="1">
      <alignment horizontal="center" vertical="center"/>
    </xf>
    <xf numFmtId="0" fontId="25" fillId="0" borderId="0" xfId="0" applyFont="1" applyBorder="1" applyAlignment="1">
      <alignment horizontal="left" vertical="center"/>
    </xf>
    <xf numFmtId="39" fontId="29" fillId="0" borderId="0" xfId="0" applyNumberFormat="1" applyFont="1" applyAlignment="1" applyProtection="1">
      <alignment horizontal="center" vertical="center"/>
    </xf>
    <xf numFmtId="39" fontId="23" fillId="0" borderId="0" xfId="0" applyNumberFormat="1" applyFont="1" applyAlignment="1" applyProtection="1">
      <alignment horizontal="center" vertical="center" wrapText="1"/>
    </xf>
    <xf numFmtId="0" fontId="23" fillId="0" borderId="4" xfId="0" applyFont="1" applyBorder="1" applyAlignment="1">
      <alignment horizontal="left" vertical="center"/>
    </xf>
    <xf numFmtId="2" fontId="22" fillId="0" borderId="7" xfId="0" applyNumberFormat="1" applyFont="1" applyBorder="1" applyAlignment="1">
      <alignment horizontal="center" vertical="center"/>
    </xf>
    <xf numFmtId="2" fontId="22" fillId="0" borderId="10" xfId="0" applyNumberFormat="1" applyFont="1" applyBorder="1" applyAlignment="1">
      <alignment horizontal="center" vertical="center"/>
    </xf>
    <xf numFmtId="2" fontId="22" fillId="0" borderId="11" xfId="0" applyNumberFormat="1" applyFont="1" applyBorder="1" applyAlignment="1">
      <alignment horizontal="center" vertical="center"/>
    </xf>
    <xf numFmtId="0" fontId="11" fillId="0" borderId="1" xfId="10" applyFont="1" applyBorder="1" applyAlignment="1">
      <alignment horizontal="center"/>
    </xf>
    <xf numFmtId="2" fontId="23" fillId="0" borderId="6" xfId="0" applyNumberFormat="1" applyFont="1" applyBorder="1" applyAlignment="1">
      <alignment horizontal="center"/>
    </xf>
    <xf numFmtId="2" fontId="23" fillId="0" borderId="2" xfId="0" applyNumberFormat="1" applyFont="1" applyBorder="1" applyAlignment="1">
      <alignment horizontal="center"/>
    </xf>
    <xf numFmtId="2" fontId="23" fillId="0" borderId="3" xfId="0" applyNumberFormat="1" applyFont="1" applyBorder="1" applyAlignment="1">
      <alignment horizontal="center"/>
    </xf>
    <xf numFmtId="0" fontId="23" fillId="0" borderId="2" xfId="0" applyFont="1" applyBorder="1" applyAlignment="1">
      <alignment horizontal="center"/>
    </xf>
    <xf numFmtId="0" fontId="22" fillId="0" borderId="6" xfId="0" applyFont="1" applyBorder="1" applyAlignment="1">
      <alignment horizontal="center"/>
    </xf>
    <xf numFmtId="0" fontId="22" fillId="0" borderId="2" xfId="0" applyFont="1" applyBorder="1" applyAlignment="1">
      <alignment horizontal="center"/>
    </xf>
    <xf numFmtId="0" fontId="22" fillId="0" borderId="3" xfId="0" applyFont="1" applyBorder="1" applyAlignment="1">
      <alignment horizontal="center"/>
    </xf>
    <xf numFmtId="39" fontId="25" fillId="0" borderId="0" xfId="0" applyNumberFormat="1" applyFont="1" applyAlignment="1" applyProtection="1">
      <alignment horizontal="center"/>
    </xf>
  </cellXfs>
  <cellStyles count="15">
    <cellStyle name="Comma 2" xfId="3"/>
    <cellStyle name="Currency 2" xfId="12"/>
    <cellStyle name="Date" xfId="4"/>
    <cellStyle name="Fixed" xfId="5"/>
    <cellStyle name="Heading1 1" xfId="6"/>
    <cellStyle name="Heading2" xfId="7"/>
    <cellStyle name="Normal" xfId="0" builtinId="0"/>
    <cellStyle name="Normal 2" xfId="1"/>
    <cellStyle name="Normal 3" xfId="8"/>
    <cellStyle name="Normal 4" xfId="9"/>
    <cellStyle name="Normal 5" xfId="10"/>
    <cellStyle name="Normal 5 2" xfId="13"/>
    <cellStyle name="Normal 6" xfId="11"/>
    <cellStyle name="Percent" xfId="14" builtinId="5"/>
    <cellStyle name="Percent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3"/>
  <sheetViews>
    <sheetView tabSelected="1" zoomScale="85" zoomScaleNormal="85" workbookViewId="0">
      <selection activeCell="C19" sqref="C19"/>
    </sheetView>
  </sheetViews>
  <sheetFormatPr defaultRowHeight="15" x14ac:dyDescent="0.15"/>
  <cols>
    <col min="1" max="1" width="15.625" style="161" customWidth="1"/>
    <col min="2" max="2" width="44.125" style="172" customWidth="1"/>
    <col min="3" max="3" width="18.375" style="161" customWidth="1"/>
    <col min="4" max="16384" width="9" style="161"/>
  </cols>
  <sheetData>
    <row r="1" spans="1:5" ht="21" x14ac:dyDescent="0.15">
      <c r="A1" s="288" t="s">
        <v>248</v>
      </c>
      <c r="B1" s="288"/>
      <c r="C1" s="288"/>
    </row>
    <row r="2" spans="1:5" ht="23.25" customHeight="1" x14ac:dyDescent="0.15">
      <c r="A2" s="289" t="s">
        <v>263</v>
      </c>
      <c r="B2" s="289"/>
      <c r="C2" s="289"/>
    </row>
    <row r="3" spans="1:5" ht="45.75" customHeight="1" x14ac:dyDescent="0.15">
      <c r="A3" s="290" t="s">
        <v>254</v>
      </c>
      <c r="B3" s="290"/>
      <c r="C3" s="290"/>
    </row>
    <row r="4" spans="1:5" ht="37.5" customHeight="1" x14ac:dyDescent="0.15">
      <c r="A4" s="290" t="s">
        <v>260</v>
      </c>
      <c r="B4" s="291"/>
      <c r="C4" s="291"/>
    </row>
    <row r="5" spans="1:5" ht="15.75" x14ac:dyDescent="0.15">
      <c r="A5" s="230"/>
      <c r="B5" s="231"/>
      <c r="C5" s="231"/>
    </row>
    <row r="6" spans="1:5" ht="15.75" x14ac:dyDescent="0.15">
      <c r="A6" s="287" t="s">
        <v>8</v>
      </c>
      <c r="B6" s="287"/>
      <c r="C6" s="146" t="s">
        <v>180</v>
      </c>
    </row>
    <row r="7" spans="1:5" ht="34.5" customHeight="1" x14ac:dyDescent="0.15">
      <c r="A7" s="127" t="s">
        <v>154</v>
      </c>
      <c r="B7" s="128" t="s">
        <v>8</v>
      </c>
      <c r="C7" s="127" t="s">
        <v>5</v>
      </c>
    </row>
    <row r="8" spans="1:5" ht="15.75" x14ac:dyDescent="0.15">
      <c r="A8" s="127">
        <v>1</v>
      </c>
      <c r="B8" s="128" t="s">
        <v>9</v>
      </c>
      <c r="C8" s="129">
        <f>'PROPOSED LAND DETAILS'!D8</f>
        <v>5</v>
      </c>
    </row>
    <row r="9" spans="1:5" ht="15.75" x14ac:dyDescent="0.15">
      <c r="A9" s="127">
        <v>2</v>
      </c>
      <c r="B9" s="128" t="s">
        <v>229</v>
      </c>
      <c r="C9" s="129">
        <f>(525+900+60+100+80+50)+(525+900+60+100+80+50)*0.18</f>
        <v>2023.7</v>
      </c>
    </row>
    <row r="10" spans="1:5" ht="18.75" customHeight="1" x14ac:dyDescent="0.15">
      <c r="A10" s="127">
        <v>3</v>
      </c>
      <c r="B10" s="128" t="s">
        <v>35</v>
      </c>
      <c r="C10" s="129">
        <f>(280+300+20)+((280+300+20)*0.18)</f>
        <v>708</v>
      </c>
    </row>
    <row r="11" spans="1:5" ht="16.5" customHeight="1" x14ac:dyDescent="0.15">
      <c r="A11" s="127">
        <v>4</v>
      </c>
      <c r="B11" s="128" t="s">
        <v>11</v>
      </c>
      <c r="C11" s="129">
        <f>(252+50+20)+((252+50+20)*0.18)</f>
        <v>379.96</v>
      </c>
    </row>
    <row r="12" spans="1:5" ht="15.75" x14ac:dyDescent="0.15">
      <c r="A12" s="127"/>
      <c r="B12" s="128" t="s">
        <v>33</v>
      </c>
      <c r="C12" s="129">
        <f>SUM(C8:C11)</f>
        <v>3116.66</v>
      </c>
      <c r="E12" s="162"/>
    </row>
    <row r="13" spans="1:5" ht="15.75" x14ac:dyDescent="0.15">
      <c r="A13" s="127">
        <v>5</v>
      </c>
      <c r="B13" s="128" t="s">
        <v>297</v>
      </c>
      <c r="C13" s="129">
        <f>'Repayment Schedule'!B154+'Repayment Schedule'!C154</f>
        <v>175.49583333333334</v>
      </c>
    </row>
    <row r="14" spans="1:5" ht="15.75" x14ac:dyDescent="0.15">
      <c r="A14" s="163"/>
      <c r="B14" s="128" t="s">
        <v>12</v>
      </c>
      <c r="C14" s="129">
        <f t="shared" ref="C14" si="0">SUM(C12+C13)</f>
        <v>3292.1558333333332</v>
      </c>
    </row>
    <row r="15" spans="1:5" ht="15.75" x14ac:dyDescent="0.15">
      <c r="A15" s="164"/>
      <c r="B15" s="165"/>
      <c r="C15" s="166"/>
      <c r="D15" s="167"/>
    </row>
    <row r="16" spans="1:5" ht="15.75" x14ac:dyDescent="0.15">
      <c r="A16" s="164" t="s">
        <v>212</v>
      </c>
      <c r="B16" s="164"/>
      <c r="C16" s="146" t="s">
        <v>180</v>
      </c>
    </row>
    <row r="17" spans="1:3" ht="32.25" customHeight="1" x14ac:dyDescent="0.15">
      <c r="A17" s="127" t="s">
        <v>154</v>
      </c>
      <c r="B17" s="128" t="s">
        <v>13</v>
      </c>
      <c r="C17" s="127" t="s">
        <v>5</v>
      </c>
    </row>
    <row r="18" spans="1:3" ht="15.75" x14ac:dyDescent="0.15">
      <c r="A18" s="127">
        <v>1</v>
      </c>
      <c r="B18" s="128" t="s">
        <v>253</v>
      </c>
      <c r="C18" s="129">
        <v>1074.1600000000001</v>
      </c>
    </row>
    <row r="19" spans="1:3" ht="19.5" customHeight="1" x14ac:dyDescent="0.15">
      <c r="A19" s="127">
        <v>2</v>
      </c>
      <c r="B19" s="128" t="s">
        <v>14</v>
      </c>
      <c r="C19" s="129">
        <f>'TL Cal'!F11</f>
        <v>2218.0039999999999</v>
      </c>
    </row>
    <row r="20" spans="1:3" ht="23.25" customHeight="1" x14ac:dyDescent="0.15">
      <c r="A20" s="163"/>
      <c r="B20" s="128" t="s">
        <v>15</v>
      </c>
      <c r="C20" s="129">
        <f>SUM(C18:C19)</f>
        <v>3292.1639999999998</v>
      </c>
    </row>
    <row r="21" spans="1:3" ht="15.75" x14ac:dyDescent="0.15">
      <c r="A21" s="168" t="s">
        <v>220</v>
      </c>
      <c r="B21" s="169"/>
      <c r="C21" s="166"/>
    </row>
    <row r="22" spans="1:3" ht="15" customHeight="1" x14ac:dyDescent="0.15">
      <c r="A22" s="290">
        <v>1</v>
      </c>
      <c r="B22" s="286" t="s">
        <v>261</v>
      </c>
      <c r="C22" s="286"/>
    </row>
    <row r="23" spans="1:3" ht="21.75" customHeight="1" x14ac:dyDescent="0.15">
      <c r="A23" s="290"/>
      <c r="B23" s="286"/>
      <c r="C23" s="286"/>
    </row>
    <row r="24" spans="1:3" ht="15.75" customHeight="1" x14ac:dyDescent="0.15">
      <c r="A24" s="290"/>
      <c r="B24" s="286"/>
      <c r="C24" s="286"/>
    </row>
    <row r="25" spans="1:3" ht="15.75" x14ac:dyDescent="0.15">
      <c r="A25" s="157">
        <v>2</v>
      </c>
      <c r="B25" s="130" t="s">
        <v>221</v>
      </c>
      <c r="C25" s="156"/>
    </row>
    <row r="26" spans="1:3" ht="15.75" x14ac:dyDescent="0.15">
      <c r="A26" s="170" t="s">
        <v>224</v>
      </c>
      <c r="B26" s="169" t="s">
        <v>257</v>
      </c>
      <c r="C26" s="168">
        <v>18</v>
      </c>
    </row>
    <row r="27" spans="1:3" ht="15.75" x14ac:dyDescent="0.15">
      <c r="A27" s="170" t="s">
        <v>225</v>
      </c>
      <c r="B27" s="169" t="s">
        <v>222</v>
      </c>
      <c r="C27" s="168">
        <v>1</v>
      </c>
    </row>
    <row r="28" spans="1:3" ht="15.75" x14ac:dyDescent="0.15">
      <c r="A28" s="170" t="s">
        <v>226</v>
      </c>
      <c r="B28" s="169" t="s">
        <v>223</v>
      </c>
      <c r="C28" s="168">
        <v>1</v>
      </c>
    </row>
    <row r="29" spans="1:3" ht="15.75" x14ac:dyDescent="0.15">
      <c r="A29" s="170" t="s">
        <v>227</v>
      </c>
      <c r="B29" s="169" t="s">
        <v>232</v>
      </c>
      <c r="C29" s="168">
        <v>1</v>
      </c>
    </row>
    <row r="30" spans="1:3" ht="15.75" x14ac:dyDescent="0.15">
      <c r="A30" s="170"/>
      <c r="B30" s="169"/>
      <c r="C30" s="168"/>
    </row>
    <row r="31" spans="1:3" ht="15.75" x14ac:dyDescent="0.15">
      <c r="A31" s="157">
        <v>3</v>
      </c>
      <c r="B31" s="171" t="s">
        <v>228</v>
      </c>
      <c r="C31" s="168">
        <v>38</v>
      </c>
    </row>
    <row r="32" spans="1:3" x14ac:dyDescent="0.15">
      <c r="C32" s="173"/>
    </row>
    <row r="33" spans="3:3" x14ac:dyDescent="0.15">
      <c r="C33" s="173"/>
    </row>
  </sheetData>
  <mergeCells count="7">
    <mergeCell ref="B22:C24"/>
    <mergeCell ref="A6:B6"/>
    <mergeCell ref="A1:C1"/>
    <mergeCell ref="A2:C2"/>
    <mergeCell ref="A3:C3"/>
    <mergeCell ref="A4:C4"/>
    <mergeCell ref="A22:A24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8"/>
  <sheetViews>
    <sheetView workbookViewId="0">
      <selection activeCell="E45" sqref="E45"/>
    </sheetView>
  </sheetViews>
  <sheetFormatPr defaultRowHeight="15" x14ac:dyDescent="0.15"/>
  <cols>
    <col min="1" max="1" width="19.25" style="183" customWidth="1"/>
    <col min="2" max="2" width="4.875" style="183" customWidth="1"/>
    <col min="3" max="3" width="9" style="183"/>
    <col min="4" max="4" width="8.125" style="183" customWidth="1"/>
    <col min="5" max="7" width="9" style="183"/>
    <col min="8" max="10" width="8.25" style="183" customWidth="1"/>
    <col min="11" max="16384" width="9" style="183"/>
  </cols>
  <sheetData>
    <row r="1" spans="1:14" ht="18.75" x14ac:dyDescent="0.15">
      <c r="A1" s="345" t="str">
        <f>COP!A1</f>
        <v>M/s VAYU SUITES</v>
      </c>
      <c r="B1" s="345"/>
      <c r="C1" s="345"/>
      <c r="D1" s="345"/>
      <c r="E1" s="345"/>
      <c r="F1" s="345"/>
      <c r="G1" s="345"/>
      <c r="H1" s="345"/>
      <c r="I1" s="345"/>
      <c r="J1" s="345"/>
      <c r="K1" s="345"/>
      <c r="L1" s="345"/>
      <c r="M1" s="345"/>
      <c r="N1" s="345"/>
    </row>
    <row r="2" spans="1:14" ht="16.5" customHeight="1" x14ac:dyDescent="0.15">
      <c r="A2" s="330" t="str">
        <f>COP!A2</f>
        <v>NEW HOTEL PROJECT</v>
      </c>
      <c r="B2" s="330"/>
      <c r="C2" s="330"/>
      <c r="D2" s="330"/>
      <c r="E2" s="330"/>
      <c r="F2" s="330"/>
      <c r="G2" s="330"/>
      <c r="H2" s="330"/>
      <c r="I2" s="330"/>
      <c r="J2" s="330"/>
      <c r="K2" s="330"/>
      <c r="L2" s="330"/>
      <c r="M2" s="330"/>
      <c r="N2" s="330"/>
    </row>
    <row r="3" spans="1:14" ht="17.25" customHeight="1" x14ac:dyDescent="0.15">
      <c r="A3" s="330" t="str">
        <f>COP!A3</f>
        <v xml:space="preserve">REG. ADDRESS : -LOBBY LEVEL, INSIDE HOTEL VISHNUPRIYA, 9, GULAB BAGH ROAD, UDAIPUR, RAJASTHAN, 313001 </v>
      </c>
      <c r="B3" s="330"/>
      <c r="C3" s="330"/>
      <c r="D3" s="330"/>
      <c r="E3" s="330"/>
      <c r="F3" s="330"/>
      <c r="G3" s="330"/>
      <c r="H3" s="330"/>
      <c r="I3" s="330"/>
      <c r="J3" s="330"/>
      <c r="K3" s="330"/>
      <c r="L3" s="330"/>
      <c r="M3" s="330"/>
      <c r="N3" s="330"/>
    </row>
    <row r="4" spans="1:14" ht="15" customHeight="1" x14ac:dyDescent="0.15">
      <c r="A4" s="346" t="str">
        <f>COP!A4</f>
        <v>UNIT ADDRESS : -KHASARA NO. 579/546, REVENUE VILLAGE-SENA, TEHSIL-BALI, DISTRICT-PALI, RAJASTHAN</v>
      </c>
      <c r="B4" s="346"/>
      <c r="C4" s="346"/>
      <c r="D4" s="346"/>
      <c r="E4" s="346"/>
      <c r="F4" s="346"/>
      <c r="G4" s="346"/>
      <c r="H4" s="346"/>
      <c r="I4" s="346"/>
      <c r="J4" s="346"/>
      <c r="K4" s="346"/>
      <c r="L4" s="346"/>
      <c r="M4" s="346"/>
      <c r="N4" s="346"/>
    </row>
    <row r="5" spans="1:14" ht="12.75" customHeight="1" x14ac:dyDescent="0.15">
      <c r="A5" s="272"/>
      <c r="B5" s="273"/>
      <c r="C5" s="273"/>
      <c r="D5" s="273"/>
      <c r="E5" s="273"/>
      <c r="F5" s="255"/>
      <c r="G5" s="255"/>
      <c r="H5" s="255"/>
      <c r="I5" s="255"/>
      <c r="J5" s="255"/>
      <c r="K5" s="255"/>
      <c r="L5" s="255"/>
      <c r="M5" s="255"/>
      <c r="N5" s="255"/>
    </row>
    <row r="6" spans="1:14" ht="19.5" customHeight="1" x14ac:dyDescent="0.15">
      <c r="A6" s="344" t="s">
        <v>119</v>
      </c>
      <c r="B6" s="344"/>
      <c r="C6" s="344"/>
      <c r="D6" s="344"/>
      <c r="E6" s="344"/>
      <c r="F6" s="344"/>
      <c r="G6" s="344"/>
      <c r="H6" s="344"/>
      <c r="I6" s="255"/>
      <c r="K6" s="274"/>
      <c r="L6" s="274"/>
      <c r="M6" s="274"/>
      <c r="N6" s="274" t="s">
        <v>122</v>
      </c>
    </row>
    <row r="7" spans="1:14" x14ac:dyDescent="0.15">
      <c r="A7" s="95" t="s">
        <v>21</v>
      </c>
      <c r="B7" s="267" t="s">
        <v>120</v>
      </c>
      <c r="C7" s="267" t="s">
        <v>159</v>
      </c>
      <c r="D7" s="267" t="s">
        <v>160</v>
      </c>
      <c r="E7" s="267" t="s">
        <v>161</v>
      </c>
      <c r="F7" s="267" t="s">
        <v>162</v>
      </c>
      <c r="G7" s="267" t="s">
        <v>163</v>
      </c>
      <c r="H7" s="267" t="s">
        <v>217</v>
      </c>
      <c r="I7" s="267" t="s">
        <v>230</v>
      </c>
      <c r="J7" s="47" t="s">
        <v>234</v>
      </c>
      <c r="K7" s="47" t="s">
        <v>235</v>
      </c>
      <c r="L7" s="47" t="s">
        <v>236</v>
      </c>
      <c r="M7" s="47" t="s">
        <v>281</v>
      </c>
      <c r="N7" s="47" t="s">
        <v>283</v>
      </c>
    </row>
    <row r="8" spans="1:14" x14ac:dyDescent="0.15">
      <c r="A8" s="95"/>
      <c r="B8" s="35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</row>
    <row r="9" spans="1:14" x14ac:dyDescent="0.15">
      <c r="A9" s="95" t="s">
        <v>112</v>
      </c>
      <c r="B9" s="267"/>
      <c r="C9" s="275">
        <v>5</v>
      </c>
      <c r="D9" s="275">
        <v>5</v>
      </c>
      <c r="E9" s="275">
        <v>5</v>
      </c>
      <c r="F9" s="275">
        <v>5</v>
      </c>
      <c r="G9" s="275">
        <v>5</v>
      </c>
      <c r="H9" s="275">
        <v>5</v>
      </c>
      <c r="I9" s="275">
        <v>5</v>
      </c>
      <c r="J9" s="275">
        <v>5</v>
      </c>
      <c r="K9" s="275">
        <v>5</v>
      </c>
      <c r="L9" s="275">
        <v>5</v>
      </c>
      <c r="M9" s="275">
        <v>5</v>
      </c>
      <c r="N9" s="275">
        <v>5</v>
      </c>
    </row>
    <row r="10" spans="1:14" x14ac:dyDescent="0.15">
      <c r="A10" s="340"/>
      <c r="B10" s="341"/>
      <c r="C10" s="341"/>
      <c r="D10" s="341"/>
      <c r="E10" s="341"/>
      <c r="F10" s="341"/>
      <c r="G10" s="341"/>
      <c r="H10" s="341"/>
      <c r="I10" s="341"/>
      <c r="J10" s="341"/>
      <c r="K10" s="341"/>
      <c r="L10" s="341"/>
      <c r="M10" s="341"/>
      <c r="N10" s="342"/>
    </row>
    <row r="11" spans="1:14" x14ac:dyDescent="0.15">
      <c r="A11" s="95" t="s">
        <v>121</v>
      </c>
      <c r="B11" s="276">
        <v>0.1</v>
      </c>
      <c r="C11" s="277"/>
      <c r="D11" s="277"/>
      <c r="E11" s="277"/>
      <c r="F11" s="277"/>
      <c r="G11" s="277"/>
      <c r="H11" s="277"/>
      <c r="I11" s="277"/>
      <c r="J11" s="277"/>
      <c r="K11" s="277"/>
      <c r="L11" s="277"/>
      <c r="M11" s="277"/>
      <c r="N11" s="277"/>
    </row>
    <row r="12" spans="1:14" x14ac:dyDescent="0.15">
      <c r="A12" s="134" t="s">
        <v>115</v>
      </c>
      <c r="B12" s="35"/>
      <c r="C12" s="278">
        <v>0</v>
      </c>
      <c r="D12" s="278">
        <f t="shared" ref="D12:I12" si="0">C16</f>
        <v>0</v>
      </c>
      <c r="E12" s="278">
        <f t="shared" si="0"/>
        <v>1388</v>
      </c>
      <c r="F12" s="278">
        <f t="shared" si="0"/>
        <v>2023.7</v>
      </c>
      <c r="G12" s="278">
        <f t="shared" si="0"/>
        <v>1821.33</v>
      </c>
      <c r="H12" s="278">
        <f t="shared" si="0"/>
        <v>1639.1969999999999</v>
      </c>
      <c r="I12" s="278">
        <f t="shared" si="0"/>
        <v>1475.2773</v>
      </c>
      <c r="J12" s="278">
        <f t="shared" ref="J12" si="1">I16</f>
        <v>1327.7495699999999</v>
      </c>
      <c r="K12" s="278">
        <f t="shared" ref="K12" si="2">J16</f>
        <v>1194.9746129999999</v>
      </c>
      <c r="L12" s="278">
        <f t="shared" ref="L12" si="3">K16</f>
        <v>1075.4771516999999</v>
      </c>
      <c r="M12" s="278">
        <f t="shared" ref="M12:N12" si="4">L16</f>
        <v>967.92943652999998</v>
      </c>
      <c r="N12" s="278">
        <f t="shared" si="4"/>
        <v>871.13649287699991</v>
      </c>
    </row>
    <row r="13" spans="1:14" x14ac:dyDescent="0.15">
      <c r="A13" s="134" t="s">
        <v>116</v>
      </c>
      <c r="B13" s="35"/>
      <c r="C13" s="278">
        <v>0</v>
      </c>
      <c r="D13" s="278">
        <v>1388</v>
      </c>
      <c r="E13" s="278">
        <v>635.70000000000005</v>
      </c>
      <c r="F13" s="278">
        <v>0</v>
      </c>
      <c r="G13" s="278">
        <v>0</v>
      </c>
      <c r="H13" s="278">
        <v>0</v>
      </c>
      <c r="I13" s="278">
        <v>0</v>
      </c>
      <c r="J13" s="278">
        <v>0</v>
      </c>
      <c r="K13" s="278">
        <v>0</v>
      </c>
      <c r="L13" s="278">
        <v>0</v>
      </c>
      <c r="M13" s="278">
        <v>0</v>
      </c>
      <c r="N13" s="278">
        <v>0</v>
      </c>
    </row>
    <row r="14" spans="1:14" x14ac:dyDescent="0.15">
      <c r="A14" s="134" t="s">
        <v>20</v>
      </c>
      <c r="B14" s="35"/>
      <c r="C14" s="278">
        <f t="shared" ref="C14:F14" si="5">C12+C13</f>
        <v>0</v>
      </c>
      <c r="D14" s="278">
        <f t="shared" si="5"/>
        <v>1388</v>
      </c>
      <c r="E14" s="278">
        <f t="shared" si="5"/>
        <v>2023.7</v>
      </c>
      <c r="F14" s="278">
        <f t="shared" si="5"/>
        <v>2023.7</v>
      </c>
      <c r="G14" s="278">
        <f t="shared" ref="G14:H14" si="6">G12+G13</f>
        <v>1821.33</v>
      </c>
      <c r="H14" s="278">
        <f t="shared" si="6"/>
        <v>1639.1969999999999</v>
      </c>
      <c r="I14" s="278">
        <f t="shared" ref="I14:K14" si="7">I12+I13</f>
        <v>1475.2773</v>
      </c>
      <c r="J14" s="278">
        <f t="shared" si="7"/>
        <v>1327.7495699999999</v>
      </c>
      <c r="K14" s="278">
        <f t="shared" si="7"/>
        <v>1194.9746129999999</v>
      </c>
      <c r="L14" s="278">
        <f t="shared" ref="L14:M14" si="8">L12+L13</f>
        <v>1075.4771516999999</v>
      </c>
      <c r="M14" s="278">
        <f t="shared" si="8"/>
        <v>967.92943652999998</v>
      </c>
      <c r="N14" s="278">
        <f t="shared" ref="N14" si="9">N12+N13</f>
        <v>871.13649287699991</v>
      </c>
    </row>
    <row r="15" spans="1:14" x14ac:dyDescent="0.15">
      <c r="A15" s="134" t="s">
        <v>113</v>
      </c>
      <c r="B15" s="35"/>
      <c r="C15" s="278">
        <v>0</v>
      </c>
      <c r="D15" s="278">
        <v>0</v>
      </c>
      <c r="E15" s="278">
        <v>0</v>
      </c>
      <c r="F15" s="278">
        <f t="shared" ref="F15" si="10">F14*10%</f>
        <v>202.37</v>
      </c>
      <c r="G15" s="278">
        <f t="shared" ref="G15:H15" si="11">G14*10%</f>
        <v>182.13300000000001</v>
      </c>
      <c r="H15" s="278">
        <f t="shared" si="11"/>
        <v>163.91970000000001</v>
      </c>
      <c r="I15" s="278">
        <f t="shared" ref="I15:K15" si="12">I14*10%</f>
        <v>147.52772999999999</v>
      </c>
      <c r="J15" s="278">
        <f t="shared" si="12"/>
        <v>132.774957</v>
      </c>
      <c r="K15" s="278">
        <f t="shared" si="12"/>
        <v>119.4974613</v>
      </c>
      <c r="L15" s="278">
        <f t="shared" ref="L15:M15" si="13">L14*10%</f>
        <v>107.54771517</v>
      </c>
      <c r="M15" s="278">
        <f t="shared" si="13"/>
        <v>96.792943653000009</v>
      </c>
      <c r="N15" s="278">
        <f t="shared" ref="N15" si="14">N14*10%</f>
        <v>87.113649287699999</v>
      </c>
    </row>
    <row r="16" spans="1:14" x14ac:dyDescent="0.15">
      <c r="A16" s="95" t="s">
        <v>114</v>
      </c>
      <c r="B16" s="267"/>
      <c r="C16" s="279">
        <f t="shared" ref="C16:F16" si="15">C14-C15</f>
        <v>0</v>
      </c>
      <c r="D16" s="279">
        <f t="shared" si="15"/>
        <v>1388</v>
      </c>
      <c r="E16" s="279">
        <f t="shared" si="15"/>
        <v>2023.7</v>
      </c>
      <c r="F16" s="279">
        <f t="shared" si="15"/>
        <v>1821.33</v>
      </c>
      <c r="G16" s="279">
        <f t="shared" ref="G16:H16" si="16">G14-G15</f>
        <v>1639.1969999999999</v>
      </c>
      <c r="H16" s="279">
        <f t="shared" si="16"/>
        <v>1475.2773</v>
      </c>
      <c r="I16" s="279">
        <f t="shared" ref="I16:K16" si="17">I14-I15</f>
        <v>1327.7495699999999</v>
      </c>
      <c r="J16" s="279">
        <f t="shared" si="17"/>
        <v>1194.9746129999999</v>
      </c>
      <c r="K16" s="279">
        <f t="shared" si="17"/>
        <v>1075.4771516999999</v>
      </c>
      <c r="L16" s="279">
        <f t="shared" ref="L16:M16" si="18">L14-L15</f>
        <v>967.92943652999998</v>
      </c>
      <c r="M16" s="279">
        <f t="shared" si="18"/>
        <v>871.13649287699991</v>
      </c>
      <c r="N16" s="279">
        <f t="shared" ref="N16" si="19">N14-N15</f>
        <v>784.0228435892999</v>
      </c>
    </row>
    <row r="17" spans="1:14" x14ac:dyDescent="0.15">
      <c r="A17" s="322"/>
      <c r="B17" s="323"/>
      <c r="C17" s="323"/>
      <c r="D17" s="323"/>
      <c r="E17" s="323"/>
      <c r="F17" s="323"/>
      <c r="G17" s="323"/>
      <c r="H17" s="323"/>
      <c r="I17" s="323"/>
      <c r="J17" s="323"/>
      <c r="K17" s="323"/>
      <c r="L17" s="323"/>
      <c r="M17" s="323"/>
      <c r="N17" s="324"/>
    </row>
    <row r="18" spans="1:14" x14ac:dyDescent="0.15">
      <c r="A18" s="95" t="s">
        <v>125</v>
      </c>
      <c r="B18" s="276">
        <v>0.15</v>
      </c>
      <c r="C18" s="280"/>
      <c r="D18" s="280"/>
      <c r="E18" s="280"/>
      <c r="F18" s="280"/>
      <c r="G18" s="280"/>
      <c r="H18" s="280"/>
      <c r="I18" s="280"/>
      <c r="J18" s="280"/>
      <c r="K18" s="280"/>
      <c r="L18" s="280"/>
      <c r="M18" s="280"/>
      <c r="N18" s="280"/>
    </row>
    <row r="19" spans="1:14" x14ac:dyDescent="0.15">
      <c r="A19" s="134" t="s">
        <v>115</v>
      </c>
      <c r="B19" s="276"/>
      <c r="C19" s="278">
        <v>0</v>
      </c>
      <c r="D19" s="278">
        <f t="shared" ref="D19" si="20">C23</f>
        <v>0</v>
      </c>
      <c r="E19" s="278">
        <f t="shared" ref="E19" si="21">D23</f>
        <v>0</v>
      </c>
      <c r="F19" s="278">
        <f t="shared" ref="F19:I19" si="22">E23</f>
        <v>326.86</v>
      </c>
      <c r="G19" s="278">
        <f t="shared" si="22"/>
        <v>277.83100000000002</v>
      </c>
      <c r="H19" s="278">
        <f t="shared" si="22"/>
        <v>236.15635000000003</v>
      </c>
      <c r="I19" s="278">
        <f t="shared" si="22"/>
        <v>200.73289750000004</v>
      </c>
      <c r="J19" s="278">
        <f t="shared" ref="J19" si="23">I23</f>
        <v>170.62296287500004</v>
      </c>
      <c r="K19" s="278">
        <f t="shared" ref="K19" si="24">J23</f>
        <v>145.02951844375002</v>
      </c>
      <c r="L19" s="278">
        <f t="shared" ref="L19" si="25">K23</f>
        <v>123.27509067718752</v>
      </c>
      <c r="M19" s="278">
        <f t="shared" ref="M19:N19" si="26">L23</f>
        <v>104.78382707560939</v>
      </c>
      <c r="N19" s="278">
        <f t="shared" si="26"/>
        <v>89.066253014267986</v>
      </c>
    </row>
    <row r="20" spans="1:14" x14ac:dyDescent="0.15">
      <c r="A20" s="134" t="s">
        <v>116</v>
      </c>
      <c r="B20" s="276"/>
      <c r="C20" s="278">
        <v>0</v>
      </c>
      <c r="D20" s="278">
        <v>0</v>
      </c>
      <c r="E20" s="278">
        <v>326.86</v>
      </c>
      <c r="F20" s="278">
        <v>0</v>
      </c>
      <c r="G20" s="278">
        <v>0</v>
      </c>
      <c r="H20" s="278">
        <v>0</v>
      </c>
      <c r="I20" s="278">
        <v>0</v>
      </c>
      <c r="J20" s="278">
        <v>0</v>
      </c>
      <c r="K20" s="278">
        <v>0</v>
      </c>
      <c r="L20" s="278">
        <v>0</v>
      </c>
      <c r="M20" s="278">
        <v>0</v>
      </c>
      <c r="N20" s="278">
        <v>0</v>
      </c>
    </row>
    <row r="21" spans="1:14" x14ac:dyDescent="0.15">
      <c r="A21" s="134" t="s">
        <v>20</v>
      </c>
      <c r="B21" s="276"/>
      <c r="C21" s="278">
        <f t="shared" ref="C21:F21" si="27">C19+C20</f>
        <v>0</v>
      </c>
      <c r="D21" s="278">
        <f t="shared" si="27"/>
        <v>0</v>
      </c>
      <c r="E21" s="278">
        <f t="shared" si="27"/>
        <v>326.86</v>
      </c>
      <c r="F21" s="278">
        <f t="shared" si="27"/>
        <v>326.86</v>
      </c>
      <c r="G21" s="278">
        <f t="shared" ref="G21:H21" si="28">G19+G20</f>
        <v>277.83100000000002</v>
      </c>
      <c r="H21" s="278">
        <f t="shared" si="28"/>
        <v>236.15635000000003</v>
      </c>
      <c r="I21" s="278">
        <f t="shared" ref="I21:K21" si="29">I19+I20</f>
        <v>200.73289750000004</v>
      </c>
      <c r="J21" s="278">
        <f t="shared" si="29"/>
        <v>170.62296287500004</v>
      </c>
      <c r="K21" s="278">
        <f t="shared" si="29"/>
        <v>145.02951844375002</v>
      </c>
      <c r="L21" s="278">
        <f t="shared" ref="L21:M21" si="30">L19+L20</f>
        <v>123.27509067718752</v>
      </c>
      <c r="M21" s="278">
        <f t="shared" si="30"/>
        <v>104.78382707560939</v>
      </c>
      <c r="N21" s="278">
        <f t="shared" ref="N21" si="31">N19+N20</f>
        <v>89.066253014267986</v>
      </c>
    </row>
    <row r="22" spans="1:14" x14ac:dyDescent="0.15">
      <c r="A22" s="134" t="s">
        <v>113</v>
      </c>
      <c r="B22" s="276"/>
      <c r="C22" s="278">
        <v>0</v>
      </c>
      <c r="D22" s="278">
        <v>0</v>
      </c>
      <c r="E22" s="278">
        <v>0</v>
      </c>
      <c r="F22" s="278">
        <f t="shared" ref="F22" si="32">F21*15%</f>
        <v>49.029000000000003</v>
      </c>
      <c r="G22" s="278">
        <f t="shared" ref="G22:H22" si="33">G21*15%</f>
        <v>41.67465</v>
      </c>
      <c r="H22" s="278">
        <f t="shared" si="33"/>
        <v>35.423452500000003</v>
      </c>
      <c r="I22" s="278">
        <f t="shared" ref="I22:K22" si="34">I21*15%</f>
        <v>30.109934625000005</v>
      </c>
      <c r="J22" s="278">
        <f t="shared" si="34"/>
        <v>25.593444431250006</v>
      </c>
      <c r="K22" s="278">
        <f t="shared" si="34"/>
        <v>21.754427766562504</v>
      </c>
      <c r="L22" s="278">
        <f t="shared" ref="L22:M22" si="35">L21*15%</f>
        <v>18.491263601578126</v>
      </c>
      <c r="M22" s="278">
        <f t="shared" si="35"/>
        <v>15.717574061341409</v>
      </c>
      <c r="N22" s="278">
        <f t="shared" ref="N22" si="36">N21*15%</f>
        <v>13.359937952140198</v>
      </c>
    </row>
    <row r="23" spans="1:14" x14ac:dyDescent="0.15">
      <c r="A23" s="95" t="s">
        <v>114</v>
      </c>
      <c r="B23" s="281"/>
      <c r="C23" s="279">
        <f t="shared" ref="C23:F23" si="37">C21-C22</f>
        <v>0</v>
      </c>
      <c r="D23" s="279">
        <f t="shared" si="37"/>
        <v>0</v>
      </c>
      <c r="E23" s="279">
        <f t="shared" si="37"/>
        <v>326.86</v>
      </c>
      <c r="F23" s="279">
        <f t="shared" si="37"/>
        <v>277.83100000000002</v>
      </c>
      <c r="G23" s="279">
        <f t="shared" ref="G23:H23" si="38">G21-G22</f>
        <v>236.15635000000003</v>
      </c>
      <c r="H23" s="279">
        <f t="shared" si="38"/>
        <v>200.73289750000004</v>
      </c>
      <c r="I23" s="279">
        <f t="shared" ref="I23:K23" si="39">I21-I22</f>
        <v>170.62296287500004</v>
      </c>
      <c r="J23" s="279">
        <f t="shared" si="39"/>
        <v>145.02951844375002</v>
      </c>
      <c r="K23" s="279">
        <f t="shared" si="39"/>
        <v>123.27509067718752</v>
      </c>
      <c r="L23" s="279">
        <f t="shared" ref="L23:M23" si="40">L21-L22</f>
        <v>104.78382707560939</v>
      </c>
      <c r="M23" s="279">
        <f t="shared" si="40"/>
        <v>89.066253014267986</v>
      </c>
      <c r="N23" s="279">
        <f t="shared" ref="N23" si="41">N21-N22</f>
        <v>75.706315062127786</v>
      </c>
    </row>
    <row r="24" spans="1:14" ht="12.75" customHeight="1" x14ac:dyDescent="0.15">
      <c r="A24" s="322"/>
      <c r="B24" s="323"/>
      <c r="C24" s="323"/>
      <c r="D24" s="323"/>
      <c r="E24" s="323"/>
      <c r="F24" s="323"/>
      <c r="G24" s="323"/>
      <c r="H24" s="323"/>
      <c r="I24" s="323"/>
      <c r="J24" s="323"/>
      <c r="K24" s="323"/>
      <c r="L24" s="323"/>
      <c r="M24" s="323"/>
      <c r="N24" s="324"/>
    </row>
    <row r="25" spans="1:14" x14ac:dyDescent="0.15">
      <c r="A25" s="95" t="s">
        <v>126</v>
      </c>
      <c r="B25" s="276">
        <v>0.4</v>
      </c>
      <c r="C25" s="278"/>
      <c r="D25" s="278"/>
      <c r="E25" s="278"/>
      <c r="F25" s="278"/>
      <c r="G25" s="278"/>
      <c r="H25" s="278"/>
      <c r="I25" s="278"/>
      <c r="J25" s="278"/>
      <c r="K25" s="278"/>
      <c r="L25" s="278"/>
      <c r="M25" s="278"/>
      <c r="N25" s="278"/>
    </row>
    <row r="26" spans="1:14" x14ac:dyDescent="0.15">
      <c r="A26" s="134" t="s">
        <v>115</v>
      </c>
      <c r="B26" s="276"/>
      <c r="C26" s="278">
        <v>0</v>
      </c>
      <c r="D26" s="278">
        <f t="shared" ref="D26" si="42">C30</f>
        <v>0</v>
      </c>
      <c r="E26" s="278">
        <f t="shared" ref="E26" si="43">D30</f>
        <v>0</v>
      </c>
      <c r="F26" s="278">
        <f t="shared" ref="F26:I26" si="44">E30</f>
        <v>53.1</v>
      </c>
      <c r="G26" s="278">
        <f t="shared" si="44"/>
        <v>31.86</v>
      </c>
      <c r="H26" s="278">
        <f t="shared" si="44"/>
        <v>19.116</v>
      </c>
      <c r="I26" s="278">
        <f t="shared" si="44"/>
        <v>11.4696</v>
      </c>
      <c r="J26" s="278">
        <f t="shared" ref="J26" si="45">I30</f>
        <v>6.8817599999999999</v>
      </c>
      <c r="K26" s="278">
        <f t="shared" ref="K26" si="46">J30</f>
        <v>4.1290560000000003</v>
      </c>
      <c r="L26" s="278">
        <f t="shared" ref="L26" si="47">K30</f>
        <v>2.4774336000000003</v>
      </c>
      <c r="M26" s="278">
        <f t="shared" ref="M26:N26" si="48">L30</f>
        <v>1.48646016</v>
      </c>
      <c r="N26" s="278">
        <f t="shared" si="48"/>
        <v>0.89187609599999995</v>
      </c>
    </row>
    <row r="27" spans="1:14" x14ac:dyDescent="0.15">
      <c r="A27" s="134" t="s">
        <v>116</v>
      </c>
      <c r="B27" s="35"/>
      <c r="C27" s="278">
        <v>0</v>
      </c>
      <c r="D27" s="278">
        <v>0</v>
      </c>
      <c r="E27" s="278">
        <v>53.1</v>
      </c>
      <c r="F27" s="278">
        <v>0</v>
      </c>
      <c r="G27" s="278">
        <v>0</v>
      </c>
      <c r="H27" s="278">
        <v>0</v>
      </c>
      <c r="I27" s="278">
        <v>0</v>
      </c>
      <c r="J27" s="278">
        <v>0</v>
      </c>
      <c r="K27" s="278">
        <v>0</v>
      </c>
      <c r="L27" s="278">
        <v>0</v>
      </c>
      <c r="M27" s="278">
        <v>0</v>
      </c>
      <c r="N27" s="278">
        <v>0</v>
      </c>
    </row>
    <row r="28" spans="1:14" x14ac:dyDescent="0.15">
      <c r="A28" s="134" t="s">
        <v>20</v>
      </c>
      <c r="B28" s="35"/>
      <c r="C28" s="278">
        <f t="shared" ref="C28:F28" si="49">C26+C27</f>
        <v>0</v>
      </c>
      <c r="D28" s="278">
        <f t="shared" si="49"/>
        <v>0</v>
      </c>
      <c r="E28" s="278">
        <f t="shared" si="49"/>
        <v>53.1</v>
      </c>
      <c r="F28" s="278">
        <f t="shared" si="49"/>
        <v>53.1</v>
      </c>
      <c r="G28" s="278">
        <f t="shared" ref="G28:H28" si="50">G26+G27</f>
        <v>31.86</v>
      </c>
      <c r="H28" s="278">
        <f t="shared" si="50"/>
        <v>19.116</v>
      </c>
      <c r="I28" s="278">
        <f t="shared" ref="I28:K28" si="51">I26+I27</f>
        <v>11.4696</v>
      </c>
      <c r="J28" s="278">
        <f t="shared" si="51"/>
        <v>6.8817599999999999</v>
      </c>
      <c r="K28" s="278">
        <f t="shared" si="51"/>
        <v>4.1290560000000003</v>
      </c>
      <c r="L28" s="278">
        <f t="shared" ref="L28:M28" si="52">L26+L27</f>
        <v>2.4774336000000003</v>
      </c>
      <c r="M28" s="278">
        <f t="shared" si="52"/>
        <v>1.48646016</v>
      </c>
      <c r="N28" s="278">
        <f t="shared" ref="N28" si="53">N26+N27</f>
        <v>0.89187609599999995</v>
      </c>
    </row>
    <row r="29" spans="1:14" x14ac:dyDescent="0.15">
      <c r="A29" s="134" t="s">
        <v>113</v>
      </c>
      <c r="B29" s="35"/>
      <c r="C29" s="278">
        <v>0</v>
      </c>
      <c r="D29" s="278">
        <v>0</v>
      </c>
      <c r="E29" s="278">
        <v>0</v>
      </c>
      <c r="F29" s="278">
        <f t="shared" ref="F29" si="54">F28*40%</f>
        <v>21.240000000000002</v>
      </c>
      <c r="G29" s="278">
        <f t="shared" ref="G29:H29" si="55">G28*40%</f>
        <v>12.744</v>
      </c>
      <c r="H29" s="278">
        <f t="shared" si="55"/>
        <v>7.6463999999999999</v>
      </c>
      <c r="I29" s="278">
        <f t="shared" ref="I29:K29" si="56">I28*40%</f>
        <v>4.5878399999999999</v>
      </c>
      <c r="J29" s="278">
        <f t="shared" si="56"/>
        <v>2.752704</v>
      </c>
      <c r="K29" s="278">
        <f t="shared" si="56"/>
        <v>1.6516224000000002</v>
      </c>
      <c r="L29" s="278">
        <f t="shared" ref="L29:M29" si="57">L28*40%</f>
        <v>0.99097344000000021</v>
      </c>
      <c r="M29" s="278">
        <f t="shared" si="57"/>
        <v>0.59458406400000008</v>
      </c>
      <c r="N29" s="278">
        <f t="shared" ref="N29" si="58">N28*40%</f>
        <v>0.35675043839999998</v>
      </c>
    </row>
    <row r="30" spans="1:14" x14ac:dyDescent="0.15">
      <c r="A30" s="95" t="s">
        <v>114</v>
      </c>
      <c r="B30" s="267"/>
      <c r="C30" s="279">
        <f t="shared" ref="C30:F30" si="59">C28-C29</f>
        <v>0</v>
      </c>
      <c r="D30" s="279">
        <f t="shared" si="59"/>
        <v>0</v>
      </c>
      <c r="E30" s="279">
        <f t="shared" si="59"/>
        <v>53.1</v>
      </c>
      <c r="F30" s="279">
        <f t="shared" si="59"/>
        <v>31.86</v>
      </c>
      <c r="G30" s="279">
        <f t="shared" ref="G30:H30" si="60">G28-G29</f>
        <v>19.116</v>
      </c>
      <c r="H30" s="279">
        <f t="shared" si="60"/>
        <v>11.4696</v>
      </c>
      <c r="I30" s="279">
        <f t="shared" ref="I30:K30" si="61">I28-I29</f>
        <v>6.8817599999999999</v>
      </c>
      <c r="J30" s="279">
        <f t="shared" si="61"/>
        <v>4.1290560000000003</v>
      </c>
      <c r="K30" s="279">
        <f t="shared" si="61"/>
        <v>2.4774336000000003</v>
      </c>
      <c r="L30" s="279">
        <f t="shared" ref="L30:M30" si="62">L28-L29</f>
        <v>1.48646016</v>
      </c>
      <c r="M30" s="279">
        <f t="shared" si="62"/>
        <v>0.89187609599999995</v>
      </c>
      <c r="N30" s="279">
        <f t="shared" ref="N30" si="63">N28-N29</f>
        <v>0.53512565759999997</v>
      </c>
    </row>
    <row r="31" spans="1:14" ht="12.75" customHeight="1" x14ac:dyDescent="0.15">
      <c r="A31" s="343"/>
      <c r="B31" s="343"/>
      <c r="C31" s="343"/>
      <c r="D31" s="343"/>
      <c r="E31" s="343"/>
      <c r="F31" s="343"/>
      <c r="G31" s="343"/>
      <c r="H31" s="343"/>
      <c r="I31" s="343"/>
      <c r="J31" s="343"/>
      <c r="K31" s="343"/>
      <c r="L31" s="343"/>
      <c r="M31" s="343"/>
      <c r="N31" s="343"/>
    </row>
    <row r="32" spans="1:14" x14ac:dyDescent="0.15">
      <c r="A32" s="95" t="s">
        <v>117</v>
      </c>
      <c r="B32" s="276">
        <v>0.1</v>
      </c>
      <c r="C32" s="277"/>
      <c r="D32" s="277"/>
      <c r="E32" s="277"/>
      <c r="F32" s="277"/>
      <c r="G32" s="277"/>
      <c r="H32" s="277"/>
      <c r="I32" s="277"/>
      <c r="J32" s="277"/>
      <c r="K32" s="277"/>
      <c r="L32" s="277"/>
      <c r="M32" s="277"/>
      <c r="N32" s="277"/>
    </row>
    <row r="33" spans="1:14" x14ac:dyDescent="0.15">
      <c r="A33" s="134" t="s">
        <v>115</v>
      </c>
      <c r="B33" s="35"/>
      <c r="C33" s="278">
        <v>0</v>
      </c>
      <c r="D33" s="278">
        <f t="shared" ref="D33" si="64">C37</f>
        <v>0</v>
      </c>
      <c r="E33" s="278">
        <f t="shared" ref="E33" si="65">D37</f>
        <v>0</v>
      </c>
      <c r="F33" s="278">
        <f t="shared" ref="F33:I33" si="66">E37</f>
        <v>708</v>
      </c>
      <c r="G33" s="278">
        <f t="shared" si="66"/>
        <v>637.20000000000005</v>
      </c>
      <c r="H33" s="278">
        <f t="shared" si="66"/>
        <v>573.48</v>
      </c>
      <c r="I33" s="278">
        <f t="shared" si="66"/>
        <v>516.13200000000006</v>
      </c>
      <c r="J33" s="278">
        <f t="shared" ref="J33" si="67">I37</f>
        <v>464.51880000000006</v>
      </c>
      <c r="K33" s="278">
        <f t="shared" ref="K33" si="68">J37</f>
        <v>418.06692000000004</v>
      </c>
      <c r="L33" s="278">
        <f t="shared" ref="L33" si="69">K37</f>
        <v>376.26022800000004</v>
      </c>
      <c r="M33" s="278">
        <f t="shared" ref="M33:N33" si="70">L37</f>
        <v>338.63420520000005</v>
      </c>
      <c r="N33" s="278">
        <f t="shared" si="70"/>
        <v>304.77078468000002</v>
      </c>
    </row>
    <row r="34" spans="1:14" x14ac:dyDescent="0.15">
      <c r="A34" s="134" t="s">
        <v>116</v>
      </c>
      <c r="B34" s="35"/>
      <c r="C34" s="278">
        <v>0</v>
      </c>
      <c r="D34" s="278">
        <v>0</v>
      </c>
      <c r="E34" s="278">
        <v>708</v>
      </c>
      <c r="F34" s="278">
        <v>0</v>
      </c>
      <c r="G34" s="278">
        <v>0</v>
      </c>
      <c r="H34" s="278">
        <v>0</v>
      </c>
      <c r="I34" s="278">
        <v>0</v>
      </c>
      <c r="J34" s="278">
        <v>0</v>
      </c>
      <c r="K34" s="278">
        <v>0</v>
      </c>
      <c r="L34" s="278">
        <v>0</v>
      </c>
      <c r="M34" s="278">
        <v>0</v>
      </c>
      <c r="N34" s="278">
        <v>0</v>
      </c>
    </row>
    <row r="35" spans="1:14" x14ac:dyDescent="0.15">
      <c r="A35" s="134" t="s">
        <v>20</v>
      </c>
      <c r="B35" s="35"/>
      <c r="C35" s="278">
        <f t="shared" ref="C35:F35" si="71">C33+C34</f>
        <v>0</v>
      </c>
      <c r="D35" s="278">
        <f t="shared" si="71"/>
        <v>0</v>
      </c>
      <c r="E35" s="278">
        <f t="shared" si="71"/>
        <v>708</v>
      </c>
      <c r="F35" s="278">
        <f t="shared" si="71"/>
        <v>708</v>
      </c>
      <c r="G35" s="278">
        <f t="shared" ref="G35:H35" si="72">G33+G34</f>
        <v>637.20000000000005</v>
      </c>
      <c r="H35" s="278">
        <f t="shared" si="72"/>
        <v>573.48</v>
      </c>
      <c r="I35" s="278">
        <f t="shared" ref="I35:K35" si="73">I33+I34</f>
        <v>516.13200000000006</v>
      </c>
      <c r="J35" s="278">
        <f t="shared" si="73"/>
        <v>464.51880000000006</v>
      </c>
      <c r="K35" s="278">
        <f t="shared" si="73"/>
        <v>418.06692000000004</v>
      </c>
      <c r="L35" s="278">
        <f t="shared" ref="L35:M35" si="74">L33+L34</f>
        <v>376.26022800000004</v>
      </c>
      <c r="M35" s="278">
        <f t="shared" si="74"/>
        <v>338.63420520000005</v>
      </c>
      <c r="N35" s="278">
        <f t="shared" ref="N35" si="75">N33+N34</f>
        <v>304.77078468000002</v>
      </c>
    </row>
    <row r="36" spans="1:14" x14ac:dyDescent="0.15">
      <c r="A36" s="134" t="s">
        <v>113</v>
      </c>
      <c r="B36" s="35"/>
      <c r="C36" s="278">
        <v>0</v>
      </c>
      <c r="D36" s="278">
        <v>0</v>
      </c>
      <c r="E36" s="278">
        <v>0</v>
      </c>
      <c r="F36" s="278">
        <f t="shared" ref="F36" si="76">F35*10%</f>
        <v>70.8</v>
      </c>
      <c r="G36" s="278">
        <f t="shared" ref="G36:H36" si="77">G35*10%</f>
        <v>63.720000000000006</v>
      </c>
      <c r="H36" s="278">
        <f t="shared" si="77"/>
        <v>57.348000000000006</v>
      </c>
      <c r="I36" s="278">
        <f t="shared" ref="I36:K36" si="78">I35*10%</f>
        <v>51.613200000000006</v>
      </c>
      <c r="J36" s="278">
        <f t="shared" si="78"/>
        <v>46.45188000000001</v>
      </c>
      <c r="K36" s="278">
        <f t="shared" si="78"/>
        <v>41.806692000000005</v>
      </c>
      <c r="L36" s="278">
        <f t="shared" ref="L36:M36" si="79">L35*10%</f>
        <v>37.626022800000008</v>
      </c>
      <c r="M36" s="278">
        <f t="shared" si="79"/>
        <v>33.863420520000005</v>
      </c>
      <c r="N36" s="278">
        <f t="shared" ref="N36" si="80">N35*10%</f>
        <v>30.477078468000002</v>
      </c>
    </row>
    <row r="37" spans="1:14" x14ac:dyDescent="0.15">
      <c r="A37" s="95" t="s">
        <v>114</v>
      </c>
      <c r="B37" s="267"/>
      <c r="C37" s="279">
        <f t="shared" ref="C37:F37" si="81">C35-C36</f>
        <v>0</v>
      </c>
      <c r="D37" s="279">
        <f t="shared" si="81"/>
        <v>0</v>
      </c>
      <c r="E37" s="279">
        <f t="shared" si="81"/>
        <v>708</v>
      </c>
      <c r="F37" s="279">
        <f t="shared" si="81"/>
        <v>637.20000000000005</v>
      </c>
      <c r="G37" s="279">
        <f t="shared" ref="G37:H37" si="82">G35-G36</f>
        <v>573.48</v>
      </c>
      <c r="H37" s="279">
        <f t="shared" si="82"/>
        <v>516.13200000000006</v>
      </c>
      <c r="I37" s="279">
        <f t="shared" ref="I37:K37" si="83">I35-I36</f>
        <v>464.51880000000006</v>
      </c>
      <c r="J37" s="279">
        <f t="shared" si="83"/>
        <v>418.06692000000004</v>
      </c>
      <c r="K37" s="279">
        <f t="shared" si="83"/>
        <v>376.26022800000004</v>
      </c>
      <c r="L37" s="279">
        <f t="shared" ref="L37:M37" si="84">L35-L36</f>
        <v>338.63420520000005</v>
      </c>
      <c r="M37" s="279">
        <f t="shared" si="84"/>
        <v>304.77078468000002</v>
      </c>
      <c r="N37" s="279">
        <f t="shared" ref="N37" si="85">N35-N36</f>
        <v>274.29370621200002</v>
      </c>
    </row>
    <row r="38" spans="1:14" ht="12.75" customHeight="1" x14ac:dyDescent="0.15">
      <c r="A38" s="343"/>
      <c r="B38" s="343"/>
      <c r="C38" s="343"/>
      <c r="D38" s="343"/>
      <c r="E38" s="343"/>
      <c r="F38" s="343"/>
      <c r="G38" s="343"/>
      <c r="H38" s="343"/>
      <c r="I38" s="343"/>
      <c r="J38" s="343"/>
      <c r="K38" s="343"/>
      <c r="L38" s="343"/>
      <c r="M38" s="343"/>
      <c r="N38" s="343"/>
    </row>
    <row r="39" spans="1:14" x14ac:dyDescent="0.15">
      <c r="A39" s="95" t="s">
        <v>118</v>
      </c>
      <c r="B39" s="267"/>
      <c r="C39" s="151">
        <f t="shared" ref="C39:F39" si="86">C15+C22+C29+C36</f>
        <v>0</v>
      </c>
      <c r="D39" s="151">
        <f t="shared" si="86"/>
        <v>0</v>
      </c>
      <c r="E39" s="151">
        <f t="shared" si="86"/>
        <v>0</v>
      </c>
      <c r="F39" s="151">
        <f t="shared" si="86"/>
        <v>343.43900000000002</v>
      </c>
      <c r="G39" s="151">
        <f t="shared" ref="G39:H39" si="87">G15+G22+G29+G36</f>
        <v>300.27165000000002</v>
      </c>
      <c r="H39" s="151">
        <f t="shared" si="87"/>
        <v>264.33755250000002</v>
      </c>
      <c r="I39" s="151">
        <f t="shared" ref="I39:K39" si="88">I15+I22+I29+I36</f>
        <v>233.83870462499999</v>
      </c>
      <c r="J39" s="151">
        <f t="shared" si="88"/>
        <v>207.57298543125</v>
      </c>
      <c r="K39" s="151">
        <f t="shared" si="88"/>
        <v>184.71020346656252</v>
      </c>
      <c r="L39" s="151">
        <f t="shared" ref="L39:M39" si="89">L15+L22+L29+L36</f>
        <v>164.65597501157814</v>
      </c>
      <c r="M39" s="151">
        <f t="shared" si="89"/>
        <v>146.96852229834144</v>
      </c>
      <c r="N39" s="151">
        <f t="shared" ref="N39" si="90">N15+N22+N29+N36</f>
        <v>131.3074161462402</v>
      </c>
    </row>
    <row r="41" spans="1:14" x14ac:dyDescent="0.15">
      <c r="I41" s="274"/>
      <c r="J41" s="274"/>
      <c r="K41" s="274"/>
      <c r="L41" s="274"/>
      <c r="M41" s="274"/>
      <c r="N41" s="274" t="s">
        <v>122</v>
      </c>
    </row>
    <row r="42" spans="1:14" x14ac:dyDescent="0.15">
      <c r="A42" s="347" t="s">
        <v>1</v>
      </c>
      <c r="B42" s="347"/>
      <c r="C42" s="267" t="s">
        <v>159</v>
      </c>
      <c r="D42" s="267" t="s">
        <v>160</v>
      </c>
      <c r="E42" s="267" t="s">
        <v>161</v>
      </c>
      <c r="F42" s="267" t="s">
        <v>162</v>
      </c>
      <c r="G42" s="267" t="s">
        <v>163</v>
      </c>
      <c r="H42" s="267" t="s">
        <v>217</v>
      </c>
      <c r="I42" s="267" t="s">
        <v>230</v>
      </c>
      <c r="J42" s="47" t="s">
        <v>234</v>
      </c>
      <c r="K42" s="47" t="s">
        <v>235</v>
      </c>
      <c r="L42" s="47" t="s">
        <v>236</v>
      </c>
      <c r="M42" s="47" t="s">
        <v>281</v>
      </c>
      <c r="N42" s="47" t="s">
        <v>283</v>
      </c>
    </row>
    <row r="43" spans="1:14" x14ac:dyDescent="0.15">
      <c r="A43" s="347" t="s">
        <v>127</v>
      </c>
      <c r="B43" s="347"/>
      <c r="C43" s="282">
        <f t="shared" ref="C43:F43" si="91">C9+C12+C19+C26+C33</f>
        <v>5</v>
      </c>
      <c r="D43" s="282">
        <f t="shared" si="91"/>
        <v>5</v>
      </c>
      <c r="E43" s="282">
        <f t="shared" si="91"/>
        <v>1393</v>
      </c>
      <c r="F43" s="282">
        <f t="shared" si="91"/>
        <v>3116.66</v>
      </c>
      <c r="G43" s="282">
        <f t="shared" ref="G43:H43" si="92">G9+G12+G19+G26+G33</f>
        <v>2773.2210000000005</v>
      </c>
      <c r="H43" s="282">
        <f t="shared" si="92"/>
        <v>2472.9493499999999</v>
      </c>
      <c r="I43" s="282">
        <f t="shared" ref="I43:K43" si="93">I9+I12+I19+I26+I33</f>
        <v>2208.6117974999997</v>
      </c>
      <c r="J43" s="282">
        <f t="shared" si="93"/>
        <v>1974.773092875</v>
      </c>
      <c r="K43" s="282">
        <f t="shared" si="93"/>
        <v>1767.2001074437499</v>
      </c>
      <c r="L43" s="282">
        <f t="shared" ref="L43:M43" si="94">L9+L12+L19+L26+L33</f>
        <v>1582.4899039771876</v>
      </c>
      <c r="M43" s="282">
        <f t="shared" si="94"/>
        <v>1417.8339289656094</v>
      </c>
      <c r="N43" s="282">
        <f t="shared" ref="N43" si="95">N9+N12+N19+N26+N33</f>
        <v>1270.865406667268</v>
      </c>
    </row>
    <row r="44" spans="1:14" x14ac:dyDescent="0.15">
      <c r="A44" s="347" t="s">
        <v>151</v>
      </c>
      <c r="B44" s="347"/>
      <c r="C44" s="282">
        <f t="shared" ref="C44:F44" si="96">C13+C20+C27+C34</f>
        <v>0</v>
      </c>
      <c r="D44" s="282">
        <f t="shared" si="96"/>
        <v>1388</v>
      </c>
      <c r="E44" s="282">
        <f t="shared" si="96"/>
        <v>1723.66</v>
      </c>
      <c r="F44" s="282">
        <f t="shared" si="96"/>
        <v>0</v>
      </c>
      <c r="G44" s="282">
        <f t="shared" ref="G44:H44" si="97">G13+G20+G27+G34</f>
        <v>0</v>
      </c>
      <c r="H44" s="282">
        <f t="shared" si="97"/>
        <v>0</v>
      </c>
      <c r="I44" s="282">
        <f t="shared" ref="I44:K44" si="98">I13+I20+I27+I34</f>
        <v>0</v>
      </c>
      <c r="J44" s="282">
        <f t="shared" si="98"/>
        <v>0</v>
      </c>
      <c r="K44" s="282">
        <f t="shared" si="98"/>
        <v>0</v>
      </c>
      <c r="L44" s="282">
        <f t="shared" ref="L44:M44" si="99">L13+L20+L27+L34</f>
        <v>0</v>
      </c>
      <c r="M44" s="282">
        <f t="shared" si="99"/>
        <v>0</v>
      </c>
      <c r="N44" s="282">
        <f t="shared" ref="N44" si="100">N13+N20+N27+N34</f>
        <v>0</v>
      </c>
    </row>
    <row r="45" spans="1:14" x14ac:dyDescent="0.15">
      <c r="A45" s="347" t="s">
        <v>20</v>
      </c>
      <c r="B45" s="347"/>
      <c r="C45" s="282">
        <f t="shared" ref="C45:K45" si="101">C9+C14+C21+C28+C35</f>
        <v>5</v>
      </c>
      <c r="D45" s="282">
        <f t="shared" si="101"/>
        <v>1393</v>
      </c>
      <c r="E45" s="282">
        <f t="shared" si="101"/>
        <v>3116.66</v>
      </c>
      <c r="F45" s="282">
        <f t="shared" si="101"/>
        <v>3116.66</v>
      </c>
      <c r="G45" s="282">
        <f t="shared" si="101"/>
        <v>2773.2210000000005</v>
      </c>
      <c r="H45" s="282">
        <f t="shared" si="101"/>
        <v>2472.9493499999999</v>
      </c>
      <c r="I45" s="282">
        <f t="shared" si="101"/>
        <v>2208.6117974999997</v>
      </c>
      <c r="J45" s="282">
        <f t="shared" si="101"/>
        <v>1974.773092875</v>
      </c>
      <c r="K45" s="282">
        <f t="shared" si="101"/>
        <v>1767.2001074437499</v>
      </c>
      <c r="L45" s="282">
        <f t="shared" ref="L45:M45" si="102">L9+L14+L21+L28+L35</f>
        <v>1582.4899039771876</v>
      </c>
      <c r="M45" s="282">
        <f t="shared" si="102"/>
        <v>1417.8339289656094</v>
      </c>
      <c r="N45" s="282">
        <f t="shared" ref="N45" si="103">N9+N14+N21+N28+N35</f>
        <v>1270.865406667268</v>
      </c>
    </row>
    <row r="46" spans="1:14" x14ac:dyDescent="0.15">
      <c r="A46" s="347" t="s">
        <v>128</v>
      </c>
      <c r="B46" s="347"/>
      <c r="C46" s="282">
        <f t="shared" ref="C46:F46" si="104">C15+C22+C29+C36</f>
        <v>0</v>
      </c>
      <c r="D46" s="282">
        <f t="shared" si="104"/>
        <v>0</v>
      </c>
      <c r="E46" s="282">
        <f t="shared" si="104"/>
        <v>0</v>
      </c>
      <c r="F46" s="282">
        <f t="shared" si="104"/>
        <v>343.43900000000002</v>
      </c>
      <c r="G46" s="282">
        <f t="shared" ref="G46:H46" si="105">G15+G22+G29+G36</f>
        <v>300.27165000000002</v>
      </c>
      <c r="H46" s="282">
        <f t="shared" si="105"/>
        <v>264.33755250000002</v>
      </c>
      <c r="I46" s="282">
        <f t="shared" ref="I46:K46" si="106">I15+I22+I29+I36</f>
        <v>233.83870462499999</v>
      </c>
      <c r="J46" s="282">
        <f t="shared" si="106"/>
        <v>207.57298543125</v>
      </c>
      <c r="K46" s="282">
        <f t="shared" si="106"/>
        <v>184.71020346656252</v>
      </c>
      <c r="L46" s="282">
        <f t="shared" ref="L46:M46" si="107">L15+L22+L29+L36</f>
        <v>164.65597501157814</v>
      </c>
      <c r="M46" s="282">
        <f t="shared" si="107"/>
        <v>146.96852229834144</v>
      </c>
      <c r="N46" s="282">
        <f t="shared" ref="N46" si="108">N15+N22+N29+N36</f>
        <v>131.3074161462402</v>
      </c>
    </row>
    <row r="47" spans="1:14" x14ac:dyDescent="0.15">
      <c r="A47" s="340"/>
      <c r="B47" s="341"/>
      <c r="C47" s="341"/>
      <c r="D47" s="341"/>
      <c r="E47" s="341"/>
      <c r="F47" s="341"/>
      <c r="G47" s="341"/>
      <c r="H47" s="341"/>
      <c r="I47" s="341"/>
      <c r="J47" s="341"/>
      <c r="K47" s="341"/>
      <c r="L47" s="341"/>
      <c r="M47" s="341"/>
      <c r="N47" s="342"/>
    </row>
    <row r="48" spans="1:14" x14ac:dyDescent="0.15">
      <c r="A48" s="347" t="s">
        <v>129</v>
      </c>
      <c r="B48" s="347"/>
      <c r="C48" s="151">
        <f t="shared" ref="C48:G48" si="109">C45-C46</f>
        <v>5</v>
      </c>
      <c r="D48" s="151">
        <f t="shared" si="109"/>
        <v>1393</v>
      </c>
      <c r="E48" s="151">
        <f t="shared" si="109"/>
        <v>3116.66</v>
      </c>
      <c r="F48" s="151">
        <f t="shared" si="109"/>
        <v>2773.221</v>
      </c>
      <c r="G48" s="151">
        <f t="shared" si="109"/>
        <v>2472.9493500000003</v>
      </c>
      <c r="H48" s="151">
        <f t="shared" ref="H48:I48" si="110">H45-H46</f>
        <v>2208.6117974999997</v>
      </c>
      <c r="I48" s="151">
        <f t="shared" si="110"/>
        <v>1974.7730928749997</v>
      </c>
      <c r="J48" s="151">
        <f t="shared" ref="J48:K48" si="111">J45-J46</f>
        <v>1767.2001074437499</v>
      </c>
      <c r="K48" s="151">
        <f t="shared" si="111"/>
        <v>1582.4899039771874</v>
      </c>
      <c r="L48" s="151">
        <f t="shared" ref="L48:M48" si="112">L45-L46</f>
        <v>1417.8339289656094</v>
      </c>
      <c r="M48" s="151">
        <f t="shared" si="112"/>
        <v>1270.865406667268</v>
      </c>
      <c r="N48" s="151">
        <f t="shared" ref="N48" si="113">N45-N46</f>
        <v>1139.5579905210277</v>
      </c>
    </row>
  </sheetData>
  <mergeCells count="17">
    <mergeCell ref="A44:B44"/>
    <mergeCell ref="A45:B45"/>
    <mergeCell ref="A46:B46"/>
    <mergeCell ref="A48:B48"/>
    <mergeCell ref="A42:B42"/>
    <mergeCell ref="A43:B43"/>
    <mergeCell ref="A47:N47"/>
    <mergeCell ref="A6:H6"/>
    <mergeCell ref="A1:N1"/>
    <mergeCell ref="A3:N3"/>
    <mergeCell ref="A2:N2"/>
    <mergeCell ref="A4:N4"/>
    <mergeCell ref="A10:N10"/>
    <mergeCell ref="A17:N17"/>
    <mergeCell ref="A24:N24"/>
    <mergeCell ref="A31:N31"/>
    <mergeCell ref="A38:N38"/>
  </mergeCells>
  <printOptions horizontalCentered="1"/>
  <pageMargins left="0.70866141732283472" right="0.70866141732283472" top="0.59055118110236227" bottom="0.74803149606299213" header="0.31496062992125984" footer="0.31496062992125984"/>
  <pageSetup paperSize="9" scale="65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60"/>
  <sheetViews>
    <sheetView workbookViewId="0">
      <selection activeCell="C9" sqref="C9:C16"/>
    </sheetView>
  </sheetViews>
  <sheetFormatPr defaultRowHeight="12" x14ac:dyDescent="0.15"/>
  <cols>
    <col min="1" max="1" width="16.875" customWidth="1"/>
    <col min="2" max="2" width="9.125" bestFit="1" customWidth="1"/>
    <col min="3" max="6" width="9.25" bestFit="1" customWidth="1"/>
  </cols>
  <sheetData>
    <row r="1" spans="1:8" ht="21" x14ac:dyDescent="0.35">
      <c r="A1" s="310" t="str">
        <f>COP!A1</f>
        <v>M/s VAYU SUITES</v>
      </c>
      <c r="B1" s="310"/>
      <c r="C1" s="310"/>
      <c r="D1" s="310"/>
      <c r="E1" s="310"/>
      <c r="F1" s="310"/>
      <c r="G1" s="310"/>
      <c r="H1" s="310"/>
    </row>
    <row r="2" spans="1:8" ht="15" x14ac:dyDescent="0.25">
      <c r="A2" s="311" t="str">
        <f>COP!A2</f>
        <v>NEW HOTEL PROJECT</v>
      </c>
      <c r="B2" s="311"/>
      <c r="C2" s="311"/>
      <c r="D2" s="311"/>
      <c r="E2" s="311"/>
      <c r="F2" s="311"/>
      <c r="G2" s="311"/>
      <c r="H2" s="311"/>
    </row>
    <row r="3" spans="1:8" ht="33.75" customHeight="1" x14ac:dyDescent="0.25">
      <c r="A3" s="313" t="str">
        <f>COP!A3</f>
        <v xml:space="preserve">REG. ADDRESS : -LOBBY LEVEL, INSIDE HOTEL VISHNUPRIYA, 9, GULAB BAGH ROAD, UDAIPUR, RAJASTHAN, 313001 </v>
      </c>
      <c r="B3" s="313"/>
      <c r="C3" s="313"/>
      <c r="D3" s="313"/>
      <c r="E3" s="313"/>
      <c r="F3" s="313"/>
      <c r="G3" s="313"/>
      <c r="H3" s="313"/>
    </row>
    <row r="4" spans="1:8" ht="33.75" customHeight="1" x14ac:dyDescent="0.25">
      <c r="A4" s="313" t="str">
        <f>COP!A4</f>
        <v>UNIT ADDRESS : -KHASARA NO. 579/546, REVENUE VILLAGE-SENA, TEHSIL-BALI, DISTRICT-PALI, RAJASTHAN</v>
      </c>
      <c r="B4" s="313"/>
      <c r="C4" s="313"/>
      <c r="D4" s="313"/>
      <c r="E4" s="313"/>
      <c r="F4" s="313"/>
      <c r="G4" s="313"/>
      <c r="H4" s="313"/>
    </row>
    <row r="5" spans="1:8" ht="15" x14ac:dyDescent="0.25">
      <c r="A5" s="232"/>
      <c r="B5" s="232"/>
      <c r="C5" s="232"/>
      <c r="D5" s="232"/>
      <c r="E5" s="232"/>
      <c r="F5" s="232"/>
      <c r="G5" s="232"/>
      <c r="H5" s="232"/>
    </row>
    <row r="6" spans="1:8" ht="15" x14ac:dyDescent="0.25">
      <c r="A6" s="34" t="s">
        <v>175</v>
      </c>
      <c r="B6" s="33"/>
      <c r="C6" s="149" t="s">
        <v>251</v>
      </c>
      <c r="D6" s="150">
        <v>8.7499999999999994E-2</v>
      </c>
      <c r="E6" s="33"/>
      <c r="F6" s="33"/>
      <c r="G6" s="351" t="s">
        <v>182</v>
      </c>
      <c r="H6" s="351"/>
    </row>
    <row r="7" spans="1:8" ht="15" x14ac:dyDescent="0.15">
      <c r="A7" s="10" t="s">
        <v>155</v>
      </c>
      <c r="B7" s="10" t="s">
        <v>156</v>
      </c>
      <c r="C7" s="10" t="s">
        <v>183</v>
      </c>
      <c r="D7" s="10" t="s">
        <v>20</v>
      </c>
      <c r="E7" s="10" t="s">
        <v>157</v>
      </c>
      <c r="F7" s="10" t="s">
        <v>158</v>
      </c>
      <c r="G7" s="10" t="s">
        <v>2</v>
      </c>
      <c r="H7" s="10" t="s">
        <v>20</v>
      </c>
    </row>
    <row r="8" spans="1:8" ht="15" x14ac:dyDescent="0.15">
      <c r="A8" s="47" t="s">
        <v>160</v>
      </c>
      <c r="B8" s="10"/>
      <c r="C8" s="10"/>
      <c r="D8" s="10"/>
      <c r="E8" s="10"/>
      <c r="F8" s="10"/>
      <c r="G8" s="10"/>
      <c r="H8" s="10"/>
    </row>
    <row r="9" spans="1:8" ht="15" x14ac:dyDescent="0.15">
      <c r="A9" s="36">
        <v>45505</v>
      </c>
      <c r="B9" s="37">
        <v>0</v>
      </c>
      <c r="C9" s="37">
        <v>115</v>
      </c>
      <c r="D9" s="37">
        <f t="shared" ref="D9:D19" si="0">B9+C9</f>
        <v>115</v>
      </c>
      <c r="E9" s="37">
        <v>0</v>
      </c>
      <c r="F9" s="37">
        <f t="shared" ref="F9:F19" si="1">D9-E9</f>
        <v>115</v>
      </c>
      <c r="G9" s="37">
        <f t="shared" ref="G9:G16" si="2">F9*$D$6/12</f>
        <v>0.83854166666666663</v>
      </c>
      <c r="H9" s="349"/>
    </row>
    <row r="10" spans="1:8" ht="15" x14ac:dyDescent="0.15">
      <c r="A10" s="36">
        <v>45536</v>
      </c>
      <c r="B10" s="37">
        <f t="shared" ref="B10:B20" si="3">F9</f>
        <v>115</v>
      </c>
      <c r="C10" s="37">
        <v>115</v>
      </c>
      <c r="D10" s="37">
        <f t="shared" si="0"/>
        <v>230</v>
      </c>
      <c r="E10" s="37">
        <v>0</v>
      </c>
      <c r="F10" s="37">
        <f t="shared" si="1"/>
        <v>230</v>
      </c>
      <c r="G10" s="37">
        <f t="shared" si="2"/>
        <v>1.6770833333333333</v>
      </c>
      <c r="H10" s="349"/>
    </row>
    <row r="11" spans="1:8" ht="15" x14ac:dyDescent="0.15">
      <c r="A11" s="36">
        <v>45566</v>
      </c>
      <c r="B11" s="37">
        <f t="shared" si="3"/>
        <v>230</v>
      </c>
      <c r="C11" s="37">
        <v>115</v>
      </c>
      <c r="D11" s="37">
        <f t="shared" si="0"/>
        <v>345</v>
      </c>
      <c r="E11" s="37">
        <v>0</v>
      </c>
      <c r="F11" s="37">
        <f t="shared" si="1"/>
        <v>345</v>
      </c>
      <c r="G11" s="37">
        <f t="shared" si="2"/>
        <v>2.5156249999999996</v>
      </c>
      <c r="H11" s="349"/>
    </row>
    <row r="12" spans="1:8" ht="15" x14ac:dyDescent="0.15">
      <c r="A12" s="36">
        <v>45597</v>
      </c>
      <c r="B12" s="37">
        <f t="shared" si="3"/>
        <v>345</v>
      </c>
      <c r="C12" s="37">
        <v>115</v>
      </c>
      <c r="D12" s="37">
        <f t="shared" si="0"/>
        <v>460</v>
      </c>
      <c r="E12" s="37">
        <v>0</v>
      </c>
      <c r="F12" s="37">
        <f t="shared" si="1"/>
        <v>460</v>
      </c>
      <c r="G12" s="37">
        <f t="shared" si="2"/>
        <v>3.3541666666666665</v>
      </c>
      <c r="H12" s="349"/>
    </row>
    <row r="13" spans="1:8" ht="15" x14ac:dyDescent="0.15">
      <c r="A13" s="36">
        <v>45627</v>
      </c>
      <c r="B13" s="37">
        <f t="shared" si="3"/>
        <v>460</v>
      </c>
      <c r="C13" s="37">
        <v>115</v>
      </c>
      <c r="D13" s="37">
        <f t="shared" si="0"/>
        <v>575</v>
      </c>
      <c r="E13" s="37">
        <v>0</v>
      </c>
      <c r="F13" s="37">
        <f t="shared" si="1"/>
        <v>575</v>
      </c>
      <c r="G13" s="37">
        <f t="shared" si="2"/>
        <v>4.192708333333333</v>
      </c>
      <c r="H13" s="349"/>
    </row>
    <row r="14" spans="1:8" ht="15" x14ac:dyDescent="0.15">
      <c r="A14" s="36">
        <v>45658</v>
      </c>
      <c r="B14" s="37">
        <f t="shared" si="3"/>
        <v>575</v>
      </c>
      <c r="C14" s="37">
        <v>115</v>
      </c>
      <c r="D14" s="37">
        <f t="shared" si="0"/>
        <v>690</v>
      </c>
      <c r="E14" s="37">
        <v>0</v>
      </c>
      <c r="F14" s="37">
        <f t="shared" si="1"/>
        <v>690</v>
      </c>
      <c r="G14" s="37">
        <f t="shared" si="2"/>
        <v>5.0312499999999991</v>
      </c>
      <c r="H14" s="349"/>
    </row>
    <row r="15" spans="1:8" ht="15" x14ac:dyDescent="0.15">
      <c r="A15" s="36">
        <v>45689</v>
      </c>
      <c r="B15" s="37">
        <f t="shared" si="3"/>
        <v>690</v>
      </c>
      <c r="C15" s="37">
        <v>115</v>
      </c>
      <c r="D15" s="37">
        <f t="shared" si="0"/>
        <v>805</v>
      </c>
      <c r="E15" s="37">
        <v>0</v>
      </c>
      <c r="F15" s="37">
        <f t="shared" si="1"/>
        <v>805</v>
      </c>
      <c r="G15" s="37">
        <f t="shared" si="2"/>
        <v>5.869791666666667</v>
      </c>
      <c r="H15" s="350"/>
    </row>
    <row r="16" spans="1:8" ht="15" x14ac:dyDescent="0.15">
      <c r="A16" s="40">
        <v>45717</v>
      </c>
      <c r="B16" s="41">
        <f t="shared" si="3"/>
        <v>805</v>
      </c>
      <c r="C16" s="37">
        <v>115</v>
      </c>
      <c r="D16" s="41">
        <f t="shared" si="0"/>
        <v>920</v>
      </c>
      <c r="E16" s="37">
        <v>0</v>
      </c>
      <c r="F16" s="41">
        <f t="shared" si="1"/>
        <v>920</v>
      </c>
      <c r="G16" s="37">
        <f t="shared" si="2"/>
        <v>6.708333333333333</v>
      </c>
      <c r="H16" s="42">
        <f>SUM(G9:G16)</f>
        <v>30.1875</v>
      </c>
    </row>
    <row r="17" spans="1:8" ht="15" x14ac:dyDescent="0.15">
      <c r="A17" s="43"/>
      <c r="B17" s="44"/>
      <c r="C17" s="44"/>
      <c r="D17" s="44"/>
      <c r="E17" s="44"/>
      <c r="F17" s="44"/>
      <c r="G17" s="45"/>
      <c r="H17" s="46"/>
    </row>
    <row r="18" spans="1:8" ht="15" x14ac:dyDescent="0.15">
      <c r="A18" s="47" t="s">
        <v>161</v>
      </c>
      <c r="B18" s="10" t="s">
        <v>156</v>
      </c>
      <c r="C18" s="10" t="s">
        <v>183</v>
      </c>
      <c r="D18" s="10" t="s">
        <v>20</v>
      </c>
      <c r="E18" s="10" t="s">
        <v>157</v>
      </c>
      <c r="F18" s="10" t="s">
        <v>158</v>
      </c>
      <c r="G18" s="10" t="s">
        <v>2</v>
      </c>
      <c r="H18" s="10" t="s">
        <v>20</v>
      </c>
    </row>
    <row r="19" spans="1:8" ht="15" x14ac:dyDescent="0.15">
      <c r="A19" s="36">
        <v>45748</v>
      </c>
      <c r="B19" s="37">
        <f>F16</f>
        <v>920</v>
      </c>
      <c r="C19" s="37">
        <v>115</v>
      </c>
      <c r="D19" s="37">
        <f t="shared" si="0"/>
        <v>1035</v>
      </c>
      <c r="E19" s="37">
        <v>0</v>
      </c>
      <c r="F19" s="37">
        <f t="shared" si="1"/>
        <v>1035</v>
      </c>
      <c r="G19" s="37">
        <f t="shared" ref="G19:G30" si="4">F19*$D$6/12</f>
        <v>7.546875</v>
      </c>
      <c r="H19" s="348"/>
    </row>
    <row r="20" spans="1:8" ht="15" x14ac:dyDescent="0.15">
      <c r="A20" s="36">
        <v>45778</v>
      </c>
      <c r="B20" s="37">
        <f t="shared" si="3"/>
        <v>1035</v>
      </c>
      <c r="C20" s="37">
        <v>115</v>
      </c>
      <c r="D20" s="37">
        <f t="shared" ref="D20:D53" si="5">B20+C20</f>
        <v>1150</v>
      </c>
      <c r="E20" s="37">
        <v>0</v>
      </c>
      <c r="F20" s="37">
        <f t="shared" ref="F20:F53" si="6">D20-E20</f>
        <v>1150</v>
      </c>
      <c r="G20" s="37">
        <f t="shared" si="4"/>
        <v>8.3854166666666661</v>
      </c>
      <c r="H20" s="349"/>
    </row>
    <row r="21" spans="1:8" ht="15" x14ac:dyDescent="0.15">
      <c r="A21" s="36">
        <v>45809</v>
      </c>
      <c r="B21" s="37">
        <f t="shared" ref="B21:B53" si="7">F20</f>
        <v>1150</v>
      </c>
      <c r="C21" s="37">
        <v>115</v>
      </c>
      <c r="D21" s="37">
        <f t="shared" si="5"/>
        <v>1265</v>
      </c>
      <c r="E21" s="37">
        <v>0</v>
      </c>
      <c r="F21" s="37">
        <f t="shared" si="6"/>
        <v>1265</v>
      </c>
      <c r="G21" s="37">
        <f t="shared" si="4"/>
        <v>9.2239583333333339</v>
      </c>
      <c r="H21" s="349"/>
    </row>
    <row r="22" spans="1:8" ht="15" x14ac:dyDescent="0.15">
      <c r="A22" s="36">
        <v>45839</v>
      </c>
      <c r="B22" s="37">
        <f t="shared" si="7"/>
        <v>1265</v>
      </c>
      <c r="C22" s="37">
        <v>115</v>
      </c>
      <c r="D22" s="37">
        <f t="shared" si="5"/>
        <v>1380</v>
      </c>
      <c r="E22" s="37">
        <v>0</v>
      </c>
      <c r="F22" s="37">
        <f t="shared" si="6"/>
        <v>1380</v>
      </c>
      <c r="G22" s="37">
        <f t="shared" si="4"/>
        <v>10.062499999999998</v>
      </c>
      <c r="H22" s="349"/>
    </row>
    <row r="23" spans="1:8" ht="15" x14ac:dyDescent="0.15">
      <c r="A23" s="36">
        <v>45870</v>
      </c>
      <c r="B23" s="37">
        <f t="shared" si="7"/>
        <v>1380</v>
      </c>
      <c r="C23" s="37">
        <v>115</v>
      </c>
      <c r="D23" s="37">
        <f t="shared" si="5"/>
        <v>1495</v>
      </c>
      <c r="E23" s="37">
        <v>0</v>
      </c>
      <c r="F23" s="37">
        <f t="shared" si="6"/>
        <v>1495</v>
      </c>
      <c r="G23" s="37">
        <f t="shared" si="4"/>
        <v>10.901041666666666</v>
      </c>
      <c r="H23" s="349"/>
    </row>
    <row r="24" spans="1:8" s="180" customFormat="1" ht="15" x14ac:dyDescent="0.15">
      <c r="A24" s="178">
        <v>45901</v>
      </c>
      <c r="B24" s="179">
        <f t="shared" si="7"/>
        <v>1495</v>
      </c>
      <c r="C24" s="37">
        <v>115</v>
      </c>
      <c r="D24" s="179">
        <f t="shared" si="5"/>
        <v>1610</v>
      </c>
      <c r="E24" s="179">
        <v>0</v>
      </c>
      <c r="F24" s="179">
        <f t="shared" si="6"/>
        <v>1610</v>
      </c>
      <c r="G24" s="179">
        <f t="shared" si="4"/>
        <v>11.739583333333334</v>
      </c>
      <c r="H24" s="349"/>
    </row>
    <row r="25" spans="1:8" ht="15" x14ac:dyDescent="0.15">
      <c r="A25" s="36">
        <v>45931</v>
      </c>
      <c r="B25" s="37">
        <f t="shared" si="7"/>
        <v>1610</v>
      </c>
      <c r="C25" s="37">
        <v>115</v>
      </c>
      <c r="D25" s="37">
        <f t="shared" si="5"/>
        <v>1725</v>
      </c>
      <c r="E25" s="179">
        <v>0</v>
      </c>
      <c r="F25" s="37">
        <f t="shared" si="6"/>
        <v>1725</v>
      </c>
      <c r="G25" s="37">
        <f t="shared" si="4"/>
        <v>12.578125</v>
      </c>
      <c r="H25" s="349"/>
    </row>
    <row r="26" spans="1:8" ht="15" x14ac:dyDescent="0.15">
      <c r="A26" s="36">
        <v>45962</v>
      </c>
      <c r="B26" s="37">
        <f t="shared" si="7"/>
        <v>1725</v>
      </c>
      <c r="C26" s="37">
        <v>115</v>
      </c>
      <c r="D26" s="37">
        <f t="shared" si="5"/>
        <v>1840</v>
      </c>
      <c r="E26" s="179">
        <v>0</v>
      </c>
      <c r="F26" s="37">
        <f t="shared" si="6"/>
        <v>1840</v>
      </c>
      <c r="G26" s="37">
        <f t="shared" si="4"/>
        <v>13.416666666666666</v>
      </c>
      <c r="H26" s="349"/>
    </row>
    <row r="27" spans="1:8" ht="15" x14ac:dyDescent="0.15">
      <c r="A27" s="36">
        <v>45992</v>
      </c>
      <c r="B27" s="37">
        <f t="shared" si="7"/>
        <v>1840</v>
      </c>
      <c r="C27" s="37">
        <v>115</v>
      </c>
      <c r="D27" s="37">
        <f t="shared" si="5"/>
        <v>1955</v>
      </c>
      <c r="E27" s="179">
        <v>0</v>
      </c>
      <c r="F27" s="37">
        <f t="shared" si="6"/>
        <v>1955</v>
      </c>
      <c r="G27" s="37">
        <f t="shared" si="4"/>
        <v>14.255208333333334</v>
      </c>
      <c r="H27" s="349"/>
    </row>
    <row r="28" spans="1:8" ht="15" x14ac:dyDescent="0.15">
      <c r="A28" s="36">
        <v>46023</v>
      </c>
      <c r="B28" s="37">
        <f t="shared" si="7"/>
        <v>1955</v>
      </c>
      <c r="C28" s="37">
        <v>115</v>
      </c>
      <c r="D28" s="37">
        <f t="shared" si="5"/>
        <v>2070</v>
      </c>
      <c r="E28" s="179">
        <v>0</v>
      </c>
      <c r="F28" s="37">
        <f t="shared" si="6"/>
        <v>2070</v>
      </c>
      <c r="G28" s="37">
        <f t="shared" si="4"/>
        <v>15.09375</v>
      </c>
      <c r="H28" s="349"/>
    </row>
    <row r="29" spans="1:8" ht="15" x14ac:dyDescent="0.15">
      <c r="A29" s="36">
        <v>46054</v>
      </c>
      <c r="B29" s="37">
        <f t="shared" si="7"/>
        <v>2070</v>
      </c>
      <c r="C29" s="37">
        <v>115</v>
      </c>
      <c r="D29" s="37">
        <f t="shared" si="5"/>
        <v>2185</v>
      </c>
      <c r="E29" s="179">
        <v>0</v>
      </c>
      <c r="F29" s="37">
        <f t="shared" si="6"/>
        <v>2185</v>
      </c>
      <c r="G29" s="37">
        <f t="shared" si="4"/>
        <v>15.932291666666666</v>
      </c>
      <c r="H29" s="350"/>
    </row>
    <row r="30" spans="1:8" ht="15" x14ac:dyDescent="0.15">
      <c r="A30" s="40">
        <v>46082</v>
      </c>
      <c r="B30" s="41">
        <f t="shared" si="7"/>
        <v>2185</v>
      </c>
      <c r="C30" s="37">
        <v>33</v>
      </c>
      <c r="D30" s="41">
        <f t="shared" si="5"/>
        <v>2218</v>
      </c>
      <c r="E30" s="179">
        <v>0</v>
      </c>
      <c r="F30" s="41">
        <f t="shared" si="6"/>
        <v>2218</v>
      </c>
      <c r="G30" s="37">
        <f t="shared" si="4"/>
        <v>16.172916666666666</v>
      </c>
      <c r="H30" s="42">
        <f>SUM(G19:G30)</f>
        <v>145.30833333333334</v>
      </c>
    </row>
    <row r="31" spans="1:8" ht="15" x14ac:dyDescent="0.15">
      <c r="A31" s="46"/>
      <c r="B31" s="44"/>
      <c r="C31" s="44"/>
      <c r="D31" s="44"/>
      <c r="E31" s="44"/>
      <c r="F31" s="44"/>
      <c r="G31" s="45"/>
      <c r="H31" s="46"/>
    </row>
    <row r="32" spans="1:8" ht="15" x14ac:dyDescent="0.15">
      <c r="A32" s="47" t="s">
        <v>162</v>
      </c>
      <c r="B32" s="10" t="s">
        <v>156</v>
      </c>
      <c r="C32" s="10" t="s">
        <v>183</v>
      </c>
      <c r="D32" s="10" t="s">
        <v>20</v>
      </c>
      <c r="E32" s="10" t="s">
        <v>157</v>
      </c>
      <c r="F32" s="10" t="s">
        <v>158</v>
      </c>
      <c r="G32" s="10" t="s">
        <v>2</v>
      </c>
      <c r="H32" s="10" t="s">
        <v>20</v>
      </c>
    </row>
    <row r="33" spans="1:8" ht="15" x14ac:dyDescent="0.15">
      <c r="A33" s="36">
        <v>46113</v>
      </c>
      <c r="B33" s="37">
        <f>F30</f>
        <v>2218</v>
      </c>
      <c r="C33" s="37">
        <v>0</v>
      </c>
      <c r="D33" s="37">
        <f t="shared" si="5"/>
        <v>2218</v>
      </c>
      <c r="E33" s="37">
        <v>0</v>
      </c>
      <c r="F33" s="37">
        <f t="shared" si="6"/>
        <v>2218</v>
      </c>
      <c r="G33" s="37">
        <f t="shared" ref="G33:G44" si="8">F33*$D$6/12</f>
        <v>16.172916666666666</v>
      </c>
      <c r="H33" s="348"/>
    </row>
    <row r="34" spans="1:8" ht="15" x14ac:dyDescent="0.15">
      <c r="A34" s="36">
        <v>46143</v>
      </c>
      <c r="B34" s="37">
        <f t="shared" si="7"/>
        <v>2218</v>
      </c>
      <c r="C34" s="37">
        <v>0</v>
      </c>
      <c r="D34" s="37">
        <f t="shared" si="5"/>
        <v>2218</v>
      </c>
      <c r="E34" s="37">
        <v>0</v>
      </c>
      <c r="F34" s="37">
        <f t="shared" si="6"/>
        <v>2218</v>
      </c>
      <c r="G34" s="37">
        <f t="shared" si="8"/>
        <v>16.172916666666666</v>
      </c>
      <c r="H34" s="349"/>
    </row>
    <row r="35" spans="1:8" ht="15" x14ac:dyDescent="0.15">
      <c r="A35" s="36">
        <v>46174</v>
      </c>
      <c r="B35" s="37">
        <f t="shared" si="7"/>
        <v>2218</v>
      </c>
      <c r="C35" s="37">
        <v>0</v>
      </c>
      <c r="D35" s="37">
        <f t="shared" si="5"/>
        <v>2218</v>
      </c>
      <c r="E35" s="37">
        <v>0</v>
      </c>
      <c r="F35" s="37">
        <f t="shared" si="6"/>
        <v>2218</v>
      </c>
      <c r="G35" s="37">
        <f t="shared" si="8"/>
        <v>16.172916666666666</v>
      </c>
      <c r="H35" s="349"/>
    </row>
    <row r="36" spans="1:8" ht="15" x14ac:dyDescent="0.15">
      <c r="A36" s="36">
        <v>46204</v>
      </c>
      <c r="B36" s="37">
        <f t="shared" si="7"/>
        <v>2218</v>
      </c>
      <c r="C36" s="37">
        <v>0</v>
      </c>
      <c r="D36" s="37">
        <f t="shared" si="5"/>
        <v>2218</v>
      </c>
      <c r="E36" s="37">
        <v>0</v>
      </c>
      <c r="F36" s="37">
        <f t="shared" si="6"/>
        <v>2218</v>
      </c>
      <c r="G36" s="37">
        <f t="shared" si="8"/>
        <v>16.172916666666666</v>
      </c>
      <c r="H36" s="349"/>
    </row>
    <row r="37" spans="1:8" ht="15" x14ac:dyDescent="0.15">
      <c r="A37" s="36">
        <v>46235</v>
      </c>
      <c r="B37" s="37">
        <f t="shared" si="7"/>
        <v>2218</v>
      </c>
      <c r="C37" s="37">
        <v>0</v>
      </c>
      <c r="D37" s="37">
        <f t="shared" si="5"/>
        <v>2218</v>
      </c>
      <c r="E37" s="37">
        <v>10</v>
      </c>
      <c r="F37" s="37">
        <f t="shared" si="6"/>
        <v>2208</v>
      </c>
      <c r="G37" s="37">
        <f t="shared" si="8"/>
        <v>16.099999999999998</v>
      </c>
      <c r="H37" s="349"/>
    </row>
    <row r="38" spans="1:8" ht="15" x14ac:dyDescent="0.15">
      <c r="A38" s="36">
        <v>46266</v>
      </c>
      <c r="B38" s="37">
        <f t="shared" si="7"/>
        <v>2208</v>
      </c>
      <c r="C38" s="37">
        <v>0</v>
      </c>
      <c r="D38" s="37">
        <f t="shared" si="5"/>
        <v>2208</v>
      </c>
      <c r="E38" s="37">
        <v>10</v>
      </c>
      <c r="F38" s="37">
        <f t="shared" si="6"/>
        <v>2198</v>
      </c>
      <c r="G38" s="37">
        <f t="shared" si="8"/>
        <v>16.027083333333334</v>
      </c>
      <c r="H38" s="349"/>
    </row>
    <row r="39" spans="1:8" ht="15" x14ac:dyDescent="0.15">
      <c r="A39" s="36">
        <v>46296</v>
      </c>
      <c r="B39" s="37">
        <f t="shared" si="7"/>
        <v>2198</v>
      </c>
      <c r="C39" s="37">
        <v>0</v>
      </c>
      <c r="D39" s="37">
        <f t="shared" si="5"/>
        <v>2198</v>
      </c>
      <c r="E39" s="37">
        <v>10</v>
      </c>
      <c r="F39" s="37">
        <f t="shared" si="6"/>
        <v>2188</v>
      </c>
      <c r="G39" s="37">
        <f t="shared" si="8"/>
        <v>15.954166666666666</v>
      </c>
      <c r="H39" s="349"/>
    </row>
    <row r="40" spans="1:8" ht="15" x14ac:dyDescent="0.15">
      <c r="A40" s="36">
        <v>46327</v>
      </c>
      <c r="B40" s="37">
        <f t="shared" si="7"/>
        <v>2188</v>
      </c>
      <c r="C40" s="37">
        <v>0</v>
      </c>
      <c r="D40" s="37">
        <f t="shared" si="5"/>
        <v>2188</v>
      </c>
      <c r="E40" s="37">
        <v>10</v>
      </c>
      <c r="F40" s="37">
        <f t="shared" si="6"/>
        <v>2178</v>
      </c>
      <c r="G40" s="37">
        <f t="shared" si="8"/>
        <v>15.88125</v>
      </c>
      <c r="H40" s="349"/>
    </row>
    <row r="41" spans="1:8" ht="15" x14ac:dyDescent="0.15">
      <c r="A41" s="36">
        <v>46357</v>
      </c>
      <c r="B41" s="37">
        <f t="shared" si="7"/>
        <v>2178</v>
      </c>
      <c r="C41" s="37">
        <v>0</v>
      </c>
      <c r="D41" s="37">
        <f t="shared" si="5"/>
        <v>2178</v>
      </c>
      <c r="E41" s="37">
        <v>10</v>
      </c>
      <c r="F41" s="37">
        <f t="shared" si="6"/>
        <v>2168</v>
      </c>
      <c r="G41" s="37">
        <f t="shared" si="8"/>
        <v>15.808333333333332</v>
      </c>
      <c r="H41" s="349"/>
    </row>
    <row r="42" spans="1:8" ht="15" x14ac:dyDescent="0.15">
      <c r="A42" s="36">
        <v>46388</v>
      </c>
      <c r="B42" s="37">
        <f t="shared" si="7"/>
        <v>2168</v>
      </c>
      <c r="C42" s="37">
        <v>0</v>
      </c>
      <c r="D42" s="37">
        <f t="shared" si="5"/>
        <v>2168</v>
      </c>
      <c r="E42" s="37">
        <v>10</v>
      </c>
      <c r="F42" s="37">
        <f t="shared" si="6"/>
        <v>2158</v>
      </c>
      <c r="G42" s="37">
        <f t="shared" si="8"/>
        <v>15.735416666666666</v>
      </c>
      <c r="H42" s="349"/>
    </row>
    <row r="43" spans="1:8" ht="15" x14ac:dyDescent="0.15">
      <c r="A43" s="36">
        <v>46419</v>
      </c>
      <c r="B43" s="37">
        <f t="shared" si="7"/>
        <v>2158</v>
      </c>
      <c r="C43" s="37">
        <v>0</v>
      </c>
      <c r="D43" s="37">
        <f t="shared" si="5"/>
        <v>2158</v>
      </c>
      <c r="E43" s="37">
        <v>10</v>
      </c>
      <c r="F43" s="37">
        <f t="shared" si="6"/>
        <v>2148</v>
      </c>
      <c r="G43" s="37">
        <f t="shared" si="8"/>
        <v>15.6625</v>
      </c>
      <c r="H43" s="350"/>
    </row>
    <row r="44" spans="1:8" ht="15" x14ac:dyDescent="0.15">
      <c r="A44" s="40">
        <v>46447</v>
      </c>
      <c r="B44" s="41">
        <f t="shared" si="7"/>
        <v>2148</v>
      </c>
      <c r="C44" s="41">
        <v>0</v>
      </c>
      <c r="D44" s="41">
        <f t="shared" si="5"/>
        <v>2148</v>
      </c>
      <c r="E44" s="37">
        <v>10</v>
      </c>
      <c r="F44" s="41">
        <f t="shared" si="6"/>
        <v>2138</v>
      </c>
      <c r="G44" s="37">
        <f t="shared" si="8"/>
        <v>15.589583333333332</v>
      </c>
      <c r="H44" s="42">
        <f>SUM(G33:G44)</f>
        <v>191.45000000000002</v>
      </c>
    </row>
    <row r="45" spans="1:8" ht="15" x14ac:dyDescent="0.15">
      <c r="A45" s="46"/>
      <c r="B45" s="44"/>
      <c r="C45" s="44"/>
      <c r="D45" s="44"/>
      <c r="E45" s="44"/>
      <c r="F45" s="44"/>
      <c r="G45" s="45"/>
      <c r="H45" s="46"/>
    </row>
    <row r="46" spans="1:8" ht="15" x14ac:dyDescent="0.15">
      <c r="A46" s="47" t="s">
        <v>163</v>
      </c>
      <c r="B46" s="10" t="s">
        <v>156</v>
      </c>
      <c r="C46" s="10" t="s">
        <v>183</v>
      </c>
      <c r="D46" s="10" t="s">
        <v>20</v>
      </c>
      <c r="E46" s="10" t="s">
        <v>157</v>
      </c>
      <c r="F46" s="10" t="s">
        <v>158</v>
      </c>
      <c r="G46" s="10" t="s">
        <v>2</v>
      </c>
      <c r="H46" s="10" t="s">
        <v>20</v>
      </c>
    </row>
    <row r="47" spans="1:8" ht="15" x14ac:dyDescent="0.15">
      <c r="A47" s="36">
        <v>46478</v>
      </c>
      <c r="B47" s="37">
        <f>F44</f>
        <v>2138</v>
      </c>
      <c r="C47" s="37">
        <v>0</v>
      </c>
      <c r="D47" s="37">
        <f t="shared" si="5"/>
        <v>2138</v>
      </c>
      <c r="E47" s="37">
        <v>10</v>
      </c>
      <c r="F47" s="37">
        <f t="shared" si="6"/>
        <v>2128</v>
      </c>
      <c r="G47" s="37">
        <f t="shared" ref="G47:G58" si="9">F47*$D$6/12</f>
        <v>15.516666666666666</v>
      </c>
      <c r="H47" s="348"/>
    </row>
    <row r="48" spans="1:8" ht="15" x14ac:dyDescent="0.15">
      <c r="A48" s="36">
        <v>46508</v>
      </c>
      <c r="B48" s="37">
        <f t="shared" si="7"/>
        <v>2128</v>
      </c>
      <c r="C48" s="37">
        <v>0</v>
      </c>
      <c r="D48" s="37">
        <f t="shared" si="5"/>
        <v>2128</v>
      </c>
      <c r="E48" s="37">
        <v>10</v>
      </c>
      <c r="F48" s="37">
        <f t="shared" si="6"/>
        <v>2118</v>
      </c>
      <c r="G48" s="37">
        <f t="shared" si="9"/>
        <v>15.44375</v>
      </c>
      <c r="H48" s="349"/>
    </row>
    <row r="49" spans="1:8" ht="15" x14ac:dyDescent="0.15">
      <c r="A49" s="36">
        <v>46539</v>
      </c>
      <c r="B49" s="37">
        <f t="shared" si="7"/>
        <v>2118</v>
      </c>
      <c r="C49" s="37">
        <v>0</v>
      </c>
      <c r="D49" s="37">
        <f t="shared" si="5"/>
        <v>2118</v>
      </c>
      <c r="E49" s="37">
        <v>10</v>
      </c>
      <c r="F49" s="37">
        <f t="shared" si="6"/>
        <v>2108</v>
      </c>
      <c r="G49" s="37">
        <f t="shared" si="9"/>
        <v>15.370833333333332</v>
      </c>
      <c r="H49" s="349"/>
    </row>
    <row r="50" spans="1:8" ht="15" x14ac:dyDescent="0.15">
      <c r="A50" s="36">
        <v>46569</v>
      </c>
      <c r="B50" s="37">
        <f t="shared" si="7"/>
        <v>2108</v>
      </c>
      <c r="C50" s="37">
        <v>0</v>
      </c>
      <c r="D50" s="37">
        <f t="shared" si="5"/>
        <v>2108</v>
      </c>
      <c r="E50" s="37">
        <v>10</v>
      </c>
      <c r="F50" s="37">
        <f t="shared" si="6"/>
        <v>2098</v>
      </c>
      <c r="G50" s="37">
        <f t="shared" si="9"/>
        <v>15.297916666666666</v>
      </c>
      <c r="H50" s="349"/>
    </row>
    <row r="51" spans="1:8" ht="15" x14ac:dyDescent="0.15">
      <c r="A51" s="36">
        <v>46600</v>
      </c>
      <c r="B51" s="37">
        <f t="shared" si="7"/>
        <v>2098</v>
      </c>
      <c r="C51" s="37">
        <v>0</v>
      </c>
      <c r="D51" s="37">
        <f t="shared" si="5"/>
        <v>2098</v>
      </c>
      <c r="E51" s="37">
        <v>12.5</v>
      </c>
      <c r="F51" s="37">
        <f t="shared" si="6"/>
        <v>2085.5</v>
      </c>
      <c r="G51" s="37">
        <f t="shared" si="9"/>
        <v>15.206770833333332</v>
      </c>
      <c r="H51" s="349"/>
    </row>
    <row r="52" spans="1:8" ht="15" x14ac:dyDescent="0.15">
      <c r="A52" s="36">
        <v>46631</v>
      </c>
      <c r="B52" s="37">
        <f t="shared" si="7"/>
        <v>2085.5</v>
      </c>
      <c r="C52" s="37">
        <v>0</v>
      </c>
      <c r="D52" s="37">
        <f t="shared" si="5"/>
        <v>2085.5</v>
      </c>
      <c r="E52" s="37">
        <v>12.5</v>
      </c>
      <c r="F52" s="37">
        <f t="shared" si="6"/>
        <v>2073</v>
      </c>
      <c r="G52" s="37">
        <f t="shared" si="9"/>
        <v>15.115625</v>
      </c>
      <c r="H52" s="349"/>
    </row>
    <row r="53" spans="1:8" ht="15" x14ac:dyDescent="0.15">
      <c r="A53" s="36">
        <v>46661</v>
      </c>
      <c r="B53" s="37">
        <f t="shared" si="7"/>
        <v>2073</v>
      </c>
      <c r="C53" s="37">
        <v>0</v>
      </c>
      <c r="D53" s="37">
        <f t="shared" si="5"/>
        <v>2073</v>
      </c>
      <c r="E53" s="37">
        <v>12.5</v>
      </c>
      <c r="F53" s="37">
        <f t="shared" si="6"/>
        <v>2060.5</v>
      </c>
      <c r="G53" s="37">
        <f t="shared" si="9"/>
        <v>15.024479166666666</v>
      </c>
      <c r="H53" s="349"/>
    </row>
    <row r="54" spans="1:8" ht="15" x14ac:dyDescent="0.15">
      <c r="A54" s="36">
        <v>46692</v>
      </c>
      <c r="B54" s="37">
        <f t="shared" ref="B54:B56" si="10">F53</f>
        <v>2060.5</v>
      </c>
      <c r="C54" s="37">
        <v>0</v>
      </c>
      <c r="D54" s="37">
        <f t="shared" ref="D54:D56" si="11">B54+C54</f>
        <v>2060.5</v>
      </c>
      <c r="E54" s="37">
        <v>12.5</v>
      </c>
      <c r="F54" s="37">
        <f t="shared" ref="F54:F56" si="12">D54-E54</f>
        <v>2048</v>
      </c>
      <c r="G54" s="37">
        <f t="shared" si="9"/>
        <v>14.933333333333332</v>
      </c>
      <c r="H54" s="349"/>
    </row>
    <row r="55" spans="1:8" ht="15" x14ac:dyDescent="0.15">
      <c r="A55" s="36">
        <v>46722</v>
      </c>
      <c r="B55" s="37">
        <f t="shared" si="10"/>
        <v>2048</v>
      </c>
      <c r="C55" s="37">
        <v>0</v>
      </c>
      <c r="D55" s="37">
        <f t="shared" si="11"/>
        <v>2048</v>
      </c>
      <c r="E55" s="37">
        <v>12.5</v>
      </c>
      <c r="F55" s="37">
        <f t="shared" si="12"/>
        <v>2035.5</v>
      </c>
      <c r="G55" s="37">
        <f t="shared" si="9"/>
        <v>14.8421875</v>
      </c>
      <c r="H55" s="349"/>
    </row>
    <row r="56" spans="1:8" ht="15" x14ac:dyDescent="0.15">
      <c r="A56" s="36">
        <v>46753</v>
      </c>
      <c r="B56" s="37">
        <f t="shared" si="10"/>
        <v>2035.5</v>
      </c>
      <c r="C56" s="37">
        <v>0</v>
      </c>
      <c r="D56" s="37">
        <f t="shared" si="11"/>
        <v>2035.5</v>
      </c>
      <c r="E56" s="37">
        <v>12.5</v>
      </c>
      <c r="F56" s="37">
        <f t="shared" si="12"/>
        <v>2023</v>
      </c>
      <c r="G56" s="37">
        <f t="shared" si="9"/>
        <v>14.751041666666666</v>
      </c>
      <c r="H56" s="349"/>
    </row>
    <row r="57" spans="1:8" ht="15" x14ac:dyDescent="0.15">
      <c r="A57" s="36">
        <v>46784</v>
      </c>
      <c r="B57" s="37">
        <f t="shared" ref="B57:B58" si="13">F56</f>
        <v>2023</v>
      </c>
      <c r="C57" s="37">
        <v>0</v>
      </c>
      <c r="D57" s="37">
        <f t="shared" ref="D57:D58" si="14">B57+C57</f>
        <v>2023</v>
      </c>
      <c r="E57" s="37">
        <v>12.5</v>
      </c>
      <c r="F57" s="37">
        <f t="shared" ref="F57:F58" si="15">D57-E57</f>
        <v>2010.5</v>
      </c>
      <c r="G57" s="37">
        <f t="shared" si="9"/>
        <v>14.659895833333332</v>
      </c>
      <c r="H57" s="350"/>
    </row>
    <row r="58" spans="1:8" ht="15" x14ac:dyDescent="0.15">
      <c r="A58" s="36">
        <v>46813</v>
      </c>
      <c r="B58" s="37">
        <f t="shared" si="13"/>
        <v>2010.5</v>
      </c>
      <c r="C58" s="37">
        <v>0</v>
      </c>
      <c r="D58" s="37">
        <f t="shared" si="14"/>
        <v>2010.5</v>
      </c>
      <c r="E58" s="37">
        <v>12.5</v>
      </c>
      <c r="F58" s="37">
        <f t="shared" si="15"/>
        <v>1998</v>
      </c>
      <c r="G58" s="37">
        <f t="shared" si="9"/>
        <v>14.56875</v>
      </c>
      <c r="H58" s="38">
        <f>SUM(G47:G58)</f>
        <v>180.73125000000002</v>
      </c>
    </row>
    <row r="59" spans="1:8" ht="15" x14ac:dyDescent="0.15">
      <c r="A59" s="83"/>
      <c r="B59" s="39"/>
      <c r="C59" s="39"/>
      <c r="D59" s="39"/>
      <c r="E59" s="39"/>
      <c r="F59" s="39"/>
      <c r="G59" s="39"/>
      <c r="H59" s="84"/>
    </row>
    <row r="60" spans="1:8" ht="15" x14ac:dyDescent="0.15">
      <c r="A60" s="47" t="s">
        <v>217</v>
      </c>
      <c r="B60" s="10" t="s">
        <v>156</v>
      </c>
      <c r="C60" s="10" t="s">
        <v>183</v>
      </c>
      <c r="D60" s="10" t="s">
        <v>20</v>
      </c>
      <c r="E60" s="10" t="s">
        <v>157</v>
      </c>
      <c r="F60" s="10" t="s">
        <v>158</v>
      </c>
      <c r="G60" s="10" t="s">
        <v>2</v>
      </c>
      <c r="H60" s="10" t="s">
        <v>20</v>
      </c>
    </row>
    <row r="61" spans="1:8" ht="15" x14ac:dyDescent="0.15">
      <c r="A61" s="36">
        <v>46844</v>
      </c>
      <c r="B61" s="37">
        <f>F58</f>
        <v>1998</v>
      </c>
      <c r="C61" s="37">
        <v>0</v>
      </c>
      <c r="D61" s="37">
        <f t="shared" ref="D61:D68" si="16">B61+C61</f>
        <v>1998</v>
      </c>
      <c r="E61" s="37">
        <v>12.5</v>
      </c>
      <c r="F61" s="37">
        <f t="shared" ref="F61:F68" si="17">D61-E61</f>
        <v>1985.5</v>
      </c>
      <c r="G61" s="37">
        <f t="shared" ref="G61:G72" si="18">F61*$D$6/12</f>
        <v>14.477604166666666</v>
      </c>
      <c r="H61" s="348"/>
    </row>
    <row r="62" spans="1:8" ht="15" x14ac:dyDescent="0.15">
      <c r="A62" s="36">
        <v>46874</v>
      </c>
      <c r="B62" s="37">
        <f t="shared" ref="B62:B68" si="19">F61</f>
        <v>1985.5</v>
      </c>
      <c r="C62" s="37">
        <v>0</v>
      </c>
      <c r="D62" s="37">
        <f t="shared" si="16"/>
        <v>1985.5</v>
      </c>
      <c r="E62" s="37">
        <v>12.5</v>
      </c>
      <c r="F62" s="37">
        <f t="shared" si="17"/>
        <v>1973</v>
      </c>
      <c r="G62" s="37">
        <f t="shared" si="18"/>
        <v>14.386458333333332</v>
      </c>
      <c r="H62" s="349"/>
    </row>
    <row r="63" spans="1:8" ht="15" x14ac:dyDescent="0.15">
      <c r="A63" s="36">
        <v>46905</v>
      </c>
      <c r="B63" s="37">
        <f t="shared" si="19"/>
        <v>1973</v>
      </c>
      <c r="C63" s="37">
        <v>0</v>
      </c>
      <c r="D63" s="37">
        <f t="shared" si="16"/>
        <v>1973</v>
      </c>
      <c r="E63" s="37">
        <v>12.5</v>
      </c>
      <c r="F63" s="37">
        <f t="shared" si="17"/>
        <v>1960.5</v>
      </c>
      <c r="G63" s="37">
        <f t="shared" si="18"/>
        <v>14.2953125</v>
      </c>
      <c r="H63" s="349"/>
    </row>
    <row r="64" spans="1:8" ht="15" x14ac:dyDescent="0.15">
      <c r="A64" s="36">
        <v>46935</v>
      </c>
      <c r="B64" s="37">
        <f t="shared" si="19"/>
        <v>1960.5</v>
      </c>
      <c r="C64" s="37">
        <v>0</v>
      </c>
      <c r="D64" s="37">
        <f t="shared" si="16"/>
        <v>1960.5</v>
      </c>
      <c r="E64" s="37">
        <v>12.5</v>
      </c>
      <c r="F64" s="37">
        <f t="shared" si="17"/>
        <v>1948</v>
      </c>
      <c r="G64" s="37">
        <f t="shared" si="18"/>
        <v>14.204166666666666</v>
      </c>
      <c r="H64" s="349"/>
    </row>
    <row r="65" spans="1:8" ht="15" x14ac:dyDescent="0.15">
      <c r="A65" s="36">
        <v>46966</v>
      </c>
      <c r="B65" s="37">
        <f t="shared" si="19"/>
        <v>1948</v>
      </c>
      <c r="C65" s="37">
        <v>0</v>
      </c>
      <c r="D65" s="37">
        <f t="shared" si="16"/>
        <v>1948</v>
      </c>
      <c r="E65" s="37">
        <v>15</v>
      </c>
      <c r="F65" s="37">
        <f t="shared" si="17"/>
        <v>1933</v>
      </c>
      <c r="G65" s="37">
        <f t="shared" si="18"/>
        <v>14.094791666666666</v>
      </c>
      <c r="H65" s="349"/>
    </row>
    <row r="66" spans="1:8" ht="15" x14ac:dyDescent="0.15">
      <c r="A66" s="36">
        <v>46997</v>
      </c>
      <c r="B66" s="37">
        <f t="shared" si="19"/>
        <v>1933</v>
      </c>
      <c r="C66" s="37">
        <v>0</v>
      </c>
      <c r="D66" s="37">
        <f t="shared" si="16"/>
        <v>1933</v>
      </c>
      <c r="E66" s="37">
        <v>15</v>
      </c>
      <c r="F66" s="37">
        <f t="shared" si="17"/>
        <v>1918</v>
      </c>
      <c r="G66" s="37">
        <f t="shared" si="18"/>
        <v>13.985416666666666</v>
      </c>
      <c r="H66" s="349"/>
    </row>
    <row r="67" spans="1:8" ht="15" x14ac:dyDescent="0.15">
      <c r="A67" s="36">
        <v>47027</v>
      </c>
      <c r="B67" s="37">
        <f t="shared" si="19"/>
        <v>1918</v>
      </c>
      <c r="C67" s="37">
        <v>0</v>
      </c>
      <c r="D67" s="37">
        <f t="shared" si="16"/>
        <v>1918</v>
      </c>
      <c r="E67" s="37">
        <v>15</v>
      </c>
      <c r="F67" s="37">
        <f t="shared" si="17"/>
        <v>1903</v>
      </c>
      <c r="G67" s="37">
        <f t="shared" si="18"/>
        <v>13.876041666666666</v>
      </c>
      <c r="H67" s="349"/>
    </row>
    <row r="68" spans="1:8" ht="15" x14ac:dyDescent="0.15">
      <c r="A68" s="36">
        <v>47058</v>
      </c>
      <c r="B68" s="37">
        <f t="shared" si="19"/>
        <v>1903</v>
      </c>
      <c r="C68" s="37">
        <v>0</v>
      </c>
      <c r="D68" s="37">
        <f t="shared" si="16"/>
        <v>1903</v>
      </c>
      <c r="E68" s="37">
        <v>15</v>
      </c>
      <c r="F68" s="37">
        <f t="shared" si="17"/>
        <v>1888</v>
      </c>
      <c r="G68" s="37">
        <f t="shared" si="18"/>
        <v>13.766666666666666</v>
      </c>
      <c r="H68" s="349"/>
    </row>
    <row r="69" spans="1:8" ht="15" x14ac:dyDescent="0.15">
      <c r="A69" s="36">
        <v>47088</v>
      </c>
      <c r="B69" s="37">
        <f t="shared" ref="B69:B71" si="20">F68</f>
        <v>1888</v>
      </c>
      <c r="C69" s="37">
        <v>0</v>
      </c>
      <c r="D69" s="37">
        <f t="shared" ref="D69:D71" si="21">B69+C69</f>
        <v>1888</v>
      </c>
      <c r="E69" s="37">
        <v>15</v>
      </c>
      <c r="F69" s="37">
        <f t="shared" ref="F69:F71" si="22">D69-E69</f>
        <v>1873</v>
      </c>
      <c r="G69" s="37">
        <f t="shared" si="18"/>
        <v>13.657291666666666</v>
      </c>
      <c r="H69" s="349"/>
    </row>
    <row r="70" spans="1:8" ht="15" x14ac:dyDescent="0.15">
      <c r="A70" s="36">
        <v>47119</v>
      </c>
      <c r="B70" s="37">
        <f t="shared" si="20"/>
        <v>1873</v>
      </c>
      <c r="C70" s="37">
        <v>0</v>
      </c>
      <c r="D70" s="37">
        <f t="shared" si="21"/>
        <v>1873</v>
      </c>
      <c r="E70" s="37">
        <v>15</v>
      </c>
      <c r="F70" s="37">
        <f t="shared" si="22"/>
        <v>1858</v>
      </c>
      <c r="G70" s="37">
        <f t="shared" si="18"/>
        <v>13.547916666666666</v>
      </c>
      <c r="H70" s="349"/>
    </row>
    <row r="71" spans="1:8" ht="15" x14ac:dyDescent="0.15">
      <c r="A71" s="36">
        <v>47150</v>
      </c>
      <c r="B71" s="37">
        <f t="shared" si="20"/>
        <v>1858</v>
      </c>
      <c r="C71" s="37">
        <v>0</v>
      </c>
      <c r="D71" s="37">
        <f t="shared" si="21"/>
        <v>1858</v>
      </c>
      <c r="E71" s="37">
        <v>15</v>
      </c>
      <c r="F71" s="37">
        <f t="shared" si="22"/>
        <v>1843</v>
      </c>
      <c r="G71" s="37">
        <f t="shared" si="18"/>
        <v>13.438541666666666</v>
      </c>
      <c r="H71" s="350"/>
    </row>
    <row r="72" spans="1:8" ht="15" x14ac:dyDescent="0.15">
      <c r="A72" s="36">
        <v>47178</v>
      </c>
      <c r="B72" s="37">
        <f t="shared" ref="B72" si="23">F71</f>
        <v>1843</v>
      </c>
      <c r="C72" s="37">
        <v>0</v>
      </c>
      <c r="D72" s="37">
        <f t="shared" ref="D72" si="24">B72+C72</f>
        <v>1843</v>
      </c>
      <c r="E72" s="37">
        <v>15</v>
      </c>
      <c r="F72" s="37">
        <f t="shared" ref="F72" si="25">D72-E72</f>
        <v>1828</v>
      </c>
      <c r="G72" s="37">
        <f t="shared" si="18"/>
        <v>13.329166666666666</v>
      </c>
      <c r="H72" s="38">
        <f>SUM(G61:G72)</f>
        <v>167.05937499999999</v>
      </c>
    </row>
    <row r="73" spans="1:8" ht="15" x14ac:dyDescent="0.15">
      <c r="A73" s="83"/>
      <c r="B73" s="39"/>
      <c r="C73" s="39"/>
      <c r="D73" s="39"/>
      <c r="E73" s="39"/>
      <c r="F73" s="39"/>
      <c r="G73" s="39"/>
      <c r="H73" s="84"/>
    </row>
    <row r="74" spans="1:8" ht="15" x14ac:dyDescent="0.15">
      <c r="A74" s="47" t="s">
        <v>230</v>
      </c>
      <c r="B74" s="10" t="s">
        <v>156</v>
      </c>
      <c r="C74" s="10" t="s">
        <v>183</v>
      </c>
      <c r="D74" s="10" t="s">
        <v>20</v>
      </c>
      <c r="E74" s="10" t="s">
        <v>157</v>
      </c>
      <c r="F74" s="10" t="s">
        <v>158</v>
      </c>
      <c r="G74" s="10" t="s">
        <v>2</v>
      </c>
      <c r="H74" s="10" t="s">
        <v>20</v>
      </c>
    </row>
    <row r="75" spans="1:8" ht="15" x14ac:dyDescent="0.15">
      <c r="A75" s="36">
        <v>47209</v>
      </c>
      <c r="B75" s="37">
        <f>F72</f>
        <v>1828</v>
      </c>
      <c r="C75" s="37">
        <v>0</v>
      </c>
      <c r="D75" s="37">
        <f t="shared" ref="D75:D85" si="26">B75+C75</f>
        <v>1828</v>
      </c>
      <c r="E75" s="37">
        <v>15</v>
      </c>
      <c r="F75" s="37">
        <f t="shared" ref="F75:F85" si="27">D75-E75</f>
        <v>1813</v>
      </c>
      <c r="G75" s="37">
        <f t="shared" ref="G75:G86" si="28">F75*$D$6/12</f>
        <v>13.219791666666666</v>
      </c>
      <c r="H75" s="348"/>
    </row>
    <row r="76" spans="1:8" ht="15" x14ac:dyDescent="0.15">
      <c r="A76" s="36">
        <v>47239</v>
      </c>
      <c r="B76" s="37">
        <f t="shared" ref="B76:B85" si="29">F75</f>
        <v>1813</v>
      </c>
      <c r="C76" s="37">
        <v>0</v>
      </c>
      <c r="D76" s="37">
        <f t="shared" si="26"/>
        <v>1813</v>
      </c>
      <c r="E76" s="37">
        <v>15</v>
      </c>
      <c r="F76" s="37">
        <f t="shared" si="27"/>
        <v>1798</v>
      </c>
      <c r="G76" s="37">
        <f t="shared" si="28"/>
        <v>13.110416666666666</v>
      </c>
      <c r="H76" s="349"/>
    </row>
    <row r="77" spans="1:8" ht="15" x14ac:dyDescent="0.15">
      <c r="A77" s="36">
        <v>47270</v>
      </c>
      <c r="B77" s="37">
        <f t="shared" si="29"/>
        <v>1798</v>
      </c>
      <c r="C77" s="37">
        <v>0</v>
      </c>
      <c r="D77" s="37">
        <f t="shared" si="26"/>
        <v>1798</v>
      </c>
      <c r="E77" s="37">
        <v>15</v>
      </c>
      <c r="F77" s="37">
        <f t="shared" si="27"/>
        <v>1783</v>
      </c>
      <c r="G77" s="37">
        <f t="shared" si="28"/>
        <v>13.001041666666666</v>
      </c>
      <c r="H77" s="349"/>
    </row>
    <row r="78" spans="1:8" ht="15" x14ac:dyDescent="0.15">
      <c r="A78" s="36">
        <v>47300</v>
      </c>
      <c r="B78" s="37">
        <f t="shared" si="29"/>
        <v>1783</v>
      </c>
      <c r="C78" s="37">
        <v>0</v>
      </c>
      <c r="D78" s="37">
        <f t="shared" si="26"/>
        <v>1783</v>
      </c>
      <c r="E78" s="37">
        <v>15</v>
      </c>
      <c r="F78" s="37">
        <f t="shared" si="27"/>
        <v>1768</v>
      </c>
      <c r="G78" s="37">
        <f t="shared" si="28"/>
        <v>12.891666666666666</v>
      </c>
      <c r="H78" s="349"/>
    </row>
    <row r="79" spans="1:8" ht="15" x14ac:dyDescent="0.15">
      <c r="A79" s="36">
        <v>47331</v>
      </c>
      <c r="B79" s="37">
        <f t="shared" si="29"/>
        <v>1768</v>
      </c>
      <c r="C79" s="37">
        <v>0</v>
      </c>
      <c r="D79" s="37">
        <f t="shared" si="26"/>
        <v>1768</v>
      </c>
      <c r="E79" s="37">
        <v>17.5</v>
      </c>
      <c r="F79" s="37">
        <f t="shared" si="27"/>
        <v>1750.5</v>
      </c>
      <c r="G79" s="37">
        <f t="shared" si="28"/>
        <v>12.7640625</v>
      </c>
      <c r="H79" s="349"/>
    </row>
    <row r="80" spans="1:8" ht="15" x14ac:dyDescent="0.15">
      <c r="A80" s="36">
        <v>47362</v>
      </c>
      <c r="B80" s="37">
        <f t="shared" si="29"/>
        <v>1750.5</v>
      </c>
      <c r="C80" s="37">
        <v>0</v>
      </c>
      <c r="D80" s="37">
        <f t="shared" si="26"/>
        <v>1750.5</v>
      </c>
      <c r="E80" s="37">
        <v>17.5</v>
      </c>
      <c r="F80" s="37">
        <f t="shared" si="27"/>
        <v>1733</v>
      </c>
      <c r="G80" s="37">
        <f t="shared" si="28"/>
        <v>12.636458333333332</v>
      </c>
      <c r="H80" s="349"/>
    </row>
    <row r="81" spans="1:8" ht="15" x14ac:dyDescent="0.15">
      <c r="A81" s="36">
        <v>47392</v>
      </c>
      <c r="B81" s="37">
        <f t="shared" si="29"/>
        <v>1733</v>
      </c>
      <c r="C81" s="37">
        <v>0</v>
      </c>
      <c r="D81" s="37">
        <f t="shared" si="26"/>
        <v>1733</v>
      </c>
      <c r="E81" s="37">
        <v>17.5</v>
      </c>
      <c r="F81" s="37">
        <f t="shared" si="27"/>
        <v>1715.5</v>
      </c>
      <c r="G81" s="37">
        <f t="shared" si="28"/>
        <v>12.508854166666666</v>
      </c>
      <c r="H81" s="349"/>
    </row>
    <row r="82" spans="1:8" ht="15" x14ac:dyDescent="0.15">
      <c r="A82" s="36">
        <v>47423</v>
      </c>
      <c r="B82" s="37">
        <f t="shared" si="29"/>
        <v>1715.5</v>
      </c>
      <c r="C82" s="37">
        <v>0</v>
      </c>
      <c r="D82" s="37">
        <f t="shared" si="26"/>
        <v>1715.5</v>
      </c>
      <c r="E82" s="37">
        <v>17.5</v>
      </c>
      <c r="F82" s="37">
        <f t="shared" si="27"/>
        <v>1698</v>
      </c>
      <c r="G82" s="37">
        <f t="shared" si="28"/>
        <v>12.38125</v>
      </c>
      <c r="H82" s="349"/>
    </row>
    <row r="83" spans="1:8" ht="15" x14ac:dyDescent="0.15">
      <c r="A83" s="36">
        <v>47453</v>
      </c>
      <c r="B83" s="37">
        <f t="shared" si="29"/>
        <v>1698</v>
      </c>
      <c r="C83" s="37">
        <v>0</v>
      </c>
      <c r="D83" s="37">
        <f t="shared" si="26"/>
        <v>1698</v>
      </c>
      <c r="E83" s="37">
        <v>17.5</v>
      </c>
      <c r="F83" s="37">
        <f t="shared" si="27"/>
        <v>1680.5</v>
      </c>
      <c r="G83" s="37">
        <f t="shared" si="28"/>
        <v>12.253645833333332</v>
      </c>
      <c r="H83" s="349"/>
    </row>
    <row r="84" spans="1:8" ht="15" x14ac:dyDescent="0.15">
      <c r="A84" s="36">
        <v>47484</v>
      </c>
      <c r="B84" s="37">
        <f t="shared" si="29"/>
        <v>1680.5</v>
      </c>
      <c r="C84" s="37">
        <v>0</v>
      </c>
      <c r="D84" s="37">
        <f t="shared" si="26"/>
        <v>1680.5</v>
      </c>
      <c r="E84" s="37">
        <v>17.5</v>
      </c>
      <c r="F84" s="37">
        <f t="shared" si="27"/>
        <v>1663</v>
      </c>
      <c r="G84" s="37">
        <f t="shared" si="28"/>
        <v>12.126041666666666</v>
      </c>
      <c r="H84" s="349"/>
    </row>
    <row r="85" spans="1:8" ht="15" x14ac:dyDescent="0.15">
      <c r="A85" s="36">
        <v>47515</v>
      </c>
      <c r="B85" s="37">
        <f t="shared" si="29"/>
        <v>1663</v>
      </c>
      <c r="C85" s="37">
        <v>0</v>
      </c>
      <c r="D85" s="37">
        <f t="shared" si="26"/>
        <v>1663</v>
      </c>
      <c r="E85" s="37">
        <v>17.5</v>
      </c>
      <c r="F85" s="37">
        <f t="shared" si="27"/>
        <v>1645.5</v>
      </c>
      <c r="G85" s="37">
        <f t="shared" si="28"/>
        <v>11.9984375</v>
      </c>
      <c r="H85" s="350"/>
    </row>
    <row r="86" spans="1:8" ht="15" x14ac:dyDescent="0.15">
      <c r="A86" s="36">
        <v>47543</v>
      </c>
      <c r="B86" s="37">
        <f t="shared" ref="B86" si="30">F85</f>
        <v>1645.5</v>
      </c>
      <c r="C86" s="37">
        <v>0</v>
      </c>
      <c r="D86" s="37">
        <f t="shared" ref="D86" si="31">B86+C86</f>
        <v>1645.5</v>
      </c>
      <c r="E86" s="37">
        <v>17.5</v>
      </c>
      <c r="F86" s="37">
        <f t="shared" ref="F86" si="32">D86-E86</f>
        <v>1628</v>
      </c>
      <c r="G86" s="37">
        <f t="shared" si="28"/>
        <v>11.870833333333332</v>
      </c>
      <c r="H86" s="38">
        <f>SUM(G75:G86)</f>
        <v>150.76249999999999</v>
      </c>
    </row>
    <row r="87" spans="1:8" ht="15" x14ac:dyDescent="0.15">
      <c r="A87" s="83"/>
      <c r="B87" s="39"/>
      <c r="C87" s="39"/>
      <c r="D87" s="39"/>
      <c r="E87" s="39"/>
      <c r="F87" s="39"/>
      <c r="G87" s="39"/>
      <c r="H87" s="84"/>
    </row>
    <row r="88" spans="1:8" ht="15" x14ac:dyDescent="0.15">
      <c r="A88" s="47" t="s">
        <v>234</v>
      </c>
      <c r="B88" s="10" t="s">
        <v>156</v>
      </c>
      <c r="C88" s="10" t="s">
        <v>183</v>
      </c>
      <c r="D88" s="10" t="s">
        <v>20</v>
      </c>
      <c r="E88" s="10" t="s">
        <v>157</v>
      </c>
      <c r="F88" s="10" t="s">
        <v>158</v>
      </c>
      <c r="G88" s="10" t="s">
        <v>2</v>
      </c>
      <c r="H88" s="10" t="s">
        <v>20</v>
      </c>
    </row>
    <row r="89" spans="1:8" ht="15" x14ac:dyDescent="0.15">
      <c r="A89" s="36">
        <v>47574</v>
      </c>
      <c r="B89" s="37">
        <f>F86</f>
        <v>1628</v>
      </c>
      <c r="C89" s="37">
        <v>0</v>
      </c>
      <c r="D89" s="37">
        <f t="shared" ref="D89:D100" si="33">B89+C89</f>
        <v>1628</v>
      </c>
      <c r="E89" s="37">
        <v>17.5</v>
      </c>
      <c r="F89" s="37">
        <f t="shared" ref="F89:F100" si="34">D89-E89</f>
        <v>1610.5</v>
      </c>
      <c r="G89" s="37">
        <f t="shared" ref="G89:G100" si="35">F89*$D$6/12</f>
        <v>11.743229166666666</v>
      </c>
      <c r="H89" s="348"/>
    </row>
    <row r="90" spans="1:8" ht="15" x14ac:dyDescent="0.15">
      <c r="A90" s="36">
        <v>47604</v>
      </c>
      <c r="B90" s="37">
        <f t="shared" ref="B90:B100" si="36">F89</f>
        <v>1610.5</v>
      </c>
      <c r="C90" s="37">
        <v>0</v>
      </c>
      <c r="D90" s="37">
        <f t="shared" si="33"/>
        <v>1610.5</v>
      </c>
      <c r="E90" s="37">
        <v>17.5</v>
      </c>
      <c r="F90" s="37">
        <f t="shared" si="34"/>
        <v>1593</v>
      </c>
      <c r="G90" s="37">
        <f t="shared" si="35"/>
        <v>11.615625</v>
      </c>
      <c r="H90" s="349"/>
    </row>
    <row r="91" spans="1:8" ht="15" x14ac:dyDescent="0.15">
      <c r="A91" s="36">
        <v>47635</v>
      </c>
      <c r="B91" s="37">
        <f t="shared" si="36"/>
        <v>1593</v>
      </c>
      <c r="C91" s="37">
        <v>0</v>
      </c>
      <c r="D91" s="37">
        <f t="shared" si="33"/>
        <v>1593</v>
      </c>
      <c r="E91" s="37">
        <v>17.5</v>
      </c>
      <c r="F91" s="37">
        <f t="shared" si="34"/>
        <v>1575.5</v>
      </c>
      <c r="G91" s="37">
        <f t="shared" si="35"/>
        <v>11.488020833333332</v>
      </c>
      <c r="H91" s="349"/>
    </row>
    <row r="92" spans="1:8" ht="15" x14ac:dyDescent="0.15">
      <c r="A92" s="36">
        <v>47665</v>
      </c>
      <c r="B92" s="37">
        <f t="shared" si="36"/>
        <v>1575.5</v>
      </c>
      <c r="C92" s="37">
        <v>0</v>
      </c>
      <c r="D92" s="37">
        <f t="shared" si="33"/>
        <v>1575.5</v>
      </c>
      <c r="E92" s="37">
        <v>17.5</v>
      </c>
      <c r="F92" s="37">
        <f t="shared" si="34"/>
        <v>1558</v>
      </c>
      <c r="G92" s="37">
        <f t="shared" si="35"/>
        <v>11.360416666666666</v>
      </c>
      <c r="H92" s="349"/>
    </row>
    <row r="93" spans="1:8" ht="15" x14ac:dyDescent="0.15">
      <c r="A93" s="36">
        <v>47696</v>
      </c>
      <c r="B93" s="37">
        <f t="shared" si="36"/>
        <v>1558</v>
      </c>
      <c r="C93" s="37">
        <v>0</v>
      </c>
      <c r="D93" s="37">
        <f t="shared" si="33"/>
        <v>1558</v>
      </c>
      <c r="E93" s="37">
        <v>20</v>
      </c>
      <c r="F93" s="37">
        <f t="shared" si="34"/>
        <v>1538</v>
      </c>
      <c r="G93" s="37">
        <f t="shared" si="35"/>
        <v>11.214583333333332</v>
      </c>
      <c r="H93" s="349"/>
    </row>
    <row r="94" spans="1:8" ht="15" x14ac:dyDescent="0.15">
      <c r="A94" s="36">
        <v>47727</v>
      </c>
      <c r="B94" s="37">
        <f t="shared" si="36"/>
        <v>1538</v>
      </c>
      <c r="C94" s="37">
        <v>0</v>
      </c>
      <c r="D94" s="37">
        <f t="shared" si="33"/>
        <v>1538</v>
      </c>
      <c r="E94" s="37">
        <v>20</v>
      </c>
      <c r="F94" s="37">
        <f t="shared" si="34"/>
        <v>1518</v>
      </c>
      <c r="G94" s="37">
        <f t="shared" si="35"/>
        <v>11.06875</v>
      </c>
      <c r="H94" s="349"/>
    </row>
    <row r="95" spans="1:8" ht="15" x14ac:dyDescent="0.15">
      <c r="A95" s="36">
        <v>47757</v>
      </c>
      <c r="B95" s="37">
        <f t="shared" si="36"/>
        <v>1518</v>
      </c>
      <c r="C95" s="37">
        <v>0</v>
      </c>
      <c r="D95" s="37">
        <f t="shared" si="33"/>
        <v>1518</v>
      </c>
      <c r="E95" s="37">
        <v>20</v>
      </c>
      <c r="F95" s="37">
        <f t="shared" si="34"/>
        <v>1498</v>
      </c>
      <c r="G95" s="37">
        <f t="shared" si="35"/>
        <v>10.922916666666666</v>
      </c>
      <c r="H95" s="349"/>
    </row>
    <row r="96" spans="1:8" ht="15" x14ac:dyDescent="0.15">
      <c r="A96" s="36">
        <v>47788</v>
      </c>
      <c r="B96" s="37">
        <f t="shared" si="36"/>
        <v>1498</v>
      </c>
      <c r="C96" s="37">
        <v>0</v>
      </c>
      <c r="D96" s="37">
        <f t="shared" si="33"/>
        <v>1498</v>
      </c>
      <c r="E96" s="37">
        <v>20</v>
      </c>
      <c r="F96" s="37">
        <f t="shared" si="34"/>
        <v>1478</v>
      </c>
      <c r="G96" s="37">
        <f t="shared" si="35"/>
        <v>10.777083333333332</v>
      </c>
      <c r="H96" s="349"/>
    </row>
    <row r="97" spans="1:8" ht="15" x14ac:dyDescent="0.15">
      <c r="A97" s="36">
        <v>47818</v>
      </c>
      <c r="B97" s="37">
        <f t="shared" si="36"/>
        <v>1478</v>
      </c>
      <c r="C97" s="37">
        <v>0</v>
      </c>
      <c r="D97" s="37">
        <f t="shared" si="33"/>
        <v>1478</v>
      </c>
      <c r="E97" s="37">
        <v>20</v>
      </c>
      <c r="F97" s="37">
        <f t="shared" si="34"/>
        <v>1458</v>
      </c>
      <c r="G97" s="37">
        <f t="shared" si="35"/>
        <v>10.63125</v>
      </c>
      <c r="H97" s="349"/>
    </row>
    <row r="98" spans="1:8" ht="15" x14ac:dyDescent="0.15">
      <c r="A98" s="36">
        <v>47849</v>
      </c>
      <c r="B98" s="37">
        <f t="shared" si="36"/>
        <v>1458</v>
      </c>
      <c r="C98" s="37">
        <v>0</v>
      </c>
      <c r="D98" s="37">
        <f t="shared" si="33"/>
        <v>1458</v>
      </c>
      <c r="E98" s="37">
        <v>20</v>
      </c>
      <c r="F98" s="37">
        <f t="shared" si="34"/>
        <v>1438</v>
      </c>
      <c r="G98" s="37">
        <f t="shared" si="35"/>
        <v>10.485416666666666</v>
      </c>
      <c r="H98" s="349"/>
    </row>
    <row r="99" spans="1:8" ht="15" x14ac:dyDescent="0.15">
      <c r="A99" s="36">
        <v>47880</v>
      </c>
      <c r="B99" s="37">
        <f t="shared" si="36"/>
        <v>1438</v>
      </c>
      <c r="C99" s="37">
        <v>0</v>
      </c>
      <c r="D99" s="37">
        <f t="shared" si="33"/>
        <v>1438</v>
      </c>
      <c r="E99" s="37">
        <v>20</v>
      </c>
      <c r="F99" s="37">
        <f t="shared" si="34"/>
        <v>1418</v>
      </c>
      <c r="G99" s="37">
        <f t="shared" si="35"/>
        <v>10.339583333333332</v>
      </c>
      <c r="H99" s="350"/>
    </row>
    <row r="100" spans="1:8" ht="15" x14ac:dyDescent="0.15">
      <c r="A100" s="36">
        <v>47908</v>
      </c>
      <c r="B100" s="37">
        <f t="shared" si="36"/>
        <v>1418</v>
      </c>
      <c r="C100" s="37">
        <v>0</v>
      </c>
      <c r="D100" s="37">
        <f t="shared" si="33"/>
        <v>1418</v>
      </c>
      <c r="E100" s="37">
        <v>20</v>
      </c>
      <c r="F100" s="37">
        <f t="shared" si="34"/>
        <v>1398</v>
      </c>
      <c r="G100" s="37">
        <f t="shared" si="35"/>
        <v>10.19375</v>
      </c>
      <c r="H100" s="38">
        <f>SUM(G89:G100)</f>
        <v>131.84062499999999</v>
      </c>
    </row>
    <row r="101" spans="1:8" ht="15" x14ac:dyDescent="0.15">
      <c r="A101" s="83"/>
      <c r="B101" s="39"/>
      <c r="C101" s="39"/>
      <c r="D101" s="39"/>
      <c r="E101" s="39"/>
      <c r="F101" s="39"/>
      <c r="G101" s="39"/>
      <c r="H101" s="84"/>
    </row>
    <row r="102" spans="1:8" ht="15" x14ac:dyDescent="0.15">
      <c r="A102" s="47" t="s">
        <v>235</v>
      </c>
      <c r="B102" s="10" t="s">
        <v>156</v>
      </c>
      <c r="C102" s="10" t="s">
        <v>183</v>
      </c>
      <c r="D102" s="10" t="s">
        <v>20</v>
      </c>
      <c r="E102" s="10" t="s">
        <v>157</v>
      </c>
      <c r="F102" s="10" t="s">
        <v>158</v>
      </c>
      <c r="G102" s="10" t="s">
        <v>2</v>
      </c>
      <c r="H102" s="10" t="s">
        <v>20</v>
      </c>
    </row>
    <row r="103" spans="1:8" ht="15" x14ac:dyDescent="0.15">
      <c r="A103" s="36">
        <v>47939</v>
      </c>
      <c r="B103" s="37">
        <f>F100</f>
        <v>1398</v>
      </c>
      <c r="C103" s="37">
        <v>0</v>
      </c>
      <c r="D103" s="37">
        <f t="shared" ref="D103:D108" si="37">B103+C103</f>
        <v>1398</v>
      </c>
      <c r="E103" s="37">
        <v>20</v>
      </c>
      <c r="F103" s="37">
        <f t="shared" ref="F103:F108" si="38">D103-E103</f>
        <v>1378</v>
      </c>
      <c r="G103" s="37">
        <f t="shared" ref="G103:G108" si="39">F103*$D$6/12</f>
        <v>10.047916666666666</v>
      </c>
      <c r="H103" s="348"/>
    </row>
    <row r="104" spans="1:8" ht="15" x14ac:dyDescent="0.15">
      <c r="A104" s="36">
        <v>47969</v>
      </c>
      <c r="B104" s="37">
        <f t="shared" ref="B104:B108" si="40">F103</f>
        <v>1378</v>
      </c>
      <c r="C104" s="37">
        <v>0</v>
      </c>
      <c r="D104" s="37">
        <f t="shared" si="37"/>
        <v>1378</v>
      </c>
      <c r="E104" s="37">
        <v>20</v>
      </c>
      <c r="F104" s="37">
        <f t="shared" si="38"/>
        <v>1358</v>
      </c>
      <c r="G104" s="37">
        <f t="shared" si="39"/>
        <v>9.9020833333333318</v>
      </c>
      <c r="H104" s="349"/>
    </row>
    <row r="105" spans="1:8" ht="15" x14ac:dyDescent="0.15">
      <c r="A105" s="36">
        <v>48000</v>
      </c>
      <c r="B105" s="37">
        <f t="shared" si="40"/>
        <v>1358</v>
      </c>
      <c r="C105" s="37">
        <v>0</v>
      </c>
      <c r="D105" s="37">
        <f t="shared" si="37"/>
        <v>1358</v>
      </c>
      <c r="E105" s="37">
        <v>20</v>
      </c>
      <c r="F105" s="37">
        <f t="shared" si="38"/>
        <v>1338</v>
      </c>
      <c r="G105" s="37">
        <f t="shared" si="39"/>
        <v>9.7562499999999996</v>
      </c>
      <c r="H105" s="349"/>
    </row>
    <row r="106" spans="1:8" ht="15" x14ac:dyDescent="0.15">
      <c r="A106" s="36">
        <v>48030</v>
      </c>
      <c r="B106" s="37">
        <f t="shared" si="40"/>
        <v>1338</v>
      </c>
      <c r="C106" s="37">
        <v>0</v>
      </c>
      <c r="D106" s="37">
        <f t="shared" si="37"/>
        <v>1338</v>
      </c>
      <c r="E106" s="37">
        <v>20</v>
      </c>
      <c r="F106" s="37">
        <f t="shared" si="38"/>
        <v>1318</v>
      </c>
      <c r="G106" s="37">
        <f t="shared" si="39"/>
        <v>9.6104166666666657</v>
      </c>
      <c r="H106" s="349"/>
    </row>
    <row r="107" spans="1:8" ht="15" x14ac:dyDescent="0.15">
      <c r="A107" s="36">
        <v>48061</v>
      </c>
      <c r="B107" s="37">
        <f t="shared" si="40"/>
        <v>1318</v>
      </c>
      <c r="C107" s="37">
        <v>0</v>
      </c>
      <c r="D107" s="37">
        <f t="shared" si="37"/>
        <v>1318</v>
      </c>
      <c r="E107" s="37">
        <v>30</v>
      </c>
      <c r="F107" s="37">
        <f t="shared" si="38"/>
        <v>1288</v>
      </c>
      <c r="G107" s="37">
        <f t="shared" si="39"/>
        <v>9.3916666666666657</v>
      </c>
      <c r="H107" s="349"/>
    </row>
    <row r="108" spans="1:8" ht="15" x14ac:dyDescent="0.15">
      <c r="A108" s="36">
        <v>48092</v>
      </c>
      <c r="B108" s="37">
        <f t="shared" si="40"/>
        <v>1288</v>
      </c>
      <c r="C108" s="37">
        <v>0</v>
      </c>
      <c r="D108" s="37">
        <f t="shared" si="37"/>
        <v>1288</v>
      </c>
      <c r="E108" s="37">
        <v>30</v>
      </c>
      <c r="F108" s="37">
        <f t="shared" si="38"/>
        <v>1258</v>
      </c>
      <c r="G108" s="37">
        <f t="shared" si="39"/>
        <v>9.1729166666666657</v>
      </c>
      <c r="H108" s="349"/>
    </row>
    <row r="109" spans="1:8" ht="15" x14ac:dyDescent="0.15">
      <c r="A109" s="36">
        <v>48122</v>
      </c>
      <c r="B109" s="37">
        <f t="shared" ref="B109:B114" si="41">F108</f>
        <v>1258</v>
      </c>
      <c r="C109" s="37">
        <v>0</v>
      </c>
      <c r="D109" s="37">
        <f t="shared" ref="D109:D114" si="42">B109+C109</f>
        <v>1258</v>
      </c>
      <c r="E109" s="37">
        <v>30</v>
      </c>
      <c r="F109" s="37">
        <f t="shared" ref="F109:F114" si="43">D109-E109</f>
        <v>1228</v>
      </c>
      <c r="G109" s="37">
        <f t="shared" ref="G109:G114" si="44">F109*$D$6/12</f>
        <v>8.9541666666666657</v>
      </c>
      <c r="H109" s="349"/>
    </row>
    <row r="110" spans="1:8" ht="15" x14ac:dyDescent="0.15">
      <c r="A110" s="36">
        <v>48153</v>
      </c>
      <c r="B110" s="37">
        <f t="shared" si="41"/>
        <v>1228</v>
      </c>
      <c r="C110" s="37">
        <v>0</v>
      </c>
      <c r="D110" s="37">
        <f t="shared" si="42"/>
        <v>1228</v>
      </c>
      <c r="E110" s="37">
        <v>30</v>
      </c>
      <c r="F110" s="37">
        <f t="shared" si="43"/>
        <v>1198</v>
      </c>
      <c r="G110" s="37">
        <f t="shared" si="44"/>
        <v>8.7354166666666657</v>
      </c>
      <c r="H110" s="349"/>
    </row>
    <row r="111" spans="1:8" ht="15" x14ac:dyDescent="0.15">
      <c r="A111" s="36">
        <v>48183</v>
      </c>
      <c r="B111" s="37">
        <f t="shared" si="41"/>
        <v>1198</v>
      </c>
      <c r="C111" s="37">
        <v>0</v>
      </c>
      <c r="D111" s="37">
        <f t="shared" si="42"/>
        <v>1198</v>
      </c>
      <c r="E111" s="37">
        <v>30</v>
      </c>
      <c r="F111" s="37">
        <f t="shared" si="43"/>
        <v>1168</v>
      </c>
      <c r="G111" s="37">
        <f t="shared" si="44"/>
        <v>8.5166666666666657</v>
      </c>
      <c r="H111" s="349"/>
    </row>
    <row r="112" spans="1:8" ht="15" x14ac:dyDescent="0.15">
      <c r="A112" s="36">
        <v>48214</v>
      </c>
      <c r="B112" s="37">
        <f t="shared" si="41"/>
        <v>1168</v>
      </c>
      <c r="C112" s="37">
        <v>0</v>
      </c>
      <c r="D112" s="37">
        <f t="shared" si="42"/>
        <v>1168</v>
      </c>
      <c r="E112" s="37">
        <v>30</v>
      </c>
      <c r="F112" s="37">
        <f t="shared" si="43"/>
        <v>1138</v>
      </c>
      <c r="G112" s="37">
        <f t="shared" si="44"/>
        <v>8.2979166666666657</v>
      </c>
      <c r="H112" s="349"/>
    </row>
    <row r="113" spans="1:8" ht="15" x14ac:dyDescent="0.15">
      <c r="A113" s="36">
        <v>48245</v>
      </c>
      <c r="B113" s="37">
        <f t="shared" si="41"/>
        <v>1138</v>
      </c>
      <c r="C113" s="37">
        <v>0</v>
      </c>
      <c r="D113" s="37">
        <f t="shared" si="42"/>
        <v>1138</v>
      </c>
      <c r="E113" s="37">
        <v>30</v>
      </c>
      <c r="F113" s="37">
        <f t="shared" si="43"/>
        <v>1108</v>
      </c>
      <c r="G113" s="37">
        <f t="shared" si="44"/>
        <v>8.0791666666666657</v>
      </c>
      <c r="H113" s="350"/>
    </row>
    <row r="114" spans="1:8" ht="15" x14ac:dyDescent="0.15">
      <c r="A114" s="36">
        <v>48274</v>
      </c>
      <c r="B114" s="37">
        <f t="shared" si="41"/>
        <v>1108</v>
      </c>
      <c r="C114" s="37">
        <v>0</v>
      </c>
      <c r="D114" s="37">
        <f t="shared" si="42"/>
        <v>1108</v>
      </c>
      <c r="E114" s="37">
        <v>30</v>
      </c>
      <c r="F114" s="37">
        <f t="shared" si="43"/>
        <v>1078</v>
      </c>
      <c r="G114" s="37">
        <f t="shared" si="44"/>
        <v>7.8604166666666657</v>
      </c>
      <c r="H114" s="38">
        <f>SUM(G103:G114)</f>
        <v>108.32499999999999</v>
      </c>
    </row>
    <row r="115" spans="1:8" ht="15" x14ac:dyDescent="0.15">
      <c r="A115" s="83"/>
      <c r="B115" s="39"/>
      <c r="C115" s="39"/>
      <c r="D115" s="39"/>
      <c r="E115" s="39"/>
      <c r="F115" s="39"/>
      <c r="G115" s="39"/>
      <c r="H115" s="84"/>
    </row>
    <row r="116" spans="1:8" ht="15" x14ac:dyDescent="0.15">
      <c r="A116" s="47" t="s">
        <v>236</v>
      </c>
      <c r="B116" s="10" t="s">
        <v>156</v>
      </c>
      <c r="C116" s="10" t="s">
        <v>183</v>
      </c>
      <c r="D116" s="10" t="s">
        <v>20</v>
      </c>
      <c r="E116" s="10" t="s">
        <v>157</v>
      </c>
      <c r="F116" s="10" t="s">
        <v>158</v>
      </c>
      <c r="G116" s="10" t="s">
        <v>2</v>
      </c>
      <c r="H116" s="10" t="s">
        <v>20</v>
      </c>
    </row>
    <row r="117" spans="1:8" ht="15" x14ac:dyDescent="0.15">
      <c r="A117" s="36">
        <v>48305</v>
      </c>
      <c r="B117" s="37">
        <f>F114</f>
        <v>1078</v>
      </c>
      <c r="C117" s="37">
        <v>0</v>
      </c>
      <c r="D117" s="37">
        <f t="shared" ref="D117:D128" si="45">B117+C117</f>
        <v>1078</v>
      </c>
      <c r="E117" s="37">
        <v>30</v>
      </c>
      <c r="F117" s="37">
        <f t="shared" ref="F117:F128" si="46">D117-E117</f>
        <v>1048</v>
      </c>
      <c r="G117" s="37">
        <f t="shared" ref="G117:G128" si="47">F117*$D$6/12</f>
        <v>7.6416666666666657</v>
      </c>
      <c r="H117" s="348"/>
    </row>
    <row r="118" spans="1:8" ht="15" x14ac:dyDescent="0.15">
      <c r="A118" s="36">
        <v>48335</v>
      </c>
      <c r="B118" s="37">
        <f t="shared" ref="B118:B128" si="48">F117</f>
        <v>1048</v>
      </c>
      <c r="C118" s="37">
        <v>0</v>
      </c>
      <c r="D118" s="37">
        <f t="shared" si="45"/>
        <v>1048</v>
      </c>
      <c r="E118" s="37">
        <v>30</v>
      </c>
      <c r="F118" s="37">
        <f t="shared" si="46"/>
        <v>1018</v>
      </c>
      <c r="G118" s="37">
        <f t="shared" si="47"/>
        <v>7.4229166666666657</v>
      </c>
      <c r="H118" s="349"/>
    </row>
    <row r="119" spans="1:8" ht="15" x14ac:dyDescent="0.15">
      <c r="A119" s="36">
        <v>48366</v>
      </c>
      <c r="B119" s="37">
        <f t="shared" si="48"/>
        <v>1018</v>
      </c>
      <c r="C119" s="37">
        <v>0</v>
      </c>
      <c r="D119" s="37">
        <f t="shared" si="45"/>
        <v>1018</v>
      </c>
      <c r="E119" s="37">
        <v>30</v>
      </c>
      <c r="F119" s="37">
        <f t="shared" si="46"/>
        <v>988</v>
      </c>
      <c r="G119" s="37">
        <f t="shared" si="47"/>
        <v>7.2041666666666657</v>
      </c>
      <c r="H119" s="349"/>
    </row>
    <row r="120" spans="1:8" ht="15" x14ac:dyDescent="0.15">
      <c r="A120" s="36">
        <v>48396</v>
      </c>
      <c r="B120" s="37">
        <f t="shared" si="48"/>
        <v>988</v>
      </c>
      <c r="C120" s="37">
        <v>0</v>
      </c>
      <c r="D120" s="37">
        <f t="shared" si="45"/>
        <v>988</v>
      </c>
      <c r="E120" s="37">
        <v>30</v>
      </c>
      <c r="F120" s="37">
        <f t="shared" si="46"/>
        <v>958</v>
      </c>
      <c r="G120" s="37">
        <f t="shared" si="47"/>
        <v>6.9854166666666657</v>
      </c>
      <c r="H120" s="349"/>
    </row>
    <row r="121" spans="1:8" ht="15" x14ac:dyDescent="0.15">
      <c r="A121" s="36">
        <v>48427</v>
      </c>
      <c r="B121" s="37">
        <f t="shared" si="48"/>
        <v>958</v>
      </c>
      <c r="C121" s="37">
        <v>0</v>
      </c>
      <c r="D121" s="37">
        <f t="shared" si="45"/>
        <v>958</v>
      </c>
      <c r="E121" s="37">
        <v>40</v>
      </c>
      <c r="F121" s="37">
        <f t="shared" si="46"/>
        <v>918</v>
      </c>
      <c r="G121" s="37">
        <f t="shared" si="47"/>
        <v>6.6937499999999988</v>
      </c>
      <c r="H121" s="349"/>
    </row>
    <row r="122" spans="1:8" ht="15" x14ac:dyDescent="0.15">
      <c r="A122" s="36">
        <v>48458</v>
      </c>
      <c r="B122" s="37">
        <f t="shared" si="48"/>
        <v>918</v>
      </c>
      <c r="C122" s="37">
        <v>0</v>
      </c>
      <c r="D122" s="37">
        <f t="shared" si="45"/>
        <v>918</v>
      </c>
      <c r="E122" s="37">
        <v>40</v>
      </c>
      <c r="F122" s="37">
        <f t="shared" si="46"/>
        <v>878</v>
      </c>
      <c r="G122" s="37">
        <f t="shared" si="47"/>
        <v>6.4020833333333327</v>
      </c>
      <c r="H122" s="349"/>
    </row>
    <row r="123" spans="1:8" ht="15" x14ac:dyDescent="0.15">
      <c r="A123" s="36">
        <v>48488</v>
      </c>
      <c r="B123" s="37">
        <f t="shared" si="48"/>
        <v>878</v>
      </c>
      <c r="C123" s="37">
        <v>0</v>
      </c>
      <c r="D123" s="37">
        <f t="shared" si="45"/>
        <v>878</v>
      </c>
      <c r="E123" s="37">
        <v>40</v>
      </c>
      <c r="F123" s="37">
        <f t="shared" si="46"/>
        <v>838</v>
      </c>
      <c r="G123" s="37">
        <f t="shared" si="47"/>
        <v>6.1104166666666657</v>
      </c>
      <c r="H123" s="349"/>
    </row>
    <row r="124" spans="1:8" ht="15" x14ac:dyDescent="0.15">
      <c r="A124" s="36">
        <v>48519</v>
      </c>
      <c r="B124" s="37">
        <f t="shared" si="48"/>
        <v>838</v>
      </c>
      <c r="C124" s="37">
        <v>0</v>
      </c>
      <c r="D124" s="37">
        <f t="shared" si="45"/>
        <v>838</v>
      </c>
      <c r="E124" s="37">
        <v>40</v>
      </c>
      <c r="F124" s="37">
        <f t="shared" si="46"/>
        <v>798</v>
      </c>
      <c r="G124" s="37">
        <f t="shared" si="47"/>
        <v>5.8187499999999988</v>
      </c>
      <c r="H124" s="349"/>
    </row>
    <row r="125" spans="1:8" ht="15" x14ac:dyDescent="0.15">
      <c r="A125" s="36">
        <v>48549</v>
      </c>
      <c r="B125" s="37">
        <f t="shared" si="48"/>
        <v>798</v>
      </c>
      <c r="C125" s="37">
        <v>0</v>
      </c>
      <c r="D125" s="37">
        <f t="shared" si="45"/>
        <v>798</v>
      </c>
      <c r="E125" s="37">
        <v>40</v>
      </c>
      <c r="F125" s="37">
        <f t="shared" si="46"/>
        <v>758</v>
      </c>
      <c r="G125" s="37">
        <f t="shared" si="47"/>
        <v>5.5270833333333336</v>
      </c>
      <c r="H125" s="349"/>
    </row>
    <row r="126" spans="1:8" ht="15" x14ac:dyDescent="0.15">
      <c r="A126" s="36">
        <v>48580</v>
      </c>
      <c r="B126" s="37">
        <f t="shared" si="48"/>
        <v>758</v>
      </c>
      <c r="C126" s="37">
        <v>0</v>
      </c>
      <c r="D126" s="37">
        <f t="shared" si="45"/>
        <v>758</v>
      </c>
      <c r="E126" s="37">
        <v>40</v>
      </c>
      <c r="F126" s="37">
        <f t="shared" si="46"/>
        <v>718</v>
      </c>
      <c r="G126" s="37">
        <f t="shared" si="47"/>
        <v>5.2354166666666666</v>
      </c>
      <c r="H126" s="349"/>
    </row>
    <row r="127" spans="1:8" ht="15" x14ac:dyDescent="0.15">
      <c r="A127" s="36">
        <v>48611</v>
      </c>
      <c r="B127" s="37">
        <f t="shared" si="48"/>
        <v>718</v>
      </c>
      <c r="C127" s="37">
        <v>0</v>
      </c>
      <c r="D127" s="37">
        <f t="shared" si="45"/>
        <v>718</v>
      </c>
      <c r="E127" s="37">
        <v>40</v>
      </c>
      <c r="F127" s="37">
        <f t="shared" si="46"/>
        <v>678</v>
      </c>
      <c r="G127" s="37">
        <f t="shared" si="47"/>
        <v>4.9437499999999996</v>
      </c>
      <c r="H127" s="350"/>
    </row>
    <row r="128" spans="1:8" ht="15" x14ac:dyDescent="0.15">
      <c r="A128" s="36">
        <v>48639</v>
      </c>
      <c r="B128" s="37">
        <f t="shared" si="48"/>
        <v>678</v>
      </c>
      <c r="C128" s="37">
        <v>0</v>
      </c>
      <c r="D128" s="37">
        <f t="shared" si="45"/>
        <v>678</v>
      </c>
      <c r="E128" s="37">
        <v>40</v>
      </c>
      <c r="F128" s="37">
        <f t="shared" si="46"/>
        <v>638</v>
      </c>
      <c r="G128" s="37">
        <f t="shared" si="47"/>
        <v>4.6520833333333327</v>
      </c>
      <c r="H128" s="38">
        <f>SUM(G117:G128)</f>
        <v>74.637499999999989</v>
      </c>
    </row>
    <row r="129" spans="1:8" ht="15" x14ac:dyDescent="0.15">
      <c r="A129" s="83"/>
      <c r="B129" s="39"/>
      <c r="C129" s="39"/>
      <c r="D129" s="39"/>
      <c r="E129" s="39"/>
      <c r="F129" s="39"/>
      <c r="G129" s="39"/>
      <c r="H129" s="84"/>
    </row>
    <row r="130" spans="1:8" ht="15" x14ac:dyDescent="0.15">
      <c r="A130" s="47" t="s">
        <v>281</v>
      </c>
      <c r="B130" s="10" t="s">
        <v>156</v>
      </c>
      <c r="C130" s="10" t="s">
        <v>183</v>
      </c>
      <c r="D130" s="10" t="s">
        <v>20</v>
      </c>
      <c r="E130" s="10" t="s">
        <v>157</v>
      </c>
      <c r="F130" s="10" t="s">
        <v>158</v>
      </c>
      <c r="G130" s="10" t="s">
        <v>2</v>
      </c>
      <c r="H130" s="10" t="s">
        <v>20</v>
      </c>
    </row>
    <row r="131" spans="1:8" ht="15" x14ac:dyDescent="0.15">
      <c r="A131" s="36">
        <v>48670</v>
      </c>
      <c r="B131" s="37">
        <f>F128</f>
        <v>638</v>
      </c>
      <c r="C131" s="37">
        <v>0</v>
      </c>
      <c r="D131" s="37">
        <f t="shared" ref="D131:D140" si="49">B131+C131</f>
        <v>638</v>
      </c>
      <c r="E131" s="37">
        <v>40</v>
      </c>
      <c r="F131" s="37">
        <f t="shared" ref="F131:F140" si="50">D131-E131</f>
        <v>598</v>
      </c>
      <c r="G131" s="37">
        <f t="shared" ref="G131:G140" si="51">F131*$D$6/12</f>
        <v>4.3604166666666666</v>
      </c>
      <c r="H131" s="235"/>
    </row>
    <row r="132" spans="1:8" ht="15" x14ac:dyDescent="0.15">
      <c r="A132" s="36">
        <v>48700</v>
      </c>
      <c r="B132" s="37">
        <f t="shared" ref="B132:B140" si="52">F131</f>
        <v>598</v>
      </c>
      <c r="C132" s="37">
        <v>0</v>
      </c>
      <c r="D132" s="37">
        <f t="shared" si="49"/>
        <v>598</v>
      </c>
      <c r="E132" s="37">
        <v>40</v>
      </c>
      <c r="F132" s="37">
        <f t="shared" si="50"/>
        <v>558</v>
      </c>
      <c r="G132" s="37">
        <f t="shared" si="51"/>
        <v>4.0687499999999996</v>
      </c>
      <c r="H132" s="236"/>
    </row>
    <row r="133" spans="1:8" ht="15" x14ac:dyDescent="0.15">
      <c r="A133" s="36">
        <v>48731</v>
      </c>
      <c r="B133" s="37">
        <f t="shared" si="52"/>
        <v>558</v>
      </c>
      <c r="C133" s="37">
        <v>0</v>
      </c>
      <c r="D133" s="37">
        <f t="shared" si="49"/>
        <v>558</v>
      </c>
      <c r="E133" s="37">
        <v>40</v>
      </c>
      <c r="F133" s="37">
        <f t="shared" si="50"/>
        <v>518</v>
      </c>
      <c r="G133" s="37">
        <f t="shared" si="51"/>
        <v>3.7770833333333331</v>
      </c>
      <c r="H133" s="236"/>
    </row>
    <row r="134" spans="1:8" ht="15" x14ac:dyDescent="0.15">
      <c r="A134" s="36">
        <v>48761</v>
      </c>
      <c r="B134" s="37">
        <f t="shared" si="52"/>
        <v>518</v>
      </c>
      <c r="C134" s="37">
        <v>0</v>
      </c>
      <c r="D134" s="37">
        <f t="shared" si="49"/>
        <v>518</v>
      </c>
      <c r="E134" s="37">
        <v>40</v>
      </c>
      <c r="F134" s="37">
        <f t="shared" si="50"/>
        <v>478</v>
      </c>
      <c r="G134" s="37">
        <f t="shared" si="51"/>
        <v>3.4854166666666662</v>
      </c>
      <c r="H134" s="236"/>
    </row>
    <row r="135" spans="1:8" ht="15" x14ac:dyDescent="0.15">
      <c r="A135" s="36">
        <v>48792</v>
      </c>
      <c r="B135" s="37">
        <f t="shared" si="52"/>
        <v>478</v>
      </c>
      <c r="C135" s="37">
        <v>0</v>
      </c>
      <c r="D135" s="37">
        <f t="shared" si="49"/>
        <v>478</v>
      </c>
      <c r="E135" s="37">
        <v>40</v>
      </c>
      <c r="F135" s="37">
        <f t="shared" si="50"/>
        <v>438</v>
      </c>
      <c r="G135" s="37">
        <f t="shared" si="51"/>
        <v>3.1937499999999996</v>
      </c>
      <c r="H135" s="236"/>
    </row>
    <row r="136" spans="1:8" ht="15" x14ac:dyDescent="0.15">
      <c r="A136" s="36">
        <v>48823</v>
      </c>
      <c r="B136" s="37">
        <f t="shared" si="52"/>
        <v>438</v>
      </c>
      <c r="C136" s="37">
        <v>0</v>
      </c>
      <c r="D136" s="37">
        <f t="shared" si="49"/>
        <v>438</v>
      </c>
      <c r="E136" s="37">
        <v>40</v>
      </c>
      <c r="F136" s="37">
        <f t="shared" si="50"/>
        <v>398</v>
      </c>
      <c r="G136" s="37">
        <f t="shared" si="51"/>
        <v>2.9020833333333331</v>
      </c>
      <c r="H136" s="236"/>
    </row>
    <row r="137" spans="1:8" ht="15" x14ac:dyDescent="0.15">
      <c r="A137" s="36">
        <v>48853</v>
      </c>
      <c r="B137" s="37">
        <f t="shared" si="52"/>
        <v>398</v>
      </c>
      <c r="C137" s="37">
        <v>0</v>
      </c>
      <c r="D137" s="37">
        <f t="shared" si="49"/>
        <v>398</v>
      </c>
      <c r="E137" s="37">
        <v>40</v>
      </c>
      <c r="F137" s="37">
        <f t="shared" si="50"/>
        <v>358</v>
      </c>
      <c r="G137" s="37">
        <f t="shared" si="51"/>
        <v>2.6104166666666666</v>
      </c>
      <c r="H137" s="236"/>
    </row>
    <row r="138" spans="1:8" ht="15" x14ac:dyDescent="0.15">
      <c r="A138" s="36">
        <v>48884</v>
      </c>
      <c r="B138" s="37">
        <f t="shared" si="52"/>
        <v>358</v>
      </c>
      <c r="C138" s="37">
        <v>0</v>
      </c>
      <c r="D138" s="37">
        <f t="shared" si="49"/>
        <v>358</v>
      </c>
      <c r="E138" s="37">
        <v>40</v>
      </c>
      <c r="F138" s="37">
        <f t="shared" si="50"/>
        <v>318</v>
      </c>
      <c r="G138" s="37">
        <f t="shared" si="51"/>
        <v>2.3187500000000001</v>
      </c>
      <c r="H138" s="236"/>
    </row>
    <row r="139" spans="1:8" ht="15" x14ac:dyDescent="0.15">
      <c r="A139" s="36">
        <v>48914</v>
      </c>
      <c r="B139" s="37">
        <f t="shared" si="52"/>
        <v>318</v>
      </c>
      <c r="C139" s="37">
        <v>0</v>
      </c>
      <c r="D139" s="37">
        <f t="shared" si="49"/>
        <v>318</v>
      </c>
      <c r="E139" s="37">
        <v>40</v>
      </c>
      <c r="F139" s="37">
        <f t="shared" si="50"/>
        <v>278</v>
      </c>
      <c r="G139" s="37">
        <f t="shared" si="51"/>
        <v>2.0270833333333331</v>
      </c>
      <c r="H139" s="236"/>
    </row>
    <row r="140" spans="1:8" ht="15" x14ac:dyDescent="0.15">
      <c r="A140" s="36">
        <v>48945</v>
      </c>
      <c r="B140" s="37">
        <f t="shared" si="52"/>
        <v>278</v>
      </c>
      <c r="C140" s="37">
        <v>0</v>
      </c>
      <c r="D140" s="37">
        <f t="shared" si="49"/>
        <v>278</v>
      </c>
      <c r="E140" s="37">
        <v>40</v>
      </c>
      <c r="F140" s="37">
        <f t="shared" si="50"/>
        <v>238</v>
      </c>
      <c r="G140" s="37">
        <f t="shared" si="51"/>
        <v>1.7354166666666666</v>
      </c>
      <c r="H140" s="236"/>
    </row>
    <row r="141" spans="1:8" ht="15" x14ac:dyDescent="0.15">
      <c r="A141" s="36">
        <v>48976</v>
      </c>
      <c r="B141" s="37">
        <f t="shared" ref="B141:B142" si="53">F140</f>
        <v>238</v>
      </c>
      <c r="C141" s="37">
        <v>0</v>
      </c>
      <c r="D141" s="37">
        <f t="shared" ref="D141:D142" si="54">B141+C141</f>
        <v>238</v>
      </c>
      <c r="E141" s="37">
        <v>40</v>
      </c>
      <c r="F141" s="37">
        <f t="shared" ref="F141:F142" si="55">D141-E141</f>
        <v>198</v>
      </c>
      <c r="G141" s="37">
        <f t="shared" ref="G141:G142" si="56">F141*$D$6/12</f>
        <v>1.4437499999999999</v>
      </c>
      <c r="H141" s="118"/>
    </row>
    <row r="142" spans="1:8" ht="15" x14ac:dyDescent="0.15">
      <c r="A142" s="36">
        <v>49004</v>
      </c>
      <c r="B142" s="37">
        <f t="shared" si="53"/>
        <v>198</v>
      </c>
      <c r="C142" s="37">
        <v>0</v>
      </c>
      <c r="D142" s="37">
        <f t="shared" si="54"/>
        <v>198</v>
      </c>
      <c r="E142" s="37">
        <v>40</v>
      </c>
      <c r="F142" s="37">
        <f t="shared" si="55"/>
        <v>158</v>
      </c>
      <c r="G142" s="37">
        <f t="shared" si="56"/>
        <v>1.1520833333333333</v>
      </c>
      <c r="H142" s="38">
        <f>SUM(G131:G142)</f>
        <v>33.074999999999996</v>
      </c>
    </row>
    <row r="143" spans="1:8" ht="15" x14ac:dyDescent="0.15">
      <c r="A143" s="83"/>
      <c r="B143" s="39"/>
      <c r="C143" s="39"/>
      <c r="D143" s="39"/>
      <c r="E143" s="39"/>
      <c r="F143" s="39"/>
      <c r="G143" s="39"/>
      <c r="H143" s="234"/>
    </row>
    <row r="144" spans="1:8" ht="15" x14ac:dyDescent="0.15">
      <c r="A144" s="47" t="s">
        <v>283</v>
      </c>
      <c r="B144" s="10" t="s">
        <v>156</v>
      </c>
      <c r="C144" s="10" t="s">
        <v>183</v>
      </c>
      <c r="D144" s="10" t="s">
        <v>20</v>
      </c>
      <c r="E144" s="10" t="s">
        <v>157</v>
      </c>
      <c r="F144" s="10" t="s">
        <v>158</v>
      </c>
      <c r="G144" s="10" t="s">
        <v>2</v>
      </c>
      <c r="H144" s="10" t="s">
        <v>20</v>
      </c>
    </row>
    <row r="145" spans="1:12" ht="15" x14ac:dyDescent="0.15">
      <c r="A145" s="36">
        <v>49035</v>
      </c>
      <c r="B145" s="37">
        <f>F142</f>
        <v>158</v>
      </c>
      <c r="C145" s="37">
        <v>0</v>
      </c>
      <c r="D145" s="37">
        <f t="shared" ref="D145" si="57">B145+C145</f>
        <v>158</v>
      </c>
      <c r="E145" s="37">
        <v>40</v>
      </c>
      <c r="F145" s="37">
        <f t="shared" ref="F145" si="58">D145-E145</f>
        <v>118</v>
      </c>
      <c r="G145" s="37">
        <f t="shared" ref="G145" si="59">F145*$D$6/12</f>
        <v>0.86041666666666661</v>
      </c>
      <c r="H145" s="348"/>
    </row>
    <row r="146" spans="1:12" ht="15" x14ac:dyDescent="0.15">
      <c r="A146" s="36">
        <v>49065</v>
      </c>
      <c r="B146" s="37">
        <f>F145</f>
        <v>118</v>
      </c>
      <c r="C146" s="37">
        <v>0</v>
      </c>
      <c r="D146" s="37">
        <f t="shared" ref="D146:D148" si="60">B146+C146</f>
        <v>118</v>
      </c>
      <c r="E146" s="37">
        <v>40</v>
      </c>
      <c r="F146" s="37">
        <f t="shared" ref="F146:F148" si="61">D146-E146</f>
        <v>78</v>
      </c>
      <c r="G146" s="37">
        <f t="shared" ref="G146:G148" si="62">F146*$D$6/12</f>
        <v>0.56874999999999998</v>
      </c>
      <c r="H146" s="349"/>
    </row>
    <row r="147" spans="1:12" ht="15" x14ac:dyDescent="0.15">
      <c r="A147" s="36">
        <v>49096</v>
      </c>
      <c r="B147" s="37">
        <f t="shared" ref="B147:B148" si="63">F146</f>
        <v>78</v>
      </c>
      <c r="C147" s="37">
        <v>0</v>
      </c>
      <c r="D147" s="37">
        <f t="shared" si="60"/>
        <v>78</v>
      </c>
      <c r="E147" s="37">
        <v>40</v>
      </c>
      <c r="F147" s="37">
        <f t="shared" si="61"/>
        <v>38</v>
      </c>
      <c r="G147" s="37">
        <f t="shared" si="62"/>
        <v>0.27708333333333329</v>
      </c>
      <c r="H147" s="350"/>
    </row>
    <row r="148" spans="1:12" ht="15" x14ac:dyDescent="0.15">
      <c r="A148" s="36">
        <v>49126</v>
      </c>
      <c r="B148" s="37">
        <f t="shared" si="63"/>
        <v>38</v>
      </c>
      <c r="C148" s="37">
        <v>0</v>
      </c>
      <c r="D148" s="37">
        <f t="shared" si="60"/>
        <v>38</v>
      </c>
      <c r="E148" s="37">
        <v>38</v>
      </c>
      <c r="F148" s="37">
        <f t="shared" si="61"/>
        <v>0</v>
      </c>
      <c r="G148" s="37">
        <f t="shared" si="62"/>
        <v>0</v>
      </c>
      <c r="H148" s="38">
        <f>SUM(G145:G148)</f>
        <v>1.70625</v>
      </c>
    </row>
    <row r="149" spans="1:12" ht="15" x14ac:dyDescent="0.15">
      <c r="A149" s="83"/>
      <c r="B149" s="39"/>
      <c r="C149" s="39"/>
      <c r="D149" s="39"/>
      <c r="E149" s="39"/>
      <c r="F149" s="39"/>
      <c r="G149" s="39"/>
      <c r="H149" s="234"/>
    </row>
    <row r="150" spans="1:12" ht="15" x14ac:dyDescent="0.15">
      <c r="A150" s="83"/>
      <c r="B150" s="39"/>
      <c r="C150" s="39"/>
      <c r="D150" s="39"/>
      <c r="E150" s="39"/>
      <c r="F150" s="39"/>
      <c r="G150" s="39"/>
      <c r="H150" s="234"/>
    </row>
    <row r="151" spans="1:12" ht="15" x14ac:dyDescent="0.15">
      <c r="A151" s="83"/>
      <c r="B151" s="39"/>
      <c r="C151" s="39"/>
      <c r="D151" s="39"/>
      <c r="E151" s="39"/>
      <c r="F151" s="39"/>
      <c r="G151" s="39"/>
      <c r="H151" s="234"/>
    </row>
    <row r="152" spans="1:12" ht="15" x14ac:dyDescent="0.15">
      <c r="A152" s="83"/>
      <c r="B152" s="39"/>
      <c r="C152" s="39"/>
      <c r="D152" s="39"/>
      <c r="E152" s="39"/>
      <c r="F152" s="39"/>
      <c r="G152" s="39"/>
      <c r="H152" s="84"/>
    </row>
    <row r="153" spans="1:12" ht="15" x14ac:dyDescent="0.25">
      <c r="A153" s="16" t="s">
        <v>164</v>
      </c>
      <c r="B153" s="94" t="s">
        <v>160</v>
      </c>
      <c r="C153" s="94" t="s">
        <v>161</v>
      </c>
      <c r="D153" s="94" t="s">
        <v>162</v>
      </c>
      <c r="E153" s="94" t="s">
        <v>163</v>
      </c>
      <c r="F153" s="94" t="s">
        <v>217</v>
      </c>
      <c r="G153" s="103" t="s">
        <v>230</v>
      </c>
      <c r="H153" s="47" t="s">
        <v>234</v>
      </c>
      <c r="I153" s="47" t="s">
        <v>235</v>
      </c>
      <c r="J153" s="47" t="s">
        <v>236</v>
      </c>
      <c r="K153" s="47" t="s">
        <v>281</v>
      </c>
      <c r="L153" s="47" t="s">
        <v>283</v>
      </c>
    </row>
    <row r="154" spans="1:12" ht="15" x14ac:dyDescent="0.25">
      <c r="A154" s="11" t="s">
        <v>2</v>
      </c>
      <c r="B154" s="12">
        <f>H16</f>
        <v>30.1875</v>
      </c>
      <c r="C154" s="12">
        <f>H30</f>
        <v>145.30833333333334</v>
      </c>
      <c r="D154" s="12">
        <f>H44</f>
        <v>191.45000000000002</v>
      </c>
      <c r="E154" s="12">
        <f>H58</f>
        <v>180.73125000000002</v>
      </c>
      <c r="F154" s="12">
        <f>H72</f>
        <v>167.05937499999999</v>
      </c>
      <c r="G154" s="12">
        <f>H86</f>
        <v>150.76249999999999</v>
      </c>
      <c r="H154" s="12">
        <f>H100</f>
        <v>131.84062499999999</v>
      </c>
      <c r="I154" s="12">
        <f>H114</f>
        <v>108.32499999999999</v>
      </c>
      <c r="J154" s="12">
        <f>H128</f>
        <v>74.637499999999989</v>
      </c>
      <c r="K154" s="12">
        <f>H142</f>
        <v>33.074999999999996</v>
      </c>
      <c r="L154" s="12">
        <f>H148</f>
        <v>1.70625</v>
      </c>
    </row>
    <row r="155" spans="1:12" ht="15" x14ac:dyDescent="0.25">
      <c r="A155" s="11" t="s">
        <v>7</v>
      </c>
      <c r="B155" s="12">
        <f>SUM(C9:C16)</f>
        <v>920</v>
      </c>
      <c r="C155" s="12">
        <f>SUM(C19:C30)</f>
        <v>1298</v>
      </c>
      <c r="D155" s="12">
        <v>0</v>
      </c>
      <c r="E155" s="12">
        <v>0</v>
      </c>
      <c r="F155" s="12">
        <v>0</v>
      </c>
      <c r="G155" s="12">
        <v>0</v>
      </c>
      <c r="H155" s="12">
        <v>0</v>
      </c>
      <c r="I155" s="12">
        <v>0</v>
      </c>
      <c r="J155" s="12">
        <v>0</v>
      </c>
      <c r="K155" s="12">
        <v>0</v>
      </c>
      <c r="L155" s="12">
        <v>0</v>
      </c>
    </row>
    <row r="156" spans="1:12" ht="15" x14ac:dyDescent="0.25">
      <c r="A156" s="11" t="s">
        <v>165</v>
      </c>
      <c r="B156" s="12">
        <f>SUM(E9:E16)</f>
        <v>0</v>
      </c>
      <c r="C156" s="12">
        <f>SUM(E19:E30)</f>
        <v>0</v>
      </c>
      <c r="D156" s="12">
        <f>SUM(E33:E44)</f>
        <v>80</v>
      </c>
      <c r="E156" s="12">
        <f>SUM(E47:E58)</f>
        <v>140</v>
      </c>
      <c r="F156" s="12">
        <f>SUM(E61:E72)</f>
        <v>170</v>
      </c>
      <c r="G156" s="12">
        <f>SUM(E75:E86)</f>
        <v>200</v>
      </c>
      <c r="H156" s="12">
        <f>SUM(E89:E100)</f>
        <v>230</v>
      </c>
      <c r="I156" s="12">
        <f>SUM(E103:E114)</f>
        <v>320</v>
      </c>
      <c r="J156" s="12">
        <f>SUM(E117:E128)</f>
        <v>440</v>
      </c>
      <c r="K156" s="12">
        <f>SUM(E131:E142)</f>
        <v>480</v>
      </c>
      <c r="L156" s="12">
        <f>SUM(E145:E148)</f>
        <v>158</v>
      </c>
    </row>
    <row r="157" spans="1:12" ht="15" x14ac:dyDescent="0.25">
      <c r="A157" s="11" t="s">
        <v>166</v>
      </c>
      <c r="B157" s="12">
        <f>B155-B156</f>
        <v>920</v>
      </c>
      <c r="C157" s="12">
        <f t="shared" ref="C157:G157" si="64">B157+C155-C156</f>
        <v>2218</v>
      </c>
      <c r="D157" s="12">
        <f t="shared" si="64"/>
        <v>2138</v>
      </c>
      <c r="E157" s="12">
        <f t="shared" si="64"/>
        <v>1998</v>
      </c>
      <c r="F157" s="12">
        <f t="shared" si="64"/>
        <v>1828</v>
      </c>
      <c r="G157" s="12">
        <f t="shared" si="64"/>
        <v>1628</v>
      </c>
      <c r="H157" s="12">
        <f t="shared" ref="H157" si="65">G157+H155-H156</f>
        <v>1398</v>
      </c>
      <c r="I157" s="12">
        <f t="shared" ref="I157:L157" si="66">H157+I155-I156</f>
        <v>1078</v>
      </c>
      <c r="J157" s="12">
        <f t="shared" si="66"/>
        <v>638</v>
      </c>
      <c r="K157" s="12">
        <f t="shared" si="66"/>
        <v>158</v>
      </c>
      <c r="L157" s="12">
        <f t="shared" si="66"/>
        <v>0</v>
      </c>
    </row>
    <row r="158" spans="1:12" ht="15" x14ac:dyDescent="0.25">
      <c r="A158" s="11" t="s">
        <v>184</v>
      </c>
      <c r="B158" s="12">
        <f t="shared" ref="B158:G158" si="67">C156</f>
        <v>0</v>
      </c>
      <c r="C158" s="12">
        <f t="shared" si="67"/>
        <v>80</v>
      </c>
      <c r="D158" s="12">
        <f t="shared" si="67"/>
        <v>140</v>
      </c>
      <c r="E158" s="12">
        <f t="shared" si="67"/>
        <v>170</v>
      </c>
      <c r="F158" s="12">
        <f t="shared" si="67"/>
        <v>200</v>
      </c>
      <c r="G158" s="12">
        <f t="shared" si="67"/>
        <v>230</v>
      </c>
      <c r="H158" s="12">
        <f t="shared" ref="H158:L158" si="68">I156</f>
        <v>320</v>
      </c>
      <c r="I158" s="12">
        <f t="shared" si="68"/>
        <v>440</v>
      </c>
      <c r="J158" s="12">
        <f t="shared" si="68"/>
        <v>480</v>
      </c>
      <c r="K158" s="12">
        <f t="shared" si="68"/>
        <v>158</v>
      </c>
      <c r="L158" s="12">
        <f t="shared" si="68"/>
        <v>0</v>
      </c>
    </row>
    <row r="159" spans="1:12" ht="15" x14ac:dyDescent="0.25">
      <c r="A159" s="11" t="s">
        <v>185</v>
      </c>
      <c r="B159" s="12">
        <f t="shared" ref="B159:I159" si="69">B157-B158</f>
        <v>920</v>
      </c>
      <c r="C159" s="12">
        <f t="shared" si="69"/>
        <v>2138</v>
      </c>
      <c r="D159" s="12">
        <f t="shared" si="69"/>
        <v>1998</v>
      </c>
      <c r="E159" s="12">
        <f t="shared" si="69"/>
        <v>1828</v>
      </c>
      <c r="F159" s="12">
        <f t="shared" si="69"/>
        <v>1628</v>
      </c>
      <c r="G159" s="12">
        <f t="shared" si="69"/>
        <v>1398</v>
      </c>
      <c r="H159" s="12">
        <f t="shared" si="69"/>
        <v>1078</v>
      </c>
      <c r="I159" s="12">
        <f t="shared" si="69"/>
        <v>638</v>
      </c>
      <c r="J159" s="12">
        <f t="shared" ref="J159:K159" si="70">J157-J158</f>
        <v>158</v>
      </c>
      <c r="K159" s="12">
        <f t="shared" si="70"/>
        <v>0</v>
      </c>
      <c r="L159" s="12">
        <f t="shared" ref="L159" si="71">L157-L158</f>
        <v>0</v>
      </c>
    </row>
    <row r="160" spans="1:12" ht="15" x14ac:dyDescent="0.25">
      <c r="A160" s="48" t="s">
        <v>186</v>
      </c>
      <c r="B160" s="12">
        <f t="shared" ref="B160:I160" si="72">B154+B156</f>
        <v>30.1875</v>
      </c>
      <c r="C160" s="12">
        <f t="shared" si="72"/>
        <v>145.30833333333334</v>
      </c>
      <c r="D160" s="12">
        <f t="shared" si="72"/>
        <v>271.45000000000005</v>
      </c>
      <c r="E160" s="12">
        <f t="shared" si="72"/>
        <v>320.73125000000005</v>
      </c>
      <c r="F160" s="12">
        <f t="shared" si="72"/>
        <v>337.05937499999999</v>
      </c>
      <c r="G160" s="12">
        <f t="shared" si="72"/>
        <v>350.76249999999999</v>
      </c>
      <c r="H160" s="12">
        <f t="shared" si="72"/>
        <v>361.84062499999999</v>
      </c>
      <c r="I160" s="12">
        <f t="shared" si="72"/>
        <v>428.32499999999999</v>
      </c>
      <c r="J160" s="12">
        <f t="shared" ref="J160:K160" si="73">J154+J156</f>
        <v>514.63750000000005</v>
      </c>
      <c r="K160" s="12">
        <f t="shared" si="73"/>
        <v>513.07500000000005</v>
      </c>
      <c r="L160" s="12">
        <f t="shared" ref="L160" si="74">L154+L156</f>
        <v>159.70625000000001</v>
      </c>
    </row>
  </sheetData>
  <mergeCells count="15">
    <mergeCell ref="H145:H147"/>
    <mergeCell ref="H103:H113"/>
    <mergeCell ref="H117:H127"/>
    <mergeCell ref="H89:H99"/>
    <mergeCell ref="A1:H1"/>
    <mergeCell ref="A2:H2"/>
    <mergeCell ref="A3:H3"/>
    <mergeCell ref="G6:H6"/>
    <mergeCell ref="A4:H4"/>
    <mergeCell ref="H33:H43"/>
    <mergeCell ref="H19:H29"/>
    <mergeCell ref="H9:H15"/>
    <mergeCell ref="H47:H57"/>
    <mergeCell ref="H75:H85"/>
    <mergeCell ref="H61:H71"/>
  </mergeCells>
  <printOptions horizontalCentered="1"/>
  <pageMargins left="0.15748031496062992" right="0.23622047244094491" top="0.74803149606299213" bottom="0.74803149606299213" header="0.31496062992125984" footer="0.31496062992125984"/>
  <pageSetup paperSize="9" scale="80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1"/>
  <sheetViews>
    <sheetView topLeftCell="A34" workbookViewId="0">
      <selection activeCell="B49" sqref="B49:L49"/>
    </sheetView>
  </sheetViews>
  <sheetFormatPr defaultRowHeight="15" x14ac:dyDescent="0.25"/>
  <cols>
    <col min="1" max="1" width="31.125" style="14" customWidth="1"/>
    <col min="2" max="4" width="9" style="14"/>
    <col min="5" max="5" width="8.5" style="14" customWidth="1"/>
    <col min="6" max="6" width="8" style="14" customWidth="1"/>
    <col min="7" max="7" width="7.875" style="14" customWidth="1"/>
    <col min="8" max="8" width="8.375" style="14" customWidth="1"/>
    <col min="9" max="11" width="9" style="14"/>
    <col min="12" max="12" width="9.125" style="14" customWidth="1"/>
    <col min="13" max="16384" width="9" style="14"/>
  </cols>
  <sheetData>
    <row r="1" spans="1:14" x14ac:dyDescent="0.25">
      <c r="A1" s="359" t="str">
        <f>'PROJECTED PL &amp; BS'!A1:I1</f>
        <v>Project Report of M/s VAYU SUITES</v>
      </c>
      <c r="B1" s="359"/>
      <c r="C1" s="359"/>
      <c r="D1" s="359"/>
      <c r="E1" s="359"/>
      <c r="F1" s="359"/>
      <c r="G1" s="359"/>
      <c r="H1" s="359"/>
      <c r="I1" s="359"/>
      <c r="J1" s="359"/>
      <c r="K1" s="359"/>
      <c r="L1" s="359"/>
      <c r="M1" s="283"/>
      <c r="N1" s="283"/>
    </row>
    <row r="2" spans="1:14" x14ac:dyDescent="0.25">
      <c r="A2" s="158"/>
      <c r="B2" s="158"/>
      <c r="C2" s="158"/>
      <c r="D2" s="158"/>
      <c r="E2" s="158"/>
      <c r="F2" s="158"/>
      <c r="G2" s="158"/>
    </row>
    <row r="3" spans="1:14" ht="16.5" customHeight="1" x14ac:dyDescent="0.25">
      <c r="A3" s="152" t="s">
        <v>130</v>
      </c>
      <c r="B3" s="152"/>
      <c r="C3" s="152"/>
      <c r="D3" s="152"/>
      <c r="E3" s="152"/>
      <c r="F3" s="152"/>
      <c r="G3" s="152"/>
    </row>
    <row r="4" spans="1:14" ht="15" customHeight="1" x14ac:dyDescent="0.25">
      <c r="A4" s="15" t="s">
        <v>150</v>
      </c>
      <c r="B4" s="109"/>
      <c r="C4" s="109"/>
      <c r="D4" s="109"/>
      <c r="E4" s="107"/>
      <c r="F4" s="52"/>
      <c r="G4" s="107"/>
      <c r="H4" s="107"/>
      <c r="L4" s="116" t="s">
        <v>152</v>
      </c>
    </row>
    <row r="5" spans="1:14" x14ac:dyDescent="0.25">
      <c r="A5" s="62" t="s">
        <v>37</v>
      </c>
      <c r="B5" s="225" t="s">
        <v>160</v>
      </c>
      <c r="C5" s="225" t="s">
        <v>161</v>
      </c>
      <c r="D5" s="225" t="s">
        <v>162</v>
      </c>
      <c r="E5" s="224" t="s">
        <v>163</v>
      </c>
      <c r="F5" s="224" t="s">
        <v>217</v>
      </c>
      <c r="G5" s="227" t="s">
        <v>230</v>
      </c>
      <c r="H5" s="47" t="s">
        <v>234</v>
      </c>
      <c r="I5" s="47" t="s">
        <v>235</v>
      </c>
      <c r="J5" s="47" t="s">
        <v>236</v>
      </c>
      <c r="K5" s="47" t="s">
        <v>281</v>
      </c>
      <c r="L5" s="47" t="s">
        <v>283</v>
      </c>
    </row>
    <row r="6" spans="1:14" x14ac:dyDescent="0.25">
      <c r="A6" s="62" t="s">
        <v>131</v>
      </c>
      <c r="B6" s="117">
        <f>B9/B13</f>
        <v>1.8283352212881814</v>
      </c>
      <c r="C6" s="117">
        <f>C9/C13</f>
        <v>2.0648692932151631</v>
      </c>
      <c r="D6" s="117">
        <f>D9/D13</f>
        <v>1.8914919876470178</v>
      </c>
      <c r="E6" s="117">
        <f t="shared" ref="E6:F6" si="0">E9/E13</f>
        <v>1.5997554120979456</v>
      </c>
      <c r="F6" s="117">
        <f t="shared" si="0"/>
        <v>1.28024524506376</v>
      </c>
      <c r="G6" s="117">
        <f t="shared" ref="G6:I6" si="1">G9/G13</f>
        <v>0.97726012338749491</v>
      </c>
      <c r="H6" s="117">
        <f t="shared" si="1"/>
        <v>0.71230870483841413</v>
      </c>
      <c r="I6" s="117">
        <f t="shared" si="1"/>
        <v>0.4599719080995377</v>
      </c>
      <c r="J6" s="117">
        <f t="shared" ref="J6:K6" si="2">J9/J13</f>
        <v>0.22862983635175352</v>
      </c>
      <c r="K6" s="117">
        <f t="shared" si="2"/>
        <v>4.7767743928139005E-2</v>
      </c>
      <c r="L6" s="117">
        <f t="shared" ref="L6" si="3">L9/L13</f>
        <v>0</v>
      </c>
    </row>
    <row r="7" spans="1:14" x14ac:dyDescent="0.25">
      <c r="A7" s="284"/>
      <c r="B7" s="356"/>
      <c r="C7" s="357"/>
      <c r="D7" s="357"/>
      <c r="E7" s="357"/>
      <c r="F7" s="357"/>
      <c r="G7" s="357"/>
      <c r="H7" s="357"/>
      <c r="I7" s="357"/>
      <c r="J7" s="357"/>
      <c r="K7" s="357"/>
      <c r="L7" s="358"/>
    </row>
    <row r="8" spans="1:14" x14ac:dyDescent="0.25">
      <c r="A8" s="11" t="s">
        <v>132</v>
      </c>
      <c r="B8" s="61">
        <f>'PROJECTED PL &amp; BS'!D46</f>
        <v>920</v>
      </c>
      <c r="C8" s="61">
        <f>'PROJECTED PL &amp; BS'!E46</f>
        <v>2218</v>
      </c>
      <c r="D8" s="61">
        <f>'PROJECTED PL &amp; BS'!F46</f>
        <v>2138</v>
      </c>
      <c r="E8" s="61">
        <f>'PROJECTED PL &amp; BS'!G46</f>
        <v>1998</v>
      </c>
      <c r="F8" s="61">
        <f>'PROJECTED PL &amp; BS'!H46</f>
        <v>1828</v>
      </c>
      <c r="G8" s="61">
        <f>'PROJECTED PL &amp; BS'!I46</f>
        <v>1628</v>
      </c>
      <c r="H8" s="61">
        <f>'PROJECTED PL &amp; BS'!J46</f>
        <v>1398</v>
      </c>
      <c r="I8" s="61">
        <f>'PROJECTED PL &amp; BS'!K46</f>
        <v>1078</v>
      </c>
      <c r="J8" s="61">
        <f>'PROJECTED PL &amp; BS'!L46</f>
        <v>638</v>
      </c>
      <c r="K8" s="61">
        <f>'PROJECTED PL &amp; BS'!M46</f>
        <v>158</v>
      </c>
      <c r="L8" s="61">
        <f>'PROJECTED PL &amp; BS'!N46</f>
        <v>0</v>
      </c>
    </row>
    <row r="9" spans="1:14" x14ac:dyDescent="0.25">
      <c r="A9" s="62" t="s">
        <v>133</v>
      </c>
      <c r="B9" s="68">
        <f t="shared" ref="B9:I9" si="4">B8</f>
        <v>920</v>
      </c>
      <c r="C9" s="68">
        <f t="shared" si="4"/>
        <v>2218</v>
      </c>
      <c r="D9" s="68">
        <f t="shared" si="4"/>
        <v>2138</v>
      </c>
      <c r="E9" s="68">
        <f t="shared" si="4"/>
        <v>1998</v>
      </c>
      <c r="F9" s="68">
        <f t="shared" si="4"/>
        <v>1828</v>
      </c>
      <c r="G9" s="68">
        <f t="shared" si="4"/>
        <v>1628</v>
      </c>
      <c r="H9" s="68">
        <f t="shared" si="4"/>
        <v>1398</v>
      </c>
      <c r="I9" s="68">
        <f t="shared" si="4"/>
        <v>1078</v>
      </c>
      <c r="J9" s="68">
        <f t="shared" ref="J9:K9" si="5">J8</f>
        <v>638</v>
      </c>
      <c r="K9" s="68">
        <f t="shared" si="5"/>
        <v>158</v>
      </c>
      <c r="L9" s="68">
        <f t="shared" ref="L9" si="6">L8</f>
        <v>0</v>
      </c>
    </row>
    <row r="10" spans="1:14" x14ac:dyDescent="0.25">
      <c r="A10" s="284"/>
      <c r="B10" s="356"/>
      <c r="C10" s="357"/>
      <c r="D10" s="357"/>
      <c r="E10" s="357"/>
      <c r="F10" s="357"/>
      <c r="G10" s="357"/>
      <c r="H10" s="357"/>
      <c r="I10" s="357"/>
      <c r="J10" s="357"/>
      <c r="K10" s="357"/>
      <c r="L10" s="358"/>
    </row>
    <row r="11" spans="1:14" x14ac:dyDescent="0.25">
      <c r="A11" s="11" t="s">
        <v>134</v>
      </c>
      <c r="B11" s="61">
        <f>'PROJECTED PL &amp; BS'!D44</f>
        <v>503.19</v>
      </c>
      <c r="C11" s="61">
        <f>'PROJECTED PL &amp; BS'!E44</f>
        <v>1074.1600000000001</v>
      </c>
      <c r="D11" s="61">
        <f>'PROJECTED PL &amp; BS'!F44</f>
        <v>1074.1600000000001</v>
      </c>
      <c r="E11" s="61">
        <f>'PROJECTED PL &amp; BS'!G44</f>
        <v>1074.1600000000001</v>
      </c>
      <c r="F11" s="61">
        <f>'PROJECTED PL &amp; BS'!H44</f>
        <v>1074.1600000000001</v>
      </c>
      <c r="G11" s="61">
        <f>'PROJECTED PL &amp; BS'!I44</f>
        <v>1074.1600000000001</v>
      </c>
      <c r="H11" s="61">
        <f>'PROJECTED PL &amp; BS'!J44</f>
        <v>1074.1600000000001</v>
      </c>
      <c r="I11" s="61">
        <f>'PROJECTED PL &amp; BS'!K44</f>
        <v>1074.1600000000001</v>
      </c>
      <c r="J11" s="61">
        <f>'PROJECTED PL &amp; BS'!L44</f>
        <v>1074.1600000000001</v>
      </c>
      <c r="K11" s="61">
        <f>'PROJECTED PL &amp; BS'!M44</f>
        <v>1074.1600000000001</v>
      </c>
      <c r="L11" s="61">
        <f>'PROJECTED PL &amp; BS'!N44</f>
        <v>1074.1600000000001</v>
      </c>
    </row>
    <row r="12" spans="1:14" x14ac:dyDescent="0.25">
      <c r="A12" s="11" t="s">
        <v>135</v>
      </c>
      <c r="B12" s="61">
        <f>'PROJECTED PL &amp; BS'!D45</f>
        <v>0</v>
      </c>
      <c r="C12" s="61">
        <f>'PROJECTED PL &amp; BS'!E45</f>
        <v>0</v>
      </c>
      <c r="D12" s="61">
        <f>'PROJECTED PL &amp; BS'!F45</f>
        <v>56.164640000000055</v>
      </c>
      <c r="E12" s="61">
        <f>'PROJECTED PL &amp; BS'!G45</f>
        <v>174.78092239999987</v>
      </c>
      <c r="F12" s="61">
        <f>'PROJECTED PL &amp; BS'!H45</f>
        <v>353.69142694199957</v>
      </c>
      <c r="G12" s="61">
        <f>'PROJECTED PL &amp; BS'!I45</f>
        <v>591.72194999385965</v>
      </c>
      <c r="H12" s="61">
        <f>'PROJECTED PL &amp; BS'!J45</f>
        <v>888.47219935959311</v>
      </c>
      <c r="I12" s="61">
        <f>'PROJECTED PL &amp; BS'!K45</f>
        <v>1269.4613843014108</v>
      </c>
      <c r="J12" s="61">
        <f>'PROJECTED PL &amp; BS'!L45</f>
        <v>1716.3769228293495</v>
      </c>
      <c r="K12" s="61">
        <f>'PROJECTED PL &amp; BS'!M45</f>
        <v>2233.5113909221373</v>
      </c>
      <c r="L12" s="61">
        <f>'PROJECTED PL &amp; BS'!N45</f>
        <v>2812.6012324430576</v>
      </c>
    </row>
    <row r="13" spans="1:14" x14ac:dyDescent="0.25">
      <c r="A13" s="62" t="s">
        <v>205</v>
      </c>
      <c r="B13" s="68">
        <f t="shared" ref="B13:D13" si="7">SUM(B11:B12)</f>
        <v>503.19</v>
      </c>
      <c r="C13" s="68">
        <f t="shared" si="7"/>
        <v>1074.1600000000001</v>
      </c>
      <c r="D13" s="68">
        <f t="shared" si="7"/>
        <v>1130.32464</v>
      </c>
      <c r="E13" s="68">
        <f t="shared" ref="E13:F13" si="8">SUM(E11:E12)</f>
        <v>1248.9409223999999</v>
      </c>
      <c r="F13" s="68">
        <f t="shared" si="8"/>
        <v>1427.8514269419998</v>
      </c>
      <c r="G13" s="68">
        <f t="shared" ref="G13:I13" si="9">SUM(G11:G12)</f>
        <v>1665.8819499938597</v>
      </c>
      <c r="H13" s="68">
        <f t="shared" si="9"/>
        <v>1962.6321993595932</v>
      </c>
      <c r="I13" s="68">
        <f t="shared" si="9"/>
        <v>2343.6213843014111</v>
      </c>
      <c r="J13" s="68">
        <f t="shared" ref="J13:K13" si="10">SUM(J11:J12)</f>
        <v>2790.5369228293494</v>
      </c>
      <c r="K13" s="68">
        <f t="shared" si="10"/>
        <v>3307.6713909221371</v>
      </c>
      <c r="L13" s="68">
        <f t="shared" ref="L13" si="11">SUM(L11:L12)</f>
        <v>3886.7612324430575</v>
      </c>
    </row>
    <row r="16" spans="1:14" ht="16.5" customHeight="1" x14ac:dyDescent="0.25">
      <c r="A16" s="15" t="s">
        <v>136</v>
      </c>
      <c r="F16" s="55"/>
      <c r="L16" s="56" t="s">
        <v>152</v>
      </c>
    </row>
    <row r="17" spans="1:12" x14ac:dyDescent="0.25">
      <c r="A17" s="16" t="s">
        <v>37</v>
      </c>
      <c r="B17" s="224" t="s">
        <v>160</v>
      </c>
      <c r="C17" s="226" t="s">
        <v>161</v>
      </c>
      <c r="D17" s="224" t="s">
        <v>162</v>
      </c>
      <c r="E17" s="224" t="s">
        <v>163</v>
      </c>
      <c r="F17" s="224" t="s">
        <v>217</v>
      </c>
      <c r="G17" s="227" t="s">
        <v>230</v>
      </c>
      <c r="H17" s="47" t="s">
        <v>234</v>
      </c>
      <c r="I17" s="47" t="s">
        <v>235</v>
      </c>
      <c r="J17" s="47" t="s">
        <v>236</v>
      </c>
      <c r="K17" s="47" t="s">
        <v>281</v>
      </c>
      <c r="L17" s="47" t="s">
        <v>283</v>
      </c>
    </row>
    <row r="18" spans="1:12" x14ac:dyDescent="0.25">
      <c r="A18" s="73" t="s">
        <v>146</v>
      </c>
      <c r="B18" s="118">
        <f>'PROJECTED PL &amp; BS'!D27</f>
        <v>0</v>
      </c>
      <c r="C18" s="121">
        <f>'PROJECTED PL &amp; BS'!E27</f>
        <v>0</v>
      </c>
      <c r="D18" s="118">
        <f>'PROJECTED PL &amp; BS'!F27</f>
        <v>56.164640000000055</v>
      </c>
      <c r="E18" s="118">
        <f>'PROJECTED PL &amp; BS'!G27</f>
        <v>118.61628239999982</v>
      </c>
      <c r="F18" s="71">
        <f>'PROJECTED PL &amp; BS'!H27</f>
        <v>178.91050454199967</v>
      </c>
      <c r="G18" s="119">
        <f>'PROJECTED PL &amp; BS'!I27</f>
        <v>238.03052305186011</v>
      </c>
      <c r="H18" s="119">
        <f>'PROJECTED PL &amp; BS'!J27</f>
        <v>296.75024936573345</v>
      </c>
      <c r="I18" s="119">
        <f>'PROJECTED PL &amp; BS'!K27</f>
        <v>380.9891849418176</v>
      </c>
      <c r="J18" s="119">
        <f>'PROJECTED PL &amp; BS'!L27</f>
        <v>446.91553852793879</v>
      </c>
      <c r="K18" s="119">
        <f>'PROJECTED PL &amp; BS'!M27</f>
        <v>517.13446809278798</v>
      </c>
      <c r="L18" s="119">
        <f>'PROJECTED PL &amp; BS'!N27</f>
        <v>579.08984152092034</v>
      </c>
    </row>
    <row r="19" spans="1:12" x14ac:dyDescent="0.25">
      <c r="A19" s="73" t="s">
        <v>147</v>
      </c>
      <c r="B19" s="71">
        <f>('PROJECTED PL &amp; BS'!C242-'PROJECTED PL &amp; BS'!C245)/100000</f>
        <v>0</v>
      </c>
      <c r="C19" s="71">
        <f>('PROJECTED PL &amp; BS'!D242-'PROJECTED PL &amp; BS'!D245)/100000</f>
        <v>0</v>
      </c>
      <c r="D19" s="71">
        <f>('PROJECTED PL &amp; BS'!E242-'PROJECTED PL &amp; BS'!E245)/100000</f>
        <v>191.45</v>
      </c>
      <c r="E19" s="71">
        <f>('PROJECTED PL &amp; BS'!F242-'PROJECTED PL &amp; BS'!F245)/100000</f>
        <v>180.73124999999999</v>
      </c>
      <c r="F19" s="71">
        <f>('PROJECTED PL &amp; BS'!G242-'PROJECTED PL &amp; BS'!G245)/100000</f>
        <v>167.05937499999999</v>
      </c>
      <c r="G19" s="71">
        <f>('PROJECTED PL &amp; BS'!H242-'PROJECTED PL &amp; BS'!H245)/100000</f>
        <v>150.76249999999999</v>
      </c>
      <c r="H19" s="71">
        <f>('PROJECTED PL &amp; BS'!I242-'PROJECTED PL &amp; BS'!I245)/100000</f>
        <v>131.84062499999999</v>
      </c>
      <c r="I19" s="71">
        <f>('PROJECTED PL &amp; BS'!J242-'PROJECTED PL &amp; BS'!J245)/100000</f>
        <v>108.32499999999997</v>
      </c>
      <c r="J19" s="71">
        <f>('PROJECTED PL &amp; BS'!K242-'PROJECTED PL &amp; BS'!K245)/100000</f>
        <v>74.637499999999989</v>
      </c>
      <c r="K19" s="71">
        <f>('PROJECTED PL &amp; BS'!L242-'PROJECTED PL &amp; BS'!L245)/100000</f>
        <v>33.074999999999996</v>
      </c>
      <c r="L19" s="71">
        <f>('PROJECTED PL &amp; BS'!M242-'PROJECTED PL &amp; BS'!M245)/100000</f>
        <v>1.70625</v>
      </c>
    </row>
    <row r="20" spans="1:12" x14ac:dyDescent="0.25">
      <c r="A20" s="73" t="s">
        <v>148</v>
      </c>
      <c r="B20" s="71">
        <f>'PROJECTED PL &amp; BS'!D19</f>
        <v>0</v>
      </c>
      <c r="C20" s="71">
        <f>'PROJECTED PL &amp; BS'!E19</f>
        <v>0</v>
      </c>
      <c r="D20" s="71">
        <f>'PROJECTED PL &amp; BS'!F19</f>
        <v>343.43900000000002</v>
      </c>
      <c r="E20" s="71">
        <f>'PROJECTED PL &amp; BS'!G19</f>
        <v>300.27165000000002</v>
      </c>
      <c r="F20" s="71">
        <f>'PROJECTED PL &amp; BS'!H19</f>
        <v>264.33755250000002</v>
      </c>
      <c r="G20" s="120">
        <f>'PROJECTED PL &amp; BS'!I19</f>
        <v>233.83870462499999</v>
      </c>
      <c r="H20" s="120">
        <f>'PROJECTED PL &amp; BS'!J19</f>
        <v>207.57298543125</v>
      </c>
      <c r="I20" s="120">
        <f>'PROJECTED PL &amp; BS'!K19</f>
        <v>184.71020346656252</v>
      </c>
      <c r="J20" s="120">
        <f>'PROJECTED PL &amp; BS'!L19</f>
        <v>164.65597501157814</v>
      </c>
      <c r="K20" s="120">
        <f>'PROJECTED PL &amp; BS'!M19</f>
        <v>146.96852229834144</v>
      </c>
      <c r="L20" s="120">
        <f>'PROJECTED PL &amp; BS'!N19</f>
        <v>131.3074161462402</v>
      </c>
    </row>
    <row r="21" spans="1:12" x14ac:dyDescent="0.25">
      <c r="A21" s="73" t="s">
        <v>149</v>
      </c>
      <c r="B21" s="71">
        <f>'PROJECTED PL &amp; BS'!D15</f>
        <v>0</v>
      </c>
      <c r="C21" s="71">
        <f>'PROJECTED PL &amp; BS'!E15</f>
        <v>0</v>
      </c>
      <c r="D21" s="71">
        <f>'PROJECTED PL &amp; BS'!F15</f>
        <v>34.31</v>
      </c>
      <c r="E21" s="71">
        <f>'PROJECTED PL &amp; BS'!G15</f>
        <v>34.31</v>
      </c>
      <c r="F21" s="71">
        <f>'PROJECTED PL &amp; BS'!H15</f>
        <v>34.31</v>
      </c>
      <c r="G21" s="71">
        <f>'PROJECTED PL &amp; BS'!I15</f>
        <v>34.31</v>
      </c>
      <c r="H21" s="71">
        <f>'PROJECTED PL &amp; BS'!J15</f>
        <v>34.32</v>
      </c>
      <c r="I21" s="71">
        <f>'PROJECTED PL &amp; BS'!K15</f>
        <v>0</v>
      </c>
      <c r="J21" s="71">
        <f>'PROJECTED PL &amp; BS'!L15</f>
        <v>0</v>
      </c>
      <c r="K21" s="71">
        <f>'PROJECTED PL &amp; BS'!M15</f>
        <v>0</v>
      </c>
      <c r="L21" s="71">
        <f>'PROJECTED PL &amp; BS'!N15</f>
        <v>0</v>
      </c>
    </row>
    <row r="22" spans="1:12" x14ac:dyDescent="0.25">
      <c r="A22" s="74" t="s">
        <v>137</v>
      </c>
      <c r="B22" s="75">
        <f>SUM(B18:B20)-B21</f>
        <v>0</v>
      </c>
      <c r="C22" s="75">
        <f t="shared" ref="C22:L22" si="12">SUM(C18:C20)-C21</f>
        <v>0</v>
      </c>
      <c r="D22" s="75">
        <f t="shared" si="12"/>
        <v>556.74364000000014</v>
      </c>
      <c r="E22" s="75">
        <f t="shared" si="12"/>
        <v>565.30918239999983</v>
      </c>
      <c r="F22" s="75">
        <f t="shared" si="12"/>
        <v>575.99743204199967</v>
      </c>
      <c r="G22" s="75">
        <f t="shared" si="12"/>
        <v>588.32172767686006</v>
      </c>
      <c r="H22" s="75">
        <f t="shared" si="12"/>
        <v>601.84385979698334</v>
      </c>
      <c r="I22" s="75">
        <f t="shared" si="12"/>
        <v>674.0243884083801</v>
      </c>
      <c r="J22" s="75">
        <f t="shared" si="12"/>
        <v>686.20901353951683</v>
      </c>
      <c r="K22" s="75">
        <f t="shared" si="12"/>
        <v>697.17799039112947</v>
      </c>
      <c r="L22" s="75">
        <f t="shared" si="12"/>
        <v>712.10350766716056</v>
      </c>
    </row>
    <row r="23" spans="1:12" x14ac:dyDescent="0.25">
      <c r="A23" s="143"/>
      <c r="B23" s="295"/>
      <c r="C23" s="355"/>
      <c r="D23" s="355"/>
      <c r="E23" s="355"/>
      <c r="F23" s="355"/>
      <c r="G23" s="355"/>
      <c r="H23" s="355"/>
      <c r="I23" s="355"/>
      <c r="J23" s="355"/>
      <c r="K23" s="355"/>
      <c r="L23" s="296"/>
    </row>
    <row r="24" spans="1:12" x14ac:dyDescent="0.25">
      <c r="A24" s="73" t="s">
        <v>186</v>
      </c>
      <c r="B24" s="71">
        <v>0</v>
      </c>
      <c r="C24" s="71">
        <v>0</v>
      </c>
      <c r="D24" s="71">
        <f>'Repayment Schedule'!D160</f>
        <v>271.45000000000005</v>
      </c>
      <c r="E24" s="71">
        <f>'Repayment Schedule'!E160</f>
        <v>320.73125000000005</v>
      </c>
      <c r="F24" s="71">
        <f>'Repayment Schedule'!F160</f>
        <v>337.05937499999999</v>
      </c>
      <c r="G24" s="71">
        <f>'Repayment Schedule'!G160</f>
        <v>350.76249999999999</v>
      </c>
      <c r="H24" s="71">
        <f>'Repayment Schedule'!H160</f>
        <v>361.84062499999999</v>
      </c>
      <c r="I24" s="71">
        <f>'Repayment Schedule'!I160</f>
        <v>428.32499999999999</v>
      </c>
      <c r="J24" s="71">
        <f>'Repayment Schedule'!J160</f>
        <v>514.63750000000005</v>
      </c>
      <c r="K24" s="71">
        <f>'Repayment Schedule'!K160</f>
        <v>513.07500000000005</v>
      </c>
      <c r="L24" s="71">
        <f>'Repayment Schedule'!L160</f>
        <v>159.70625000000001</v>
      </c>
    </row>
    <row r="25" spans="1:12" x14ac:dyDescent="0.25">
      <c r="A25" s="74" t="s">
        <v>139</v>
      </c>
      <c r="B25" s="75">
        <f t="shared" ref="B25:I25" si="13">SUM(B24:B24)</f>
        <v>0</v>
      </c>
      <c r="C25" s="75">
        <f t="shared" si="13"/>
        <v>0</v>
      </c>
      <c r="D25" s="75">
        <f t="shared" si="13"/>
        <v>271.45000000000005</v>
      </c>
      <c r="E25" s="75">
        <f t="shared" si="13"/>
        <v>320.73125000000005</v>
      </c>
      <c r="F25" s="75">
        <f t="shared" si="13"/>
        <v>337.05937499999999</v>
      </c>
      <c r="G25" s="75">
        <f t="shared" si="13"/>
        <v>350.76249999999999</v>
      </c>
      <c r="H25" s="75">
        <f t="shared" si="13"/>
        <v>361.84062499999999</v>
      </c>
      <c r="I25" s="75">
        <f t="shared" si="13"/>
        <v>428.32499999999999</v>
      </c>
      <c r="J25" s="75">
        <f t="shared" ref="J25:K25" si="14">SUM(J24:J24)</f>
        <v>514.63750000000005</v>
      </c>
      <c r="K25" s="75">
        <f t="shared" si="14"/>
        <v>513.07500000000005</v>
      </c>
      <c r="L25" s="75">
        <f t="shared" ref="L25" si="15">SUM(L24:L24)</f>
        <v>159.70625000000001</v>
      </c>
    </row>
    <row r="26" spans="1:12" x14ac:dyDescent="0.25">
      <c r="A26" s="142"/>
      <c r="B26" s="356"/>
      <c r="C26" s="357"/>
      <c r="D26" s="357"/>
      <c r="E26" s="357"/>
      <c r="F26" s="357"/>
      <c r="G26" s="357"/>
      <c r="H26" s="357"/>
      <c r="I26" s="357"/>
      <c r="J26" s="357"/>
      <c r="K26" s="357"/>
      <c r="L26" s="358"/>
    </row>
    <row r="27" spans="1:12" x14ac:dyDescent="0.25">
      <c r="A27" s="16" t="s">
        <v>140</v>
      </c>
      <c r="B27" s="75">
        <v>0</v>
      </c>
      <c r="C27" s="75">
        <v>0</v>
      </c>
      <c r="D27" s="75">
        <f t="shared" ref="D27:I27" si="16">D22/D25</f>
        <v>2.0509988579848959</v>
      </c>
      <c r="E27" s="75">
        <f t="shared" si="16"/>
        <v>1.7625634620885859</v>
      </c>
      <c r="F27" s="75">
        <f t="shared" si="16"/>
        <v>1.7088901088777004</v>
      </c>
      <c r="G27" s="75">
        <f t="shared" si="16"/>
        <v>1.6772651799347424</v>
      </c>
      <c r="H27" s="75">
        <f t="shared" si="16"/>
        <v>1.6632843805114015</v>
      </c>
      <c r="I27" s="75">
        <f t="shared" si="16"/>
        <v>1.5736284092882278</v>
      </c>
      <c r="J27" s="75">
        <f t="shared" ref="J27:K27" si="17">J22/J25</f>
        <v>1.3333832329348654</v>
      </c>
      <c r="K27" s="75">
        <f t="shared" si="17"/>
        <v>1.3588227654653402</v>
      </c>
      <c r="L27" s="75">
        <f t="shared" ref="L27" si="18">L22/L25</f>
        <v>4.4588330617440493</v>
      </c>
    </row>
    <row r="28" spans="1:12" x14ac:dyDescent="0.25">
      <c r="A28" s="356"/>
      <c r="B28" s="357"/>
      <c r="C28" s="357"/>
      <c r="D28" s="357"/>
      <c r="E28" s="357"/>
      <c r="F28" s="357"/>
      <c r="G28" s="357"/>
      <c r="H28" s="357"/>
      <c r="I28" s="357"/>
      <c r="J28" s="357"/>
      <c r="K28" s="357"/>
      <c r="L28" s="358"/>
    </row>
    <row r="29" spans="1:12" x14ac:dyDescent="0.25">
      <c r="A29" s="62" t="s">
        <v>284</v>
      </c>
      <c r="B29" s="352">
        <f>SUM(B22:L22)/SUM(B25:L25)</f>
        <v>1.73678550213065</v>
      </c>
      <c r="C29" s="353"/>
      <c r="D29" s="353"/>
      <c r="E29" s="353"/>
      <c r="F29" s="353"/>
      <c r="G29" s="353"/>
      <c r="H29" s="353"/>
      <c r="I29" s="353"/>
      <c r="J29" s="353"/>
      <c r="K29" s="353"/>
      <c r="L29" s="354"/>
    </row>
    <row r="31" spans="1:12" x14ac:dyDescent="0.25">
      <c r="A31" s="15" t="s">
        <v>197</v>
      </c>
      <c r="B31" s="51"/>
      <c r="C31" s="51"/>
      <c r="D31" s="51"/>
      <c r="F31" s="55"/>
      <c r="H31" s="55"/>
      <c r="L31" s="56" t="s">
        <v>152</v>
      </c>
    </row>
    <row r="32" spans="1:12" x14ac:dyDescent="0.25">
      <c r="A32" s="16" t="s">
        <v>37</v>
      </c>
      <c r="B32" s="267" t="s">
        <v>160</v>
      </c>
      <c r="C32" s="224" t="s">
        <v>161</v>
      </c>
      <c r="D32" s="224" t="s">
        <v>162</v>
      </c>
      <c r="E32" s="224" t="s">
        <v>163</v>
      </c>
      <c r="F32" s="227" t="s">
        <v>217</v>
      </c>
      <c r="G32" s="227" t="s">
        <v>230</v>
      </c>
      <c r="H32" s="47" t="s">
        <v>234</v>
      </c>
      <c r="I32" s="47" t="s">
        <v>235</v>
      </c>
      <c r="J32" s="47" t="s">
        <v>236</v>
      </c>
      <c r="K32" s="47" t="s">
        <v>281</v>
      </c>
      <c r="L32" s="47" t="s">
        <v>283</v>
      </c>
    </row>
    <row r="33" spans="1:12" x14ac:dyDescent="0.25">
      <c r="A33" s="58" t="s">
        <v>198</v>
      </c>
      <c r="B33" s="117">
        <v>0</v>
      </c>
      <c r="C33" s="117">
        <f t="shared" ref="C33:E33" si="19">C35/C36</f>
        <v>5.2083333332575418E-5</v>
      </c>
      <c r="D33" s="117">
        <f t="shared" si="19"/>
        <v>2.0493883083966948</v>
      </c>
      <c r="E33" s="117">
        <f t="shared" si="19"/>
        <v>3.0421301362472417</v>
      </c>
      <c r="F33" s="122">
        <f t="shared" ref="F33:G33" si="20">F35/F36</f>
        <v>3.7235051192120192</v>
      </c>
      <c r="G33" s="122">
        <f t="shared" si="20"/>
        <v>4.2125371397558222</v>
      </c>
      <c r="H33" s="122">
        <f t="shared" ref="H33:I33" si="21">H35/H36</f>
        <v>3.9408271371907646</v>
      </c>
      <c r="I33" s="122">
        <f t="shared" si="21"/>
        <v>3.4544722252359836</v>
      </c>
      <c r="J33" s="122">
        <f t="shared" ref="J33:K33" si="22">J35/J36</f>
        <v>3.4511810819760242</v>
      </c>
      <c r="K33" s="122">
        <f t="shared" si="22"/>
        <v>7.4693700503501752</v>
      </c>
      <c r="L33" s="122">
        <f t="shared" ref="L33" si="23">L35/L36</f>
        <v>16.699138197257042</v>
      </c>
    </row>
    <row r="34" spans="1:12" x14ac:dyDescent="0.25">
      <c r="A34" s="95"/>
      <c r="B34" s="340"/>
      <c r="C34" s="341"/>
      <c r="D34" s="341"/>
      <c r="E34" s="341"/>
      <c r="F34" s="341"/>
      <c r="G34" s="341"/>
      <c r="H34" s="341"/>
      <c r="I34" s="341"/>
      <c r="J34" s="341"/>
      <c r="K34" s="341"/>
      <c r="L34" s="342"/>
    </row>
    <row r="35" spans="1:12" x14ac:dyDescent="0.25">
      <c r="A35" s="58" t="s">
        <v>201</v>
      </c>
      <c r="B35" s="68">
        <f>'PROJECTED PL &amp; BS'!D55+'PROJECTED PL &amp; BS'!D56+'PROJECTED PL &amp; BS'!D57</f>
        <v>2.5000000000545697E-3</v>
      </c>
      <c r="C35" s="68">
        <f>'PROJECTED PL &amp; BS'!E55+'PROJECTED PL &amp; BS'!E56+'PROJECTED PL &amp; BS'!E57</f>
        <v>4.1666666666060337E-3</v>
      </c>
      <c r="D35" s="68">
        <f>'PROJECTED PL &amp; BS'!F55+'PROJECTED PL &amp; BS'!F56+'PROJECTED PL &amp; BS'!F57</f>
        <v>417.76780666666622</v>
      </c>
      <c r="E35" s="68">
        <f>'PROJECTED PL &amp; BS'!G55+'PROJECTED PL &amp; BS'!G56+'PROJECTED PL &amp; BS'!G57</f>
        <v>740.5457390666661</v>
      </c>
      <c r="F35" s="68">
        <f>'PROJECTED PL &amp; BS'!H55+'PROJECTED PL &amp; BS'!H56+'PROJECTED PL &amp; BS'!H57</f>
        <v>1059.1137961086667</v>
      </c>
      <c r="G35" s="68">
        <f>'PROJECTED PL &amp; BS'!I55+'PROJECTED PL &amp; BS'!I56+'PROJECTED PL &amp; BS'!I57</f>
        <v>1377.9630237855272</v>
      </c>
      <c r="H35" s="68">
        <f>'PROJECTED PL &amp; BS'!J55+'PROJECTED PL &amp; BS'!J56+'PROJECTED PL &amp; BS'!J57</f>
        <v>1701.1762585825093</v>
      </c>
      <c r="I35" s="68">
        <f>'PROJECTED PL &amp; BS'!K55+'PROJECTED PL &amp; BS'!K56+'PROJECTED PL &amp; BS'!K57</f>
        <v>1963.6256469908903</v>
      </c>
      <c r="J35" s="68">
        <f>'PROJECTED PL &amp; BS'!L55+'PROJECTED PL &amp; BS'!L56+'PROJECTED PL &amp; BS'!L57</f>
        <v>2149.6371605304062</v>
      </c>
      <c r="K35" s="68">
        <f>'PROJECTED PL &amp; BS'!M55+'PROJECTED PL &amp; BS'!M56+'PROJECTED PL &amp; BS'!M57</f>
        <v>2347.1001509215357</v>
      </c>
      <c r="L35" s="68">
        <f>'PROJECTED PL &amp; BS'!N55+'PROJECTED PL &amp; BS'!N56+'PROJECTED PL &amp; BS'!N57</f>
        <v>2918.0074085886959</v>
      </c>
    </row>
    <row r="36" spans="1:12" ht="30" x14ac:dyDescent="0.25">
      <c r="A36" s="59" t="s">
        <v>202</v>
      </c>
      <c r="B36" s="68">
        <f>'PROJECTED PL &amp; BS'!D48+'Repayment Schedule'!B158</f>
        <v>0</v>
      </c>
      <c r="C36" s="68">
        <f>'PROJECTED PL &amp; BS'!E48+'Repayment Schedule'!C158</f>
        <v>80</v>
      </c>
      <c r="D36" s="68">
        <f>'PROJECTED PL &amp; BS'!F48+'Repayment Schedule'!D158</f>
        <v>203.85</v>
      </c>
      <c r="E36" s="68">
        <f>'PROJECTED PL &amp; BS'!G48+'Repayment Schedule'!E158</f>
        <v>243.43</v>
      </c>
      <c r="F36" s="68">
        <f>'PROJECTED PL &amp; BS'!H48+'Repayment Schedule'!F158</f>
        <v>284.44</v>
      </c>
      <c r="G36" s="68">
        <f>'PROJECTED PL &amp; BS'!I48+'Repayment Schedule'!G158</f>
        <v>327.11</v>
      </c>
      <c r="H36" s="68">
        <f>'PROJECTED PL &amp; BS'!J48+'Repayment Schedule'!H158</f>
        <v>431.68</v>
      </c>
      <c r="I36" s="68">
        <f>'PROJECTED PL &amp; BS'!K48+'Repayment Schedule'!I158</f>
        <v>568.43000000000006</v>
      </c>
      <c r="J36" s="68">
        <f>'PROJECTED PL &amp; BS'!L48+'Repayment Schedule'!J158</f>
        <v>622.87</v>
      </c>
      <c r="K36" s="68">
        <f>'PROJECTED PL &amp; BS'!M48+'Repayment Schedule'!K158</f>
        <v>314.23</v>
      </c>
      <c r="L36" s="68">
        <f>'PROJECTED PL &amp; BS'!N48+'Repayment Schedule'!L158</f>
        <v>174.74</v>
      </c>
    </row>
    <row r="37" spans="1:12" x14ac:dyDescent="0.25">
      <c r="B37" s="53"/>
      <c r="C37" s="53"/>
      <c r="D37" s="53"/>
      <c r="E37" s="53"/>
      <c r="F37" s="53"/>
      <c r="G37" s="53"/>
      <c r="H37" s="53"/>
      <c r="I37" s="53"/>
      <c r="J37" s="53"/>
      <c r="K37" s="53"/>
    </row>
    <row r="39" spans="1:12" x14ac:dyDescent="0.25">
      <c r="A39" s="15" t="s">
        <v>199</v>
      </c>
      <c r="C39" s="55"/>
      <c r="E39" s="55"/>
      <c r="H39" s="56"/>
      <c r="I39" s="56"/>
      <c r="J39" s="56"/>
      <c r="L39" s="56" t="s">
        <v>152</v>
      </c>
    </row>
    <row r="40" spans="1:12" x14ac:dyDescent="0.25">
      <c r="A40" s="16" t="s">
        <v>37</v>
      </c>
      <c r="B40" s="269" t="s">
        <v>160</v>
      </c>
      <c r="C40" s="227" t="s">
        <v>161</v>
      </c>
      <c r="D40" s="226" t="s">
        <v>162</v>
      </c>
      <c r="E40" s="224" t="s">
        <v>163</v>
      </c>
      <c r="F40" s="224" t="s">
        <v>217</v>
      </c>
      <c r="G40" s="227" t="s">
        <v>230</v>
      </c>
      <c r="H40" s="47" t="s">
        <v>234</v>
      </c>
      <c r="I40" s="47" t="s">
        <v>235</v>
      </c>
      <c r="J40" s="47" t="s">
        <v>236</v>
      </c>
      <c r="K40" s="47" t="s">
        <v>281</v>
      </c>
      <c r="L40" s="47" t="s">
        <v>283</v>
      </c>
    </row>
    <row r="41" spans="1:12" x14ac:dyDescent="0.25">
      <c r="A41" s="58" t="s">
        <v>200</v>
      </c>
      <c r="B41" s="124">
        <f t="shared" ref="B41" si="24">B43/B44</f>
        <v>1.9450214322334449</v>
      </c>
      <c r="C41" s="124">
        <f t="shared" ref="C41:E41" si="25">C43/C44</f>
        <v>2.4681077562344851</v>
      </c>
      <c r="D41" s="124">
        <f t="shared" si="25"/>
        <v>2.2260273130119028</v>
      </c>
      <c r="E41" s="123">
        <f t="shared" si="25"/>
        <v>1.813758269848561</v>
      </c>
      <c r="F41" s="123">
        <f t="shared" ref="F41:G41" si="26">F43/F44</f>
        <v>1.4110974166764514</v>
      </c>
      <c r="G41" s="76">
        <f t="shared" si="26"/>
        <v>1.0598932901982954</v>
      </c>
      <c r="H41" s="76">
        <f t="shared" ref="H41:I41" si="27">H43/H44</f>
        <v>0.77075754373445338</v>
      </c>
      <c r="I41" s="76">
        <f t="shared" si="27"/>
        <v>0.51563766742108685</v>
      </c>
      <c r="J41" s="76">
        <f t="shared" ref="J41:K41" si="28">J43/J44</f>
        <v>0.28022310152086677</v>
      </c>
      <c r="K41" s="76">
        <f t="shared" si="28"/>
        <v>9.5113544810873862E-2</v>
      </c>
      <c r="L41" s="76">
        <f t="shared" ref="L41" si="29">L43/L44</f>
        <v>4.5003311258874884E-2</v>
      </c>
    </row>
    <row r="42" spans="1:12" x14ac:dyDescent="0.25">
      <c r="A42" s="95"/>
      <c r="B42" s="340"/>
      <c r="C42" s="341"/>
      <c r="D42" s="341"/>
      <c r="E42" s="341"/>
      <c r="F42" s="341"/>
      <c r="G42" s="341"/>
      <c r="H42" s="341"/>
      <c r="I42" s="341"/>
      <c r="J42" s="341"/>
      <c r="K42" s="341"/>
      <c r="L42" s="342"/>
    </row>
    <row r="43" spans="1:12" x14ac:dyDescent="0.25">
      <c r="A43" s="58" t="s">
        <v>203</v>
      </c>
      <c r="B43" s="76">
        <f>'PROJECTED PL &amp; BS'!D46+'PROJECTED PL &amp; BS'!D47+'PROJECTED PL &amp; BS'!D48</f>
        <v>920</v>
      </c>
      <c r="C43" s="76">
        <f>'PROJECTED PL &amp; BS'!E46+'PROJECTED PL &amp; BS'!E47+'PROJECTED PL &amp; BS'!E48</f>
        <v>2218</v>
      </c>
      <c r="D43" s="76">
        <f>'PROJECTED PL &amp; BS'!F46+'PROJECTED PL &amp; BS'!F47+'PROJECTED PL &amp; BS'!F48</f>
        <v>2201.85</v>
      </c>
      <c r="E43" s="76">
        <f>'PROJECTED PL &amp; BS'!G46+'PROJECTED PL &amp; BS'!G47+'PROJECTED PL &amp; BS'!G48</f>
        <v>2071.4299999999998</v>
      </c>
      <c r="F43" s="76">
        <f>'PROJECTED PL &amp; BS'!H46+'PROJECTED PL &amp; BS'!H47+'PROJECTED PL &amp; BS'!H48</f>
        <v>1912.44</v>
      </c>
      <c r="G43" s="76">
        <f>'PROJECTED PL &amp; BS'!I46+'PROJECTED PL &amp; BS'!I47+'PROJECTED PL &amp; BS'!I48</f>
        <v>1725.11</v>
      </c>
      <c r="H43" s="76">
        <f>'PROJECTED PL &amp; BS'!J46+'PROJECTED PL &amp; BS'!J47+'PROJECTED PL &amp; BS'!J48</f>
        <v>1509.68</v>
      </c>
      <c r="I43" s="76">
        <f>'PROJECTED PL &amp; BS'!K46+'PROJECTED PL &amp; BS'!K47+'PROJECTED PL &amp; BS'!K48</f>
        <v>1206.43</v>
      </c>
      <c r="J43" s="76">
        <f>'PROJECTED PL &amp; BS'!L46+'PROJECTED PL &amp; BS'!L47+'PROJECTED PL &amp; BS'!L48</f>
        <v>780.87</v>
      </c>
      <c r="K43" s="76">
        <f>'PROJECTED PL &amp; BS'!M46+'PROJECTED PL &amp; BS'!M47+'PROJECTED PL &amp; BS'!M48</f>
        <v>314.23</v>
      </c>
      <c r="L43" s="76">
        <f>'PROJECTED PL &amp; BS'!N46+'PROJECTED PL &amp; BS'!N47+'PROJECTED PL &amp; BS'!N48</f>
        <v>174.74</v>
      </c>
    </row>
    <row r="44" spans="1:12" x14ac:dyDescent="0.25">
      <c r="A44" s="58" t="s">
        <v>204</v>
      </c>
      <c r="B44" s="76">
        <f>'PROJECTED PL &amp; BS'!D44+'PROJECTED PL &amp; BS'!D45-'PROJECTED PL &amp; BS'!D58</f>
        <v>473.0025</v>
      </c>
      <c r="C44" s="76">
        <f>'PROJECTED PL &amp; BS'!E44+'PROJECTED PL &amp; BS'!E45-'PROJECTED PL &amp; BS'!E58</f>
        <v>898.66416666666669</v>
      </c>
      <c r="D44" s="76">
        <f>'PROJECTED PL &amp; BS'!F44+'PROJECTED PL &amp; BS'!F45-'PROJECTED PL &amp; BS'!F58</f>
        <v>989.13880666666671</v>
      </c>
      <c r="E44" s="76">
        <f>'PROJECTED PL &amp; BS'!G44+'PROJECTED PL &amp; BS'!G45-'PROJECTED PL &amp; BS'!G58</f>
        <v>1142.0650890666666</v>
      </c>
      <c r="F44" s="76">
        <f>'PROJECTED PL &amp; BS'!H44+'PROJECTED PL &amp; BS'!H45-'PROJECTED PL &amp; BS'!H58</f>
        <v>1355.2855936086664</v>
      </c>
      <c r="G44" s="76">
        <f>'PROJECTED PL &amp; BS'!I44+'PROJECTED PL &amp; BS'!I45-'PROJECTED PL &amp; BS'!I58</f>
        <v>1627.6261166605263</v>
      </c>
      <c r="H44" s="76">
        <f>'PROJECTED PL &amp; BS'!J44+'PROJECTED PL &amp; BS'!J45-'PROJECTED PL &amp; BS'!J58</f>
        <v>1958.69636602626</v>
      </c>
      <c r="I44" s="76">
        <f>'PROJECTED PL &amp; BS'!K44+'PROJECTED PL &amp; BS'!K45-'PROJECTED PL &amp; BS'!K58</f>
        <v>2339.6855509680777</v>
      </c>
      <c r="J44" s="76">
        <f>'PROJECTED PL &amp; BS'!L44+'PROJECTED PL &amp; BS'!L45-'PROJECTED PL &amp; BS'!L58</f>
        <v>2786.6010894960159</v>
      </c>
      <c r="K44" s="76">
        <f>'PROJECTED PL &amp; BS'!M44+'PROJECTED PL &amp; BS'!M45-'PROJECTED PL &amp; BS'!M58</f>
        <v>3303.7355575888037</v>
      </c>
      <c r="L44" s="76">
        <f>'PROJECTED PL &amp; BS'!N44+'PROJECTED PL &amp; BS'!N45-'PROJECTED PL &amp; BS'!N58</f>
        <v>3882.825399109724</v>
      </c>
    </row>
    <row r="46" spans="1:12" x14ac:dyDescent="0.25">
      <c r="A46" s="15" t="s">
        <v>306</v>
      </c>
      <c r="D46" s="55"/>
      <c r="F46" s="55"/>
      <c r="I46" s="56"/>
      <c r="J46" s="56"/>
      <c r="K46" s="56"/>
      <c r="L46" s="56" t="s">
        <v>152</v>
      </c>
    </row>
    <row r="47" spans="1:12" x14ac:dyDescent="0.25">
      <c r="A47" s="16" t="s">
        <v>37</v>
      </c>
      <c r="B47" s="269" t="s">
        <v>160</v>
      </c>
      <c r="C47" s="269" t="s">
        <v>161</v>
      </c>
      <c r="D47" s="268" t="s">
        <v>162</v>
      </c>
      <c r="E47" s="267" t="s">
        <v>163</v>
      </c>
      <c r="F47" s="267" t="s">
        <v>217</v>
      </c>
      <c r="G47" s="269" t="s">
        <v>230</v>
      </c>
      <c r="H47" s="47" t="s">
        <v>234</v>
      </c>
      <c r="I47" s="47" t="s">
        <v>235</v>
      </c>
      <c r="J47" s="47" t="s">
        <v>236</v>
      </c>
      <c r="K47" s="47" t="s">
        <v>281</v>
      </c>
      <c r="L47" s="47" t="s">
        <v>283</v>
      </c>
    </row>
    <row r="48" spans="1:12" x14ac:dyDescent="0.25">
      <c r="A48" s="58" t="s">
        <v>307</v>
      </c>
      <c r="B48" s="124">
        <f t="shared" ref="B48" si="30">B50/B51</f>
        <v>1.5141304347826088</v>
      </c>
      <c r="C48" s="124">
        <f t="shared" ref="C48:K48" si="31">C50/C51</f>
        <v>1.4051668169522091</v>
      </c>
      <c r="D48" s="124">
        <f t="shared" si="31"/>
        <v>1.2971099158091675</v>
      </c>
      <c r="E48" s="123">
        <f t="shared" si="31"/>
        <v>1.2377123873873876</v>
      </c>
      <c r="F48" s="123">
        <f t="shared" si="31"/>
        <v>1.2082121430525163</v>
      </c>
      <c r="G48" s="76">
        <f t="shared" si="31"/>
        <v>1.213005585304054</v>
      </c>
      <c r="H48" s="76">
        <f t="shared" si="31"/>
        <v>1.2640916362258583</v>
      </c>
      <c r="I48" s="76">
        <f t="shared" si="31"/>
        <v>1.4679869239120478</v>
      </c>
      <c r="J48" s="76">
        <f t="shared" si="31"/>
        <v>2.2223102334884159</v>
      </c>
      <c r="K48" s="76">
        <f t="shared" si="31"/>
        <v>8.0434519409320764</v>
      </c>
      <c r="L48" s="76" t="s">
        <v>3</v>
      </c>
    </row>
    <row r="49" spans="1:12" x14ac:dyDescent="0.25">
      <c r="A49" s="95"/>
      <c r="B49" s="340"/>
      <c r="C49" s="341"/>
      <c r="D49" s="341"/>
      <c r="E49" s="341"/>
      <c r="F49" s="341"/>
      <c r="G49" s="341"/>
      <c r="H49" s="341"/>
      <c r="I49" s="341"/>
      <c r="J49" s="341"/>
      <c r="K49" s="341"/>
      <c r="L49" s="342"/>
    </row>
    <row r="50" spans="1:12" x14ac:dyDescent="0.25">
      <c r="A50" s="58" t="s">
        <v>308</v>
      </c>
      <c r="B50" s="76">
        <f>Depreciation!D48</f>
        <v>1393</v>
      </c>
      <c r="C50" s="76">
        <f>Depreciation!E48</f>
        <v>3116.66</v>
      </c>
      <c r="D50" s="76">
        <f>Depreciation!F48</f>
        <v>2773.221</v>
      </c>
      <c r="E50" s="76">
        <f>Depreciation!G48</f>
        <v>2472.9493500000003</v>
      </c>
      <c r="F50" s="76">
        <f>Depreciation!H48</f>
        <v>2208.6117974999997</v>
      </c>
      <c r="G50" s="76">
        <f>Depreciation!I48</f>
        <v>1974.7730928749997</v>
      </c>
      <c r="H50" s="76">
        <f>Depreciation!J48</f>
        <v>1767.2001074437499</v>
      </c>
      <c r="I50" s="76">
        <f>Depreciation!K48</f>
        <v>1582.4899039771874</v>
      </c>
      <c r="J50" s="76">
        <f>Depreciation!L48</f>
        <v>1417.8339289656094</v>
      </c>
      <c r="K50" s="76">
        <f>Depreciation!M48</f>
        <v>1270.865406667268</v>
      </c>
      <c r="L50" s="76">
        <f>Depreciation!N48</f>
        <v>1139.5579905210277</v>
      </c>
    </row>
    <row r="51" spans="1:12" x14ac:dyDescent="0.25">
      <c r="A51" s="58" t="s">
        <v>309</v>
      </c>
      <c r="B51" s="76">
        <f>'Repayment Schedule'!B157</f>
        <v>920</v>
      </c>
      <c r="C51" s="76">
        <f>'Repayment Schedule'!C157</f>
        <v>2218</v>
      </c>
      <c r="D51" s="76">
        <f>'Repayment Schedule'!D157</f>
        <v>2138</v>
      </c>
      <c r="E51" s="76">
        <f>'Repayment Schedule'!E157</f>
        <v>1998</v>
      </c>
      <c r="F51" s="76">
        <f>'Repayment Schedule'!F157</f>
        <v>1828</v>
      </c>
      <c r="G51" s="76">
        <f>'Repayment Schedule'!G157</f>
        <v>1628</v>
      </c>
      <c r="H51" s="76">
        <f>'Repayment Schedule'!H157</f>
        <v>1398</v>
      </c>
      <c r="I51" s="76">
        <f>'Repayment Schedule'!I157</f>
        <v>1078</v>
      </c>
      <c r="J51" s="76">
        <f>'Repayment Schedule'!J157</f>
        <v>638</v>
      </c>
      <c r="K51" s="76">
        <f>'Repayment Schedule'!K157</f>
        <v>158</v>
      </c>
      <c r="L51" s="76">
        <f>'Repayment Schedule'!L157</f>
        <v>0</v>
      </c>
    </row>
  </sheetData>
  <mergeCells count="10">
    <mergeCell ref="A1:L1"/>
    <mergeCell ref="B7:L7"/>
    <mergeCell ref="B10:L10"/>
    <mergeCell ref="B34:L34"/>
    <mergeCell ref="B42:L42"/>
    <mergeCell ref="B49:L49"/>
    <mergeCell ref="B29:L29"/>
    <mergeCell ref="B23:L23"/>
    <mergeCell ref="B26:L26"/>
    <mergeCell ref="A28:L28"/>
  </mergeCells>
  <printOptions horizontalCentered="1"/>
  <pageMargins left="0.27559055118110237" right="0.31496062992125984" top="0.74803149606299213" bottom="0.74803149606299213" header="0.31496062992125984" footer="0.31496062992125984"/>
  <pageSetup paperSize="9" scale="6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workbookViewId="0">
      <selection activeCell="C13" sqref="C13"/>
    </sheetView>
  </sheetViews>
  <sheetFormatPr defaultRowHeight="15" x14ac:dyDescent="0.25"/>
  <cols>
    <col min="1" max="1" width="6.875" style="14" customWidth="1"/>
    <col min="2" max="2" width="24" style="14" customWidth="1"/>
    <col min="3" max="3" width="9.875" style="14" customWidth="1"/>
    <col min="4" max="4" width="11" style="14" customWidth="1"/>
    <col min="5" max="5" width="12.75" style="14" customWidth="1"/>
    <col min="6" max="6" width="12.875" style="14" customWidth="1"/>
    <col min="7" max="16384" width="9" style="14"/>
  </cols>
  <sheetData>
    <row r="1" spans="1:7" ht="21" x14ac:dyDescent="0.35">
      <c r="A1" s="292" t="str">
        <f>COP!A1</f>
        <v>M/s VAYU SUITES</v>
      </c>
      <c r="B1" s="292"/>
      <c r="C1" s="292"/>
      <c r="D1" s="292"/>
      <c r="E1" s="292"/>
      <c r="F1" s="292"/>
    </row>
    <row r="2" spans="1:7" x14ac:dyDescent="0.25">
      <c r="A2" s="293" t="str">
        <f>COP!A2</f>
        <v>NEW HOTEL PROJECT</v>
      </c>
      <c r="B2" s="293"/>
      <c r="C2" s="293"/>
      <c r="D2" s="293"/>
      <c r="E2" s="293"/>
      <c r="F2" s="293"/>
    </row>
    <row r="3" spans="1:7" ht="36.75" customHeight="1" x14ac:dyDescent="0.25">
      <c r="A3" s="294" t="str">
        <f>COP!A3</f>
        <v xml:space="preserve">REG. ADDRESS : -LOBBY LEVEL, INSIDE HOTEL VISHNUPRIYA, 9, GULAB BAGH ROAD, UDAIPUR, RAJASTHAN, 313001 </v>
      </c>
      <c r="B3" s="294"/>
      <c r="C3" s="294"/>
      <c r="D3" s="294"/>
      <c r="E3" s="294"/>
      <c r="F3" s="294"/>
    </row>
    <row r="4" spans="1:7" ht="36.75" customHeight="1" x14ac:dyDescent="0.25">
      <c r="A4" s="297" t="str">
        <f>COP!A4</f>
        <v>UNIT ADDRESS : -KHASARA NO. 579/546, REVENUE VILLAGE-SENA, TEHSIL-BALI, DISTRICT-PALI, RAJASTHAN</v>
      </c>
      <c r="B4" s="297"/>
      <c r="C4" s="297"/>
      <c r="D4" s="297"/>
      <c r="E4" s="297"/>
      <c r="F4" s="297"/>
    </row>
    <row r="5" spans="1:7" x14ac:dyDescent="0.25">
      <c r="A5" s="15" t="s">
        <v>174</v>
      </c>
    </row>
    <row r="6" spans="1:7" x14ac:dyDescent="0.25">
      <c r="F6" s="15" t="s">
        <v>180</v>
      </c>
    </row>
    <row r="7" spans="1:7" x14ac:dyDescent="0.25">
      <c r="A7" s="95" t="s">
        <v>154</v>
      </c>
      <c r="B7" s="95" t="s">
        <v>21</v>
      </c>
      <c r="C7" s="95" t="s">
        <v>176</v>
      </c>
      <c r="D7" s="95" t="s">
        <v>177</v>
      </c>
      <c r="E7" s="95" t="s">
        <v>178</v>
      </c>
      <c r="F7" s="95" t="s">
        <v>179</v>
      </c>
    </row>
    <row r="8" spans="1:7" ht="37.5" customHeight="1" x14ac:dyDescent="0.25">
      <c r="A8" s="35">
        <v>1</v>
      </c>
      <c r="B8" s="102" t="str">
        <f>COP!B9</f>
        <v>BUILDING (COST OF CONSTRUCTION)</v>
      </c>
      <c r="C8" s="71">
        <f>(525+900+60+100)+(525+900+60+100)*0.18</f>
        <v>1870.3</v>
      </c>
      <c r="D8" s="101">
        <f>E8/C8</f>
        <v>0.33762497994974072</v>
      </c>
      <c r="E8" s="71">
        <f>C8-F8</f>
        <v>631.46</v>
      </c>
      <c r="F8" s="71">
        <v>1238.8399999999999</v>
      </c>
      <c r="G8" s="285"/>
    </row>
    <row r="9" spans="1:7" x14ac:dyDescent="0.25">
      <c r="A9" s="35">
        <v>2</v>
      </c>
      <c r="B9" s="11" t="str">
        <f>COP!B10</f>
        <v>FURNITURE &amp; FIXTURES</v>
      </c>
      <c r="C9" s="12">
        <f>(280+300+20)+((280+300+20)*0.18)</f>
        <v>708</v>
      </c>
      <c r="D9" s="17">
        <v>0.1</v>
      </c>
      <c r="E9" s="71">
        <f t="shared" ref="E9:E10" si="0">C9*D9</f>
        <v>70.8</v>
      </c>
      <c r="F9" s="71">
        <f t="shared" ref="F9:F10" si="1">C9-E9</f>
        <v>637.20000000000005</v>
      </c>
      <c r="G9" s="85"/>
    </row>
    <row r="10" spans="1:7" x14ac:dyDescent="0.25">
      <c r="A10" s="35">
        <v>3</v>
      </c>
      <c r="B10" s="11" t="str">
        <f>COP!B11</f>
        <v>PLANT AND MACHINERY</v>
      </c>
      <c r="C10" s="12">
        <f>(252+50+20)+((252+50+20)*0.18)</f>
        <v>379.96</v>
      </c>
      <c r="D10" s="17">
        <v>0.1</v>
      </c>
      <c r="E10" s="71">
        <f t="shared" si="0"/>
        <v>37.996000000000002</v>
      </c>
      <c r="F10" s="71">
        <f t="shared" si="1"/>
        <v>341.964</v>
      </c>
      <c r="G10" s="85"/>
    </row>
    <row r="11" spans="1:7" x14ac:dyDescent="0.25">
      <c r="A11" s="295" t="s">
        <v>5</v>
      </c>
      <c r="B11" s="296"/>
      <c r="C11" s="32">
        <f>SUM(C8:C10)</f>
        <v>2958.26</v>
      </c>
      <c r="D11" s="32"/>
      <c r="E11" s="32">
        <f>SUM(E8:E10)</f>
        <v>740.25599999999997</v>
      </c>
      <c r="F11" s="32">
        <f>SUM(F8:F10)</f>
        <v>2218.0039999999999</v>
      </c>
      <c r="G11" s="53"/>
    </row>
    <row r="12" spans="1:7" x14ac:dyDescent="0.25">
      <c r="G12" s="53"/>
    </row>
  </sheetData>
  <mergeCells count="5">
    <mergeCell ref="A1:F1"/>
    <mergeCell ref="A2:F2"/>
    <mergeCell ref="A3:F3"/>
    <mergeCell ref="A11:B11"/>
    <mergeCell ref="A4:F4"/>
  </mergeCells>
  <printOptions horizontalCentered="1"/>
  <pageMargins left="0.43307086614173229" right="0.5118110236220472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workbookViewId="0">
      <selection activeCell="D6" sqref="D6"/>
    </sheetView>
  </sheetViews>
  <sheetFormatPr defaultRowHeight="15" x14ac:dyDescent="0.25"/>
  <cols>
    <col min="1" max="1" width="8.5" style="1" customWidth="1"/>
    <col min="2" max="2" width="52.5" style="1" customWidth="1"/>
    <col min="3" max="3" width="13.125" style="1" customWidth="1"/>
    <col min="4" max="4" width="11.25" style="1" customWidth="1"/>
    <col min="5" max="16384" width="9" style="1"/>
  </cols>
  <sheetData>
    <row r="1" spans="1:5" ht="21" x14ac:dyDescent="0.35">
      <c r="A1" s="299" t="str">
        <f>COP!A1</f>
        <v>M/s VAYU SUITES</v>
      </c>
      <c r="B1" s="299"/>
      <c r="C1" s="299"/>
      <c r="D1" s="299"/>
    </row>
    <row r="2" spans="1:5" x14ac:dyDescent="0.25">
      <c r="A2" s="300" t="str">
        <f>COP!A2</f>
        <v>NEW HOTEL PROJECT</v>
      </c>
      <c r="B2" s="300"/>
      <c r="C2" s="300"/>
      <c r="D2" s="300"/>
    </row>
    <row r="3" spans="1:5" ht="32.25" customHeight="1" x14ac:dyDescent="0.25">
      <c r="A3" s="301" t="str">
        <f>COP!A3</f>
        <v xml:space="preserve">REG. ADDRESS : -LOBBY LEVEL, INSIDE HOTEL VISHNUPRIYA, 9, GULAB BAGH ROAD, UDAIPUR, RAJASTHAN, 313001 </v>
      </c>
      <c r="B3" s="301"/>
      <c r="C3" s="301"/>
      <c r="D3" s="301"/>
    </row>
    <row r="4" spans="1:5" ht="33" customHeight="1" x14ac:dyDescent="0.25">
      <c r="A4" s="302" t="str">
        <f>COP!A4</f>
        <v>UNIT ADDRESS : -KHASARA NO. 579/546, REVENUE VILLAGE-SENA, TEHSIL-BALI, DISTRICT-PALI, RAJASTHAN</v>
      </c>
      <c r="B4" s="302"/>
      <c r="C4" s="302"/>
      <c r="D4" s="302"/>
    </row>
    <row r="5" spans="1:5" x14ac:dyDescent="0.25">
      <c r="A5" s="125" t="s">
        <v>219</v>
      </c>
      <c r="B5" s="97"/>
      <c r="C5" s="97"/>
    </row>
    <row r="6" spans="1:5" ht="66.75" customHeight="1" x14ac:dyDescent="0.25">
      <c r="A6" s="98" t="s">
        <v>16</v>
      </c>
      <c r="B6" s="98" t="s">
        <v>17</v>
      </c>
      <c r="C6" s="99" t="s">
        <v>213</v>
      </c>
      <c r="D6" s="155" t="s">
        <v>238</v>
      </c>
    </row>
    <row r="7" spans="1:5" ht="51" customHeight="1" x14ac:dyDescent="0.25">
      <c r="A7" s="10" t="s">
        <v>231</v>
      </c>
      <c r="B7" s="147" t="s">
        <v>262</v>
      </c>
      <c r="C7" s="148">
        <v>32800</v>
      </c>
      <c r="D7" s="154">
        <v>5</v>
      </c>
    </row>
    <row r="8" spans="1:5" ht="18" customHeight="1" x14ac:dyDescent="0.25">
      <c r="A8" s="298" t="s">
        <v>239</v>
      </c>
      <c r="B8" s="298"/>
      <c r="C8" s="10">
        <f>SUM(C7:C7)</f>
        <v>32800</v>
      </c>
      <c r="D8" s="154">
        <f>SUM(D7:D7)</f>
        <v>5</v>
      </c>
    </row>
    <row r="11" spans="1:5" x14ac:dyDescent="0.25">
      <c r="B11" s="19"/>
      <c r="C11"/>
      <c r="D11"/>
      <c r="E11"/>
    </row>
    <row r="12" spans="1:5" x14ac:dyDescent="0.25">
      <c r="B12" s="19"/>
      <c r="C12"/>
      <c r="D12"/>
      <c r="E12"/>
    </row>
  </sheetData>
  <mergeCells count="5">
    <mergeCell ref="A8:B8"/>
    <mergeCell ref="A1:D1"/>
    <mergeCell ref="A2:D2"/>
    <mergeCell ref="A3:D3"/>
    <mergeCell ref="A4:D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topLeftCell="A9" workbookViewId="0">
      <selection activeCell="E7" sqref="E7:E15"/>
    </sheetView>
  </sheetViews>
  <sheetFormatPr defaultRowHeight="15" x14ac:dyDescent="0.15"/>
  <cols>
    <col min="1" max="1" width="5.25" style="161" customWidth="1"/>
    <col min="2" max="2" width="22.375" style="161" customWidth="1"/>
    <col min="3" max="3" width="14.875" style="161" customWidth="1"/>
    <col min="4" max="4" width="16" style="161" customWidth="1"/>
    <col min="5" max="5" width="13.375" style="161" customWidth="1"/>
    <col min="6" max="6" width="11" style="161" bestFit="1" customWidth="1"/>
    <col min="7" max="16384" width="9" style="161"/>
  </cols>
  <sheetData>
    <row r="1" spans="1:5" ht="21" x14ac:dyDescent="0.15">
      <c r="A1" s="288" t="str">
        <f>COP!A1</f>
        <v>M/s VAYU SUITES</v>
      </c>
      <c r="B1" s="288"/>
      <c r="C1" s="288"/>
      <c r="D1" s="288"/>
      <c r="E1" s="288"/>
    </row>
    <row r="2" spans="1:5" x14ac:dyDescent="0.15">
      <c r="A2" s="306" t="str">
        <f>COP!A2</f>
        <v>NEW HOTEL PROJECT</v>
      </c>
      <c r="B2" s="306"/>
      <c r="C2" s="306"/>
      <c r="D2" s="306"/>
      <c r="E2" s="306"/>
    </row>
    <row r="3" spans="1:5" ht="36.75" customHeight="1" x14ac:dyDescent="0.15">
      <c r="A3" s="307" t="str">
        <f>COP!A3</f>
        <v xml:space="preserve">REG. ADDRESS : -LOBBY LEVEL, INSIDE HOTEL VISHNUPRIYA, 9, GULAB BAGH ROAD, UDAIPUR, RAJASTHAN, 313001 </v>
      </c>
      <c r="B3" s="307"/>
      <c r="C3" s="307"/>
      <c r="D3" s="307"/>
      <c r="E3" s="307"/>
    </row>
    <row r="4" spans="1:5" ht="38.25" customHeight="1" x14ac:dyDescent="0.15">
      <c r="A4" s="307" t="str">
        <f>COP!A4</f>
        <v>UNIT ADDRESS : -KHASARA NO. 579/546, REVENUE VILLAGE-SENA, TEHSIL-BALI, DISTRICT-PALI, RAJASTHAN</v>
      </c>
      <c r="B4" s="307"/>
      <c r="C4" s="307"/>
      <c r="D4" s="307"/>
      <c r="E4" s="307"/>
    </row>
    <row r="5" spans="1:5" x14ac:dyDescent="0.15">
      <c r="A5" s="308" t="str">
        <f>COP!B9</f>
        <v>BUILDING (COST OF CONSTRUCTION)</v>
      </c>
      <c r="B5" s="308"/>
      <c r="C5" s="308"/>
      <c r="D5" s="308"/>
      <c r="E5" s="308"/>
    </row>
    <row r="6" spans="1:5" ht="32.25" customHeight="1" x14ac:dyDescent="0.15">
      <c r="A6" s="10" t="s">
        <v>16</v>
      </c>
      <c r="B6" s="10" t="s">
        <v>19</v>
      </c>
      <c r="C6" s="23" t="s">
        <v>181</v>
      </c>
      <c r="D6" s="23" t="s">
        <v>123</v>
      </c>
      <c r="E6" s="23" t="s">
        <v>304</v>
      </c>
    </row>
    <row r="7" spans="1:5" ht="32.25" customHeight="1" x14ac:dyDescent="0.15">
      <c r="A7" s="265">
        <v>1</v>
      </c>
      <c r="B7" s="20" t="s">
        <v>303</v>
      </c>
      <c r="C7" s="21"/>
      <c r="D7" s="21"/>
      <c r="E7" s="270">
        <v>52500000</v>
      </c>
    </row>
    <row r="8" spans="1:5" ht="32.25" customHeight="1" x14ac:dyDescent="0.15">
      <c r="A8" s="265">
        <v>2</v>
      </c>
      <c r="B8" s="20" t="s">
        <v>294</v>
      </c>
      <c r="C8" s="21">
        <v>17140.59</v>
      </c>
      <c r="D8" s="21">
        <v>2700</v>
      </c>
      <c r="E8" s="270">
        <f>C8*D8</f>
        <v>46279593</v>
      </c>
    </row>
    <row r="9" spans="1:5" ht="32.25" customHeight="1" x14ac:dyDescent="0.15">
      <c r="A9" s="265">
        <v>3</v>
      </c>
      <c r="B9" s="20" t="s">
        <v>295</v>
      </c>
      <c r="C9" s="21">
        <v>5529.68</v>
      </c>
      <c r="D9" s="21">
        <v>2700</v>
      </c>
      <c r="E9" s="270">
        <f>C9*D9</f>
        <v>14930136</v>
      </c>
    </row>
    <row r="10" spans="1:5" ht="32.25" customHeight="1" x14ac:dyDescent="0.15">
      <c r="A10" s="265">
        <v>4</v>
      </c>
      <c r="B10" s="20" t="s">
        <v>290</v>
      </c>
      <c r="C10" s="21">
        <v>3368.38</v>
      </c>
      <c r="D10" s="21">
        <v>1900</v>
      </c>
      <c r="E10" s="270">
        <f t="shared" ref="E10:E13" si="0">C10*D10</f>
        <v>6399922</v>
      </c>
    </row>
    <row r="11" spans="1:5" ht="32.25" customHeight="1" x14ac:dyDescent="0.15">
      <c r="A11" s="265">
        <v>5</v>
      </c>
      <c r="B11" s="20" t="s">
        <v>291</v>
      </c>
      <c r="C11" s="21">
        <v>2361.84</v>
      </c>
      <c r="D11" s="21">
        <v>1310</v>
      </c>
      <c r="E11" s="270">
        <f t="shared" si="0"/>
        <v>3094010.4000000004</v>
      </c>
    </row>
    <row r="12" spans="1:5" ht="32.25" customHeight="1" x14ac:dyDescent="0.15">
      <c r="A12" s="265">
        <v>6</v>
      </c>
      <c r="B12" s="20" t="s">
        <v>292</v>
      </c>
      <c r="C12" s="21">
        <v>5300.62</v>
      </c>
      <c r="D12" s="21">
        <v>1650</v>
      </c>
      <c r="E12" s="270">
        <f t="shared" si="0"/>
        <v>8746023</v>
      </c>
    </row>
    <row r="13" spans="1:5" ht="32.25" customHeight="1" x14ac:dyDescent="0.15">
      <c r="A13" s="265">
        <v>7</v>
      </c>
      <c r="B13" s="20" t="s">
        <v>293</v>
      </c>
      <c r="C13" s="21">
        <v>6394.03</v>
      </c>
      <c r="D13" s="21">
        <v>1650</v>
      </c>
      <c r="E13" s="270">
        <f t="shared" si="0"/>
        <v>10550149.5</v>
      </c>
    </row>
    <row r="14" spans="1:5" ht="32.25" customHeight="1" x14ac:dyDescent="0.15">
      <c r="A14" s="265">
        <v>8</v>
      </c>
      <c r="B14" s="20" t="s">
        <v>298</v>
      </c>
      <c r="C14" s="21"/>
      <c r="D14" s="21"/>
      <c r="E14" s="270">
        <v>6000000</v>
      </c>
    </row>
    <row r="15" spans="1:5" ht="32.25" customHeight="1" x14ac:dyDescent="0.15">
      <c r="A15" s="265">
        <v>9</v>
      </c>
      <c r="B15" s="20" t="s">
        <v>299</v>
      </c>
      <c r="C15" s="21"/>
      <c r="D15" s="21"/>
      <c r="E15" s="270">
        <v>10000000</v>
      </c>
    </row>
    <row r="16" spans="1:5" ht="32.25" customHeight="1" x14ac:dyDescent="0.15">
      <c r="A16" s="265">
        <v>10</v>
      </c>
      <c r="B16" s="20" t="s">
        <v>300</v>
      </c>
      <c r="C16" s="21"/>
      <c r="D16" s="21"/>
      <c r="E16" s="270">
        <v>8000000</v>
      </c>
    </row>
    <row r="17" spans="1:7" ht="32.25" customHeight="1" x14ac:dyDescent="0.15">
      <c r="A17" s="265">
        <v>11</v>
      </c>
      <c r="B17" s="20" t="s">
        <v>301</v>
      </c>
      <c r="C17" s="21"/>
      <c r="D17" s="21"/>
      <c r="E17" s="270">
        <v>5000000</v>
      </c>
    </row>
    <row r="18" spans="1:7" ht="32.25" customHeight="1" x14ac:dyDescent="0.15">
      <c r="A18" s="303" t="s">
        <v>302</v>
      </c>
      <c r="B18" s="304"/>
      <c r="C18" s="304"/>
      <c r="D18" s="305"/>
      <c r="E18" s="270">
        <f>SUM(E7:E17)*0.18</f>
        <v>30869970.101999998</v>
      </c>
    </row>
    <row r="19" spans="1:7" x14ac:dyDescent="0.15">
      <c r="A19" s="303" t="s">
        <v>5</v>
      </c>
      <c r="B19" s="304"/>
      <c r="C19" s="304"/>
      <c r="D19" s="305"/>
      <c r="E19" s="28">
        <f>SUM(E7:E18)</f>
        <v>202369804.002</v>
      </c>
      <c r="G19" s="162"/>
    </row>
    <row r="20" spans="1:7" x14ac:dyDescent="0.15">
      <c r="A20" s="303" t="s">
        <v>310</v>
      </c>
      <c r="B20" s="304"/>
      <c r="C20" s="304"/>
      <c r="D20" s="305"/>
      <c r="E20" s="28">
        <f>E19/100000</f>
        <v>2023.69804002</v>
      </c>
      <c r="F20" s="162"/>
    </row>
    <row r="21" spans="1:7" x14ac:dyDescent="0.15">
      <c r="E21" s="162"/>
      <c r="F21" s="162"/>
    </row>
    <row r="22" spans="1:7" x14ac:dyDescent="0.15">
      <c r="F22" s="162"/>
    </row>
  </sheetData>
  <mergeCells count="8">
    <mergeCell ref="A20:D20"/>
    <mergeCell ref="A18:D18"/>
    <mergeCell ref="A19:D19"/>
    <mergeCell ref="A1:E1"/>
    <mergeCell ref="A2:E2"/>
    <mergeCell ref="A3:E3"/>
    <mergeCell ref="A5:E5"/>
    <mergeCell ref="A4:E4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workbookViewId="0">
      <selection activeCell="E14" sqref="E14"/>
    </sheetView>
  </sheetViews>
  <sheetFormatPr defaultRowHeight="15" x14ac:dyDescent="0.25"/>
  <cols>
    <col min="1" max="1" width="8" style="1" customWidth="1"/>
    <col min="2" max="2" width="30.75" style="2" customWidth="1"/>
    <col min="3" max="3" width="9" style="1" customWidth="1"/>
    <col min="4" max="4" width="11.125" style="1" customWidth="1"/>
    <col min="5" max="5" width="13.125" style="1" customWidth="1"/>
    <col min="6" max="16384" width="9" style="1"/>
  </cols>
  <sheetData>
    <row r="1" spans="1:6" ht="21" x14ac:dyDescent="0.35">
      <c r="A1" s="310" t="str">
        <f>COP!A1</f>
        <v>M/s VAYU SUITES</v>
      </c>
      <c r="B1" s="310"/>
      <c r="C1" s="310"/>
      <c r="D1" s="310"/>
      <c r="E1" s="310"/>
    </row>
    <row r="2" spans="1:6" x14ac:dyDescent="0.25">
      <c r="A2" s="311" t="str">
        <f>COP!A2</f>
        <v>NEW HOTEL PROJECT</v>
      </c>
      <c r="B2" s="311"/>
      <c r="C2" s="311"/>
      <c r="D2" s="311"/>
      <c r="E2" s="311"/>
    </row>
    <row r="3" spans="1:6" ht="33" customHeight="1" x14ac:dyDescent="0.25">
      <c r="A3" s="307" t="str">
        <f>COP!A3</f>
        <v xml:space="preserve">REG. ADDRESS : -LOBBY LEVEL, INSIDE HOTEL VISHNUPRIYA, 9, GULAB BAGH ROAD, UDAIPUR, RAJASTHAN, 313001 </v>
      </c>
      <c r="B3" s="307"/>
      <c r="C3" s="307"/>
      <c r="D3" s="307"/>
      <c r="E3" s="307"/>
    </row>
    <row r="4" spans="1:6" ht="36" customHeight="1" x14ac:dyDescent="0.25">
      <c r="A4" s="307" t="str">
        <f>COP!A4</f>
        <v>UNIT ADDRESS : -KHASARA NO. 579/546, REVENUE VILLAGE-SENA, TEHSIL-BALI, DISTRICT-PALI, RAJASTHAN</v>
      </c>
      <c r="B4" s="307"/>
      <c r="C4" s="307"/>
      <c r="D4" s="307"/>
      <c r="E4" s="307"/>
    </row>
    <row r="5" spans="1:6" x14ac:dyDescent="0.25">
      <c r="A5" s="233"/>
      <c r="B5" s="233"/>
      <c r="C5" s="233"/>
      <c r="D5" s="233"/>
      <c r="E5" s="233"/>
    </row>
    <row r="6" spans="1:6" x14ac:dyDescent="0.25">
      <c r="A6" s="312" t="str">
        <f>COP!B10</f>
        <v>FURNITURE &amp; FIXTURES</v>
      </c>
      <c r="B6" s="312"/>
      <c r="C6" s="312"/>
      <c r="D6" s="312"/>
      <c r="E6" s="312"/>
    </row>
    <row r="7" spans="1:6" ht="48" customHeight="1" x14ac:dyDescent="0.25">
      <c r="A7" s="23" t="s">
        <v>154</v>
      </c>
      <c r="B7" s="23" t="s">
        <v>21</v>
      </c>
      <c r="C7" s="10" t="s">
        <v>124</v>
      </c>
      <c r="D7" s="23" t="s">
        <v>311</v>
      </c>
      <c r="E7" s="21" t="s">
        <v>36</v>
      </c>
    </row>
    <row r="8" spans="1:6" x14ac:dyDescent="0.25">
      <c r="A8" s="26">
        <v>1</v>
      </c>
      <c r="B8" s="159" t="s">
        <v>264</v>
      </c>
      <c r="C8" s="26">
        <v>18</v>
      </c>
      <c r="D8" s="31">
        <v>26</v>
      </c>
      <c r="E8" s="31">
        <f>C8*D8</f>
        <v>468</v>
      </c>
    </row>
    <row r="9" spans="1:6" x14ac:dyDescent="0.25">
      <c r="A9" s="26">
        <v>2</v>
      </c>
      <c r="B9" s="271" t="s">
        <v>305</v>
      </c>
      <c r="C9" s="26">
        <v>1</v>
      </c>
      <c r="D9" s="31">
        <v>41</v>
      </c>
      <c r="E9" s="31">
        <f t="shared" ref="E9:E12" si="0">C9*D9</f>
        <v>41</v>
      </c>
    </row>
    <row r="10" spans="1:6" x14ac:dyDescent="0.25">
      <c r="A10" s="26">
        <v>3</v>
      </c>
      <c r="B10" s="144" t="s">
        <v>240</v>
      </c>
      <c r="C10" s="26">
        <v>1</v>
      </c>
      <c r="D10" s="31">
        <v>30</v>
      </c>
      <c r="E10" s="31">
        <f t="shared" si="0"/>
        <v>30</v>
      </c>
    </row>
    <row r="11" spans="1:6" x14ac:dyDescent="0.25">
      <c r="A11" s="26">
        <v>4</v>
      </c>
      <c r="B11" s="25" t="s">
        <v>173</v>
      </c>
      <c r="C11" s="26">
        <v>1</v>
      </c>
      <c r="D11" s="31">
        <v>29</v>
      </c>
      <c r="E11" s="31">
        <f t="shared" si="0"/>
        <v>29</v>
      </c>
    </row>
    <row r="12" spans="1:6" x14ac:dyDescent="0.25">
      <c r="A12" s="26">
        <v>5</v>
      </c>
      <c r="B12" s="153" t="s">
        <v>249</v>
      </c>
      <c r="C12" s="26">
        <v>1</v>
      </c>
      <c r="D12" s="31">
        <v>32</v>
      </c>
      <c r="E12" s="31">
        <f t="shared" si="0"/>
        <v>32</v>
      </c>
    </row>
    <row r="13" spans="1:6" x14ac:dyDescent="0.25">
      <c r="A13" s="309" t="s">
        <v>302</v>
      </c>
      <c r="B13" s="309"/>
      <c r="C13" s="309"/>
      <c r="D13" s="309"/>
      <c r="E13" s="270">
        <f>SUM(E8:E12)*0.18</f>
        <v>108</v>
      </c>
    </row>
    <row r="14" spans="1:6" x14ac:dyDescent="0.25">
      <c r="A14" s="309" t="s">
        <v>5</v>
      </c>
      <c r="B14" s="309"/>
      <c r="C14" s="309"/>
      <c r="D14" s="309"/>
      <c r="E14" s="28">
        <f>SUM(E8:E13)</f>
        <v>708</v>
      </c>
      <c r="F14" s="8"/>
    </row>
    <row r="15" spans="1:6" x14ac:dyDescent="0.25">
      <c r="F15" s="8"/>
    </row>
  </sheetData>
  <mergeCells count="7">
    <mergeCell ref="A14:D14"/>
    <mergeCell ref="A1:E1"/>
    <mergeCell ref="A2:E2"/>
    <mergeCell ref="A3:E3"/>
    <mergeCell ref="A6:E6"/>
    <mergeCell ref="A4:E4"/>
    <mergeCell ref="A13:D13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topLeftCell="A10" workbookViewId="0">
      <selection activeCell="A8" sqref="A8:A22"/>
    </sheetView>
  </sheetViews>
  <sheetFormatPr defaultRowHeight="12" x14ac:dyDescent="0.15"/>
  <cols>
    <col min="1" max="1" width="8.375" customWidth="1"/>
    <col min="2" max="2" width="28.125" customWidth="1"/>
    <col min="3" max="3" width="16.625" customWidth="1"/>
    <col min="4" max="4" width="13.375" customWidth="1"/>
    <col min="5" max="5" width="13.5" customWidth="1"/>
  </cols>
  <sheetData>
    <row r="1" spans="1:5" ht="21" x14ac:dyDescent="0.35">
      <c r="A1" s="310" t="str">
        <f>COP!A1</f>
        <v>M/s VAYU SUITES</v>
      </c>
      <c r="B1" s="310"/>
      <c r="C1" s="310"/>
      <c r="D1" s="310"/>
      <c r="E1" s="310"/>
    </row>
    <row r="2" spans="1:5" ht="15" x14ac:dyDescent="0.25">
      <c r="A2" s="311" t="str">
        <f>COP!A2</f>
        <v>NEW HOTEL PROJECT</v>
      </c>
      <c r="B2" s="311"/>
      <c r="C2" s="311"/>
      <c r="D2" s="311"/>
      <c r="E2" s="311"/>
    </row>
    <row r="3" spans="1:5" ht="32.25" customHeight="1" x14ac:dyDescent="0.15">
      <c r="A3" s="307" t="str">
        <f>COP!A3</f>
        <v xml:space="preserve">REG. ADDRESS : -LOBBY LEVEL, INSIDE HOTEL VISHNUPRIYA, 9, GULAB BAGH ROAD, UDAIPUR, RAJASTHAN, 313001 </v>
      </c>
      <c r="B3" s="307"/>
      <c r="C3" s="307"/>
      <c r="D3" s="307"/>
      <c r="E3" s="307"/>
    </row>
    <row r="4" spans="1:5" ht="33" customHeight="1" x14ac:dyDescent="0.15">
      <c r="A4" s="307" t="str">
        <f>COP!A4</f>
        <v>UNIT ADDRESS : -KHASARA NO. 579/546, REVENUE VILLAGE-SENA, TEHSIL-BALI, DISTRICT-PALI, RAJASTHAN</v>
      </c>
      <c r="B4" s="307"/>
      <c r="C4" s="307"/>
      <c r="D4" s="307"/>
      <c r="E4" s="307"/>
    </row>
    <row r="5" spans="1:5" ht="15" x14ac:dyDescent="0.15">
      <c r="A5" s="233"/>
      <c r="B5" s="233"/>
      <c r="C5" s="233"/>
      <c r="D5" s="233"/>
      <c r="E5" s="233"/>
    </row>
    <row r="6" spans="1:5" ht="15" x14ac:dyDescent="0.25">
      <c r="A6" s="312" t="str">
        <f>COP!B11</f>
        <v>PLANT AND MACHINERY</v>
      </c>
      <c r="B6" s="312"/>
      <c r="C6" s="312"/>
      <c r="D6" s="312"/>
      <c r="E6" s="312"/>
    </row>
    <row r="7" spans="1:5" ht="30" x14ac:dyDescent="0.15">
      <c r="A7" s="23" t="s">
        <v>154</v>
      </c>
      <c r="B7" s="23" t="s">
        <v>21</v>
      </c>
      <c r="C7" s="10" t="s">
        <v>124</v>
      </c>
      <c r="D7" s="10" t="s">
        <v>18</v>
      </c>
      <c r="E7" s="23" t="s">
        <v>36</v>
      </c>
    </row>
    <row r="8" spans="1:5" ht="15" x14ac:dyDescent="0.15">
      <c r="A8" s="24">
        <v>1</v>
      </c>
      <c r="B8" s="13" t="s">
        <v>167</v>
      </c>
      <c r="C8" s="24">
        <v>65</v>
      </c>
      <c r="D8" s="29">
        <v>0.5</v>
      </c>
      <c r="E8" s="27">
        <f>C8*D8</f>
        <v>32.5</v>
      </c>
    </row>
    <row r="9" spans="1:5" ht="15" x14ac:dyDescent="0.15">
      <c r="A9" s="24">
        <v>2</v>
      </c>
      <c r="B9" s="13" t="s">
        <v>168</v>
      </c>
      <c r="C9" s="24">
        <v>3</v>
      </c>
      <c r="D9" s="29">
        <v>12.5</v>
      </c>
      <c r="E9" s="27">
        <f t="shared" ref="E9:E16" si="0">C9*D9</f>
        <v>37.5</v>
      </c>
    </row>
    <row r="10" spans="1:5" ht="15" x14ac:dyDescent="0.15">
      <c r="A10" s="24">
        <v>3</v>
      </c>
      <c r="B10" s="13" t="s">
        <v>169</v>
      </c>
      <c r="C10" s="24">
        <v>2</v>
      </c>
      <c r="D10" s="29">
        <v>10.5</v>
      </c>
      <c r="E10" s="27">
        <f t="shared" si="0"/>
        <v>21</v>
      </c>
    </row>
    <row r="11" spans="1:5" ht="15" x14ac:dyDescent="0.15">
      <c r="A11" s="24">
        <v>4</v>
      </c>
      <c r="B11" s="80" t="s">
        <v>170</v>
      </c>
      <c r="C11" s="79">
        <v>1</v>
      </c>
      <c r="D11" s="81">
        <v>21</v>
      </c>
      <c r="E11" s="82">
        <f t="shared" si="0"/>
        <v>21</v>
      </c>
    </row>
    <row r="12" spans="1:5" ht="15" x14ac:dyDescent="0.15">
      <c r="A12" s="24">
        <v>5</v>
      </c>
      <c r="B12" s="77" t="s">
        <v>171</v>
      </c>
      <c r="C12" s="24">
        <v>40</v>
      </c>
      <c r="D12" s="29">
        <v>0.45</v>
      </c>
      <c r="E12" s="27">
        <f t="shared" si="0"/>
        <v>18</v>
      </c>
    </row>
    <row r="13" spans="1:5" ht="15" x14ac:dyDescent="0.15">
      <c r="A13" s="24">
        <v>6</v>
      </c>
      <c r="B13" s="77" t="s">
        <v>210</v>
      </c>
      <c r="C13" s="24">
        <v>1</v>
      </c>
      <c r="D13" s="29">
        <v>22.75</v>
      </c>
      <c r="E13" s="27">
        <f t="shared" si="0"/>
        <v>22.75</v>
      </c>
    </row>
    <row r="14" spans="1:5" ht="15" x14ac:dyDescent="0.15">
      <c r="A14" s="24">
        <v>7</v>
      </c>
      <c r="B14" s="77" t="s">
        <v>207</v>
      </c>
      <c r="C14" s="24">
        <v>1</v>
      </c>
      <c r="D14" s="29">
        <v>15.5</v>
      </c>
      <c r="E14" s="27">
        <f t="shared" si="0"/>
        <v>15.5</v>
      </c>
    </row>
    <row r="15" spans="1:5" ht="15" x14ac:dyDescent="0.15">
      <c r="A15" s="24">
        <v>8</v>
      </c>
      <c r="B15" s="77" t="s">
        <v>208</v>
      </c>
      <c r="C15" s="24">
        <v>1</v>
      </c>
      <c r="D15" s="29">
        <v>20.75</v>
      </c>
      <c r="E15" s="27">
        <f t="shared" si="0"/>
        <v>20.75</v>
      </c>
    </row>
    <row r="16" spans="1:5" ht="15" x14ac:dyDescent="0.15">
      <c r="A16" s="24">
        <v>9</v>
      </c>
      <c r="B16" s="77" t="s">
        <v>209</v>
      </c>
      <c r="C16" s="24">
        <v>1</v>
      </c>
      <c r="D16" s="29">
        <v>12.5</v>
      </c>
      <c r="E16" s="27">
        <f t="shared" si="0"/>
        <v>12.5</v>
      </c>
    </row>
    <row r="17" spans="1:6" ht="15" x14ac:dyDescent="0.15">
      <c r="A17" s="24">
        <v>10</v>
      </c>
      <c r="B17" s="78" t="s">
        <v>206</v>
      </c>
      <c r="C17" s="26">
        <v>36</v>
      </c>
      <c r="D17" s="29">
        <v>0.2</v>
      </c>
      <c r="E17" s="27">
        <f>C17*D17</f>
        <v>7.2</v>
      </c>
    </row>
    <row r="18" spans="1:6" ht="15" x14ac:dyDescent="0.15">
      <c r="A18" s="24">
        <v>11</v>
      </c>
      <c r="B18" s="174" t="s">
        <v>279</v>
      </c>
      <c r="C18" s="175">
        <v>26</v>
      </c>
      <c r="D18" s="176">
        <v>0.3</v>
      </c>
      <c r="E18" s="27">
        <f>C18*D18</f>
        <v>7.8</v>
      </c>
    </row>
    <row r="19" spans="1:6" ht="15" x14ac:dyDescent="0.15">
      <c r="A19" s="24">
        <v>12</v>
      </c>
      <c r="B19" s="88" t="s">
        <v>214</v>
      </c>
      <c r="C19" s="22">
        <v>1</v>
      </c>
      <c r="D19" s="30">
        <v>40.5</v>
      </c>
      <c r="E19" s="87">
        <f>C19*D19</f>
        <v>40.5</v>
      </c>
    </row>
    <row r="20" spans="1:6" ht="15" x14ac:dyDescent="0.15">
      <c r="A20" s="24">
        <v>13</v>
      </c>
      <c r="B20" s="86" t="s">
        <v>215</v>
      </c>
      <c r="C20" s="24" t="s">
        <v>172</v>
      </c>
      <c r="D20" s="29">
        <v>26.5</v>
      </c>
      <c r="E20" s="27">
        <f>D20</f>
        <v>26.5</v>
      </c>
    </row>
    <row r="21" spans="1:6" ht="31.5" customHeight="1" x14ac:dyDescent="0.15">
      <c r="A21" s="24">
        <v>14</v>
      </c>
      <c r="B21" s="86" t="s">
        <v>216</v>
      </c>
      <c r="C21" s="26">
        <v>1</v>
      </c>
      <c r="D21" s="29">
        <v>18.5</v>
      </c>
      <c r="E21" s="27">
        <f>C21*D21</f>
        <v>18.5</v>
      </c>
    </row>
    <row r="22" spans="1:6" ht="31.5" customHeight="1" x14ac:dyDescent="0.15">
      <c r="A22" s="24">
        <v>15</v>
      </c>
      <c r="B22" s="266" t="s">
        <v>296</v>
      </c>
      <c r="C22" s="24" t="s">
        <v>172</v>
      </c>
      <c r="D22" s="29">
        <v>20</v>
      </c>
      <c r="E22" s="27">
        <f>D22</f>
        <v>20</v>
      </c>
    </row>
    <row r="23" spans="1:6" ht="31.5" customHeight="1" x14ac:dyDescent="0.15">
      <c r="A23" s="309" t="s">
        <v>302</v>
      </c>
      <c r="B23" s="309"/>
      <c r="C23" s="309"/>
      <c r="D23" s="309"/>
      <c r="E23" s="270">
        <f>SUM(E8:E22)*0.18</f>
        <v>57.96</v>
      </c>
    </row>
    <row r="24" spans="1:6" ht="15" x14ac:dyDescent="0.15">
      <c r="A24" s="309" t="s">
        <v>5</v>
      </c>
      <c r="B24" s="309"/>
      <c r="C24" s="309"/>
      <c r="D24" s="309"/>
      <c r="E24" s="28">
        <f>SUM(E8:E23)</f>
        <v>379.96</v>
      </c>
    </row>
    <row r="25" spans="1:6" x14ac:dyDescent="0.15">
      <c r="F25" s="104"/>
    </row>
  </sheetData>
  <mergeCells count="7">
    <mergeCell ref="A24:D24"/>
    <mergeCell ref="A1:E1"/>
    <mergeCell ref="A2:E2"/>
    <mergeCell ref="A3:E3"/>
    <mergeCell ref="A6:E6"/>
    <mergeCell ref="A4:E4"/>
    <mergeCell ref="A23:D23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workbookViewId="0">
      <selection activeCell="D18" sqref="D18"/>
    </sheetView>
  </sheetViews>
  <sheetFormatPr defaultRowHeight="15" x14ac:dyDescent="0.25"/>
  <cols>
    <col min="1" max="1" width="9.625" style="1" customWidth="1"/>
    <col min="2" max="2" width="34.5" style="1" customWidth="1"/>
    <col min="3" max="3" width="12.875" style="1" customWidth="1"/>
    <col min="4" max="4" width="14.125" style="1" customWidth="1"/>
    <col min="5" max="16384" width="9" style="1"/>
  </cols>
  <sheetData>
    <row r="1" spans="1:4" ht="21" x14ac:dyDescent="0.35">
      <c r="A1" s="310" t="str">
        <f>COP!A1</f>
        <v>M/s VAYU SUITES</v>
      </c>
      <c r="B1" s="310"/>
      <c r="C1" s="310"/>
      <c r="D1" s="310"/>
    </row>
    <row r="2" spans="1:4" x14ac:dyDescent="0.25">
      <c r="A2" s="311" t="str">
        <f>COP!A2</f>
        <v>NEW HOTEL PROJECT</v>
      </c>
      <c r="B2" s="311"/>
      <c r="C2" s="311"/>
      <c r="D2" s="311"/>
    </row>
    <row r="3" spans="1:4" ht="32.25" customHeight="1" x14ac:dyDescent="0.25">
      <c r="A3" s="313" t="str">
        <f>COP!A3</f>
        <v xml:space="preserve">REG. ADDRESS : -LOBBY LEVEL, INSIDE HOTEL VISHNUPRIYA, 9, GULAB BAGH ROAD, UDAIPUR, RAJASTHAN, 313001 </v>
      </c>
      <c r="B3" s="313"/>
      <c r="C3" s="313"/>
      <c r="D3" s="313"/>
    </row>
    <row r="4" spans="1:4" ht="30" customHeight="1" x14ac:dyDescent="0.25">
      <c r="A4" s="313" t="str">
        <f>COP!A4</f>
        <v>UNIT ADDRESS : -KHASARA NO. 579/546, REVENUE VILLAGE-SENA, TEHSIL-BALI, DISTRICT-PALI, RAJASTHAN</v>
      </c>
      <c r="B4" s="313"/>
      <c r="C4" s="313"/>
      <c r="D4" s="313"/>
    </row>
    <row r="5" spans="1:4" ht="17.25" customHeight="1" x14ac:dyDescent="0.25">
      <c r="A5" s="5" t="s">
        <v>22</v>
      </c>
    </row>
    <row r="6" spans="1:4" ht="18" customHeight="1" x14ac:dyDescent="0.25">
      <c r="A6" s="3" t="s">
        <v>16</v>
      </c>
      <c r="B6" s="3" t="s">
        <v>23</v>
      </c>
      <c r="C6" s="3" t="s">
        <v>24</v>
      </c>
      <c r="D6" s="3" t="s">
        <v>25</v>
      </c>
    </row>
    <row r="7" spans="1:4" ht="24" customHeight="1" x14ac:dyDescent="0.25">
      <c r="A7" s="18">
        <v>1</v>
      </c>
      <c r="B7" s="49" t="s">
        <v>9</v>
      </c>
      <c r="C7" s="18"/>
      <c r="D7" s="18"/>
    </row>
    <row r="8" spans="1:4" ht="27.75" customHeight="1" x14ac:dyDescent="0.25">
      <c r="A8" s="18">
        <v>2</v>
      </c>
      <c r="B8" s="49" t="s">
        <v>10</v>
      </c>
      <c r="C8" s="89" t="s">
        <v>3</v>
      </c>
      <c r="D8" s="264" t="s">
        <v>286</v>
      </c>
    </row>
    <row r="9" spans="1:4" ht="27.75" customHeight="1" x14ac:dyDescent="0.25">
      <c r="A9" s="18">
        <v>3</v>
      </c>
      <c r="B9" s="49" t="s">
        <v>11</v>
      </c>
      <c r="C9" s="18"/>
      <c r="D9" s="18"/>
    </row>
    <row r="10" spans="1:4" ht="21" customHeight="1" x14ac:dyDescent="0.25">
      <c r="A10" s="314"/>
      <c r="B10" s="49" t="s">
        <v>26</v>
      </c>
      <c r="C10" s="90" t="s">
        <v>3</v>
      </c>
      <c r="D10" s="264" t="s">
        <v>287</v>
      </c>
    </row>
    <row r="11" spans="1:4" ht="21" customHeight="1" x14ac:dyDescent="0.25">
      <c r="A11" s="315"/>
      <c r="B11" s="49" t="s">
        <v>27</v>
      </c>
      <c r="C11" s="264" t="s">
        <v>288</v>
      </c>
      <c r="D11" s="264" t="s">
        <v>289</v>
      </c>
    </row>
    <row r="12" spans="1:4" ht="27.75" customHeight="1" x14ac:dyDescent="0.25">
      <c r="A12" s="315"/>
      <c r="B12" s="49" t="s">
        <v>28</v>
      </c>
      <c r="C12" s="264" t="s">
        <v>288</v>
      </c>
      <c r="D12" s="264" t="s">
        <v>286</v>
      </c>
    </row>
    <row r="13" spans="1:4" ht="30" customHeight="1" x14ac:dyDescent="0.25">
      <c r="A13" s="316"/>
      <c r="B13" s="49" t="s">
        <v>29</v>
      </c>
      <c r="C13" s="264" t="s">
        <v>288</v>
      </c>
      <c r="D13" s="264" t="s">
        <v>286</v>
      </c>
    </row>
    <row r="14" spans="1:4" ht="21.75" customHeight="1" x14ac:dyDescent="0.25">
      <c r="A14" s="18">
        <v>4</v>
      </c>
      <c r="B14" s="49" t="s">
        <v>30</v>
      </c>
      <c r="C14" s="18"/>
      <c r="D14" s="18"/>
    </row>
    <row r="15" spans="1:4" ht="17.25" customHeight="1" x14ac:dyDescent="0.25">
      <c r="A15" s="314"/>
      <c r="B15" s="49" t="s">
        <v>26</v>
      </c>
      <c r="C15" s="90" t="s">
        <v>3</v>
      </c>
      <c r="D15" s="264" t="s">
        <v>287</v>
      </c>
    </row>
    <row r="16" spans="1:4" ht="18.75" customHeight="1" x14ac:dyDescent="0.25">
      <c r="A16" s="315"/>
      <c r="B16" s="50" t="s">
        <v>83</v>
      </c>
      <c r="C16" s="264" t="s">
        <v>288</v>
      </c>
      <c r="D16" s="264" t="s">
        <v>289</v>
      </c>
    </row>
    <row r="17" spans="1:4" ht="21.75" customHeight="1" x14ac:dyDescent="0.25">
      <c r="A17" s="316"/>
      <c r="B17" s="49" t="s">
        <v>28</v>
      </c>
      <c r="C17" s="264" t="s">
        <v>288</v>
      </c>
      <c r="D17" s="264" t="s">
        <v>286</v>
      </c>
    </row>
  </sheetData>
  <mergeCells count="6">
    <mergeCell ref="A1:D1"/>
    <mergeCell ref="A2:D2"/>
    <mergeCell ref="A3:D3"/>
    <mergeCell ref="A10:A13"/>
    <mergeCell ref="A15:A17"/>
    <mergeCell ref="A4:D4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workbookViewId="0">
      <selection activeCell="B17" sqref="B17"/>
    </sheetView>
  </sheetViews>
  <sheetFormatPr defaultRowHeight="15" x14ac:dyDescent="0.25"/>
  <cols>
    <col min="1" max="1" width="9.5" style="1" customWidth="1"/>
    <col min="2" max="2" width="27.125" style="1" customWidth="1"/>
    <col min="3" max="3" width="10.125" style="1" customWidth="1"/>
    <col min="4" max="5" width="11.75" style="1" customWidth="1"/>
    <col min="6" max="16384" width="9" style="1"/>
  </cols>
  <sheetData>
    <row r="1" spans="1:5" ht="21" x14ac:dyDescent="0.35">
      <c r="A1" s="310" t="str">
        <f>COP!A1</f>
        <v>M/s VAYU SUITES</v>
      </c>
      <c r="B1" s="310"/>
      <c r="C1" s="310"/>
      <c r="D1" s="310"/>
      <c r="E1" s="310"/>
    </row>
    <row r="2" spans="1:5" x14ac:dyDescent="0.25">
      <c r="A2" s="311" t="str">
        <f>COP!A2</f>
        <v>NEW HOTEL PROJECT</v>
      </c>
      <c r="B2" s="311"/>
      <c r="C2" s="311"/>
      <c r="D2" s="311"/>
      <c r="E2" s="311"/>
    </row>
    <row r="3" spans="1:5" ht="36.75" customHeight="1" x14ac:dyDescent="0.25">
      <c r="A3" s="313" t="str">
        <f>COP!A3</f>
        <v xml:space="preserve">REG. ADDRESS : -LOBBY LEVEL, INSIDE HOTEL VISHNUPRIYA, 9, GULAB BAGH ROAD, UDAIPUR, RAJASTHAN, 313001 </v>
      </c>
      <c r="B3" s="313"/>
      <c r="C3" s="313"/>
      <c r="D3" s="313"/>
      <c r="E3" s="313"/>
    </row>
    <row r="4" spans="1:5" ht="45.75" customHeight="1" x14ac:dyDescent="0.25">
      <c r="A4" s="307" t="str">
        <f>COP!A4</f>
        <v>UNIT ADDRESS : -KHASARA NO. 579/546, REVENUE VILLAGE-SENA, TEHSIL-BALI, DISTRICT-PALI, RAJASTHAN</v>
      </c>
      <c r="B4" s="307"/>
      <c r="C4" s="307"/>
      <c r="D4" s="307"/>
      <c r="E4" s="307"/>
    </row>
    <row r="5" spans="1:5" x14ac:dyDescent="0.25">
      <c r="A5" s="233"/>
      <c r="B5" s="233"/>
      <c r="C5" s="233"/>
      <c r="D5" s="233"/>
      <c r="E5" s="233"/>
    </row>
    <row r="6" spans="1:5" x14ac:dyDescent="0.25">
      <c r="A6" s="5" t="s">
        <v>32</v>
      </c>
    </row>
    <row r="7" spans="1:5" x14ac:dyDescent="0.25">
      <c r="A7" s="3" t="s">
        <v>16</v>
      </c>
      <c r="B7" s="3" t="s">
        <v>31</v>
      </c>
      <c r="C7" s="3" t="s">
        <v>153</v>
      </c>
      <c r="D7" s="3" t="s">
        <v>18</v>
      </c>
      <c r="E7" s="3" t="s">
        <v>5</v>
      </c>
    </row>
    <row r="8" spans="1:5" ht="19.5" customHeight="1" x14ac:dyDescent="0.25">
      <c r="A8" s="9" t="s">
        <v>88</v>
      </c>
      <c r="B8" s="3" t="s">
        <v>265</v>
      </c>
      <c r="C8" s="4"/>
      <c r="D8" s="4"/>
      <c r="E8" s="4"/>
    </row>
    <row r="9" spans="1:5" ht="19.5" customHeight="1" x14ac:dyDescent="0.25">
      <c r="A9" s="4">
        <v>1</v>
      </c>
      <c r="B9" s="160" t="s">
        <v>266</v>
      </c>
      <c r="C9" s="4">
        <v>1</v>
      </c>
      <c r="D9" s="4">
        <v>100000</v>
      </c>
      <c r="E9" s="4">
        <f t="shared" ref="E9:E13" si="0">C9*D9</f>
        <v>100000</v>
      </c>
    </row>
    <row r="10" spans="1:5" ht="19.5" customHeight="1" x14ac:dyDescent="0.25">
      <c r="A10" s="4">
        <v>2</v>
      </c>
      <c r="B10" s="6" t="s">
        <v>84</v>
      </c>
      <c r="C10" s="4">
        <v>2</v>
      </c>
      <c r="D10" s="4">
        <v>35000</v>
      </c>
      <c r="E10" s="4">
        <f t="shared" si="0"/>
        <v>70000</v>
      </c>
    </row>
    <row r="11" spans="1:5" ht="19.5" customHeight="1" x14ac:dyDescent="0.25">
      <c r="A11" s="4">
        <v>3</v>
      </c>
      <c r="B11" s="6" t="s">
        <v>85</v>
      </c>
      <c r="C11" s="4">
        <v>6</v>
      </c>
      <c r="D11" s="4">
        <v>25000</v>
      </c>
      <c r="E11" s="4">
        <f t="shared" si="0"/>
        <v>150000</v>
      </c>
    </row>
    <row r="12" spans="1:5" ht="19.5" customHeight="1" x14ac:dyDescent="0.25">
      <c r="A12" s="4">
        <v>4</v>
      </c>
      <c r="B12" s="6" t="s">
        <v>86</v>
      </c>
      <c r="C12" s="4">
        <v>3</v>
      </c>
      <c r="D12" s="4">
        <v>15000</v>
      </c>
      <c r="E12" s="4">
        <f t="shared" si="0"/>
        <v>45000</v>
      </c>
    </row>
    <row r="13" spans="1:5" ht="19.5" customHeight="1" x14ac:dyDescent="0.25">
      <c r="A13" s="4">
        <v>5</v>
      </c>
      <c r="B13" s="6" t="s">
        <v>87</v>
      </c>
      <c r="C13" s="4">
        <v>3</v>
      </c>
      <c r="D13" s="4">
        <v>15000</v>
      </c>
      <c r="E13" s="4">
        <f t="shared" si="0"/>
        <v>45000</v>
      </c>
    </row>
    <row r="14" spans="1:5" ht="19.5" customHeight="1" x14ac:dyDescent="0.25">
      <c r="A14" s="317"/>
      <c r="B14" s="318"/>
      <c r="C14" s="318"/>
      <c r="D14" s="318"/>
      <c r="E14" s="319"/>
    </row>
    <row r="15" spans="1:5" ht="20.25" customHeight="1" x14ac:dyDescent="0.25">
      <c r="A15" s="9" t="s">
        <v>141</v>
      </c>
      <c r="B15" s="3" t="s">
        <v>255</v>
      </c>
      <c r="C15" s="4"/>
      <c r="D15" s="4"/>
      <c r="E15" s="4"/>
    </row>
    <row r="16" spans="1:5" ht="20.25" customHeight="1" x14ac:dyDescent="0.25">
      <c r="A16" s="4">
        <v>1</v>
      </c>
      <c r="B16" s="145" t="s">
        <v>241</v>
      </c>
      <c r="C16" s="4">
        <v>1</v>
      </c>
      <c r="D16" s="4">
        <v>85000</v>
      </c>
      <c r="E16" s="4">
        <f t="shared" ref="E16:E21" si="1">C16*D16</f>
        <v>85000</v>
      </c>
    </row>
    <row r="17" spans="1:5" ht="20.25" customHeight="1" x14ac:dyDescent="0.25">
      <c r="A17" s="4">
        <v>2</v>
      </c>
      <c r="B17" s="7" t="s">
        <v>90</v>
      </c>
      <c r="C17" s="4">
        <v>2</v>
      </c>
      <c r="D17" s="4">
        <v>55000</v>
      </c>
      <c r="E17" s="4">
        <f t="shared" si="1"/>
        <v>110000</v>
      </c>
    </row>
    <row r="18" spans="1:5" ht="20.25" customHeight="1" x14ac:dyDescent="0.25">
      <c r="A18" s="4">
        <v>3</v>
      </c>
      <c r="B18" s="6" t="s">
        <v>91</v>
      </c>
      <c r="C18" s="4">
        <v>3</v>
      </c>
      <c r="D18" s="4">
        <v>40000</v>
      </c>
      <c r="E18" s="4">
        <f t="shared" si="1"/>
        <v>120000</v>
      </c>
    </row>
    <row r="19" spans="1:5" ht="20.25" customHeight="1" x14ac:dyDescent="0.25">
      <c r="A19" s="4">
        <v>4</v>
      </c>
      <c r="B19" s="6" t="s">
        <v>89</v>
      </c>
      <c r="C19" s="4">
        <v>4</v>
      </c>
      <c r="D19" s="4">
        <v>20000</v>
      </c>
      <c r="E19" s="4">
        <f t="shared" si="1"/>
        <v>80000</v>
      </c>
    </row>
    <row r="20" spans="1:5" ht="20.25" customHeight="1" x14ac:dyDescent="0.25">
      <c r="A20" s="4">
        <v>5</v>
      </c>
      <c r="B20" s="6" t="s">
        <v>86</v>
      </c>
      <c r="C20" s="4">
        <v>2</v>
      </c>
      <c r="D20" s="4">
        <v>15000</v>
      </c>
      <c r="E20" s="4">
        <f t="shared" si="1"/>
        <v>30000</v>
      </c>
    </row>
    <row r="21" spans="1:5" ht="20.25" customHeight="1" x14ac:dyDescent="0.25">
      <c r="A21" s="4">
        <v>6</v>
      </c>
      <c r="B21" s="131" t="s">
        <v>233</v>
      </c>
      <c r="C21" s="4">
        <v>3</v>
      </c>
      <c r="D21" s="4">
        <v>30000</v>
      </c>
      <c r="E21" s="4">
        <f t="shared" si="1"/>
        <v>90000</v>
      </c>
    </row>
    <row r="22" spans="1:5" ht="20.25" customHeight="1" x14ac:dyDescent="0.25">
      <c r="A22" s="317"/>
      <c r="B22" s="318"/>
      <c r="C22" s="318"/>
      <c r="D22" s="318"/>
      <c r="E22" s="319"/>
    </row>
    <row r="23" spans="1:5" ht="22.5" customHeight="1" x14ac:dyDescent="0.25">
      <c r="A23" s="9" t="s">
        <v>142</v>
      </c>
      <c r="B23" s="3" t="s">
        <v>92</v>
      </c>
      <c r="C23" s="4"/>
      <c r="D23" s="4"/>
      <c r="E23" s="4"/>
    </row>
    <row r="24" spans="1:5" ht="22.5" customHeight="1" x14ac:dyDescent="0.25">
      <c r="A24" s="4">
        <v>1</v>
      </c>
      <c r="B24" s="6" t="s">
        <v>93</v>
      </c>
      <c r="C24" s="4">
        <v>1</v>
      </c>
      <c r="D24" s="4">
        <v>125000</v>
      </c>
      <c r="E24" s="4">
        <f t="shared" ref="E24:E28" si="2">C24*D24</f>
        <v>125000</v>
      </c>
    </row>
    <row r="25" spans="1:5" ht="22.5" customHeight="1" x14ac:dyDescent="0.25">
      <c r="A25" s="4">
        <v>2</v>
      </c>
      <c r="B25" s="6" t="s">
        <v>94</v>
      </c>
      <c r="C25" s="4">
        <v>1</v>
      </c>
      <c r="D25" s="4">
        <v>25000</v>
      </c>
      <c r="E25" s="4">
        <f t="shared" si="2"/>
        <v>25000</v>
      </c>
    </row>
    <row r="26" spans="1:5" ht="22.5" customHeight="1" x14ac:dyDescent="0.25">
      <c r="A26" s="4">
        <v>3</v>
      </c>
      <c r="B26" s="6" t="s">
        <v>95</v>
      </c>
      <c r="C26" s="4">
        <v>2</v>
      </c>
      <c r="D26" s="4">
        <v>30000</v>
      </c>
      <c r="E26" s="4">
        <f t="shared" si="2"/>
        <v>60000</v>
      </c>
    </row>
    <row r="27" spans="1:5" ht="22.5" customHeight="1" x14ac:dyDescent="0.25">
      <c r="A27" s="4">
        <v>4</v>
      </c>
      <c r="B27" s="6" t="s">
        <v>96</v>
      </c>
      <c r="C27" s="4">
        <v>1</v>
      </c>
      <c r="D27" s="4">
        <v>30000</v>
      </c>
      <c r="E27" s="4">
        <f t="shared" si="2"/>
        <v>30000</v>
      </c>
    </row>
    <row r="28" spans="1:5" ht="20.25" customHeight="1" x14ac:dyDescent="0.25">
      <c r="A28" s="4">
        <v>5</v>
      </c>
      <c r="B28" s="177" t="s">
        <v>280</v>
      </c>
      <c r="C28" s="4">
        <v>3</v>
      </c>
      <c r="D28" s="4">
        <v>15000</v>
      </c>
      <c r="E28" s="4">
        <f t="shared" si="2"/>
        <v>45000</v>
      </c>
    </row>
    <row r="29" spans="1:5" ht="18.75" customHeight="1" x14ac:dyDescent="0.25">
      <c r="A29" s="320" t="s">
        <v>5</v>
      </c>
      <c r="B29" s="321"/>
      <c r="C29" s="3">
        <f>SUM(C8:C28)</f>
        <v>38</v>
      </c>
      <c r="D29" s="3"/>
      <c r="E29" s="3">
        <f>SUM(E8:E28)</f>
        <v>1210000</v>
      </c>
    </row>
  </sheetData>
  <mergeCells count="7">
    <mergeCell ref="A14:E14"/>
    <mergeCell ref="A22:E22"/>
    <mergeCell ref="A29:B29"/>
    <mergeCell ref="A1:E1"/>
    <mergeCell ref="A2:E2"/>
    <mergeCell ref="A3:E3"/>
    <mergeCell ref="A4:E4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47"/>
  <sheetViews>
    <sheetView workbookViewId="0">
      <selection activeCell="C56" sqref="C56:N56"/>
    </sheetView>
  </sheetViews>
  <sheetFormatPr defaultColWidth="9.625" defaultRowHeight="15" x14ac:dyDescent="0.15"/>
  <cols>
    <col min="1" max="1" width="1.5" style="183" customWidth="1"/>
    <col min="2" max="2" width="30.5" style="183" bestFit="1" customWidth="1"/>
    <col min="3" max="3" width="8.875" style="203" customWidth="1"/>
    <col min="4" max="4" width="9.625" style="203" bestFit="1" customWidth="1"/>
    <col min="5" max="5" width="10.75" style="203" customWidth="1"/>
    <col min="6" max="6" width="11" style="203" customWidth="1"/>
    <col min="7" max="7" width="9.875" style="203" customWidth="1"/>
    <col min="8" max="8" width="11.625" style="183" customWidth="1"/>
    <col min="9" max="9" width="10.75" style="183" customWidth="1"/>
    <col min="10" max="10" width="10.5" style="183" customWidth="1"/>
    <col min="11" max="12" width="10.875" style="183" customWidth="1"/>
    <col min="13" max="13" width="10.125" style="183" customWidth="1"/>
    <col min="14" max="14" width="11.75" style="183" customWidth="1"/>
    <col min="15" max="15" width="10.75" style="183" customWidth="1"/>
    <col min="16" max="16384" width="9.625" style="183"/>
  </cols>
  <sheetData>
    <row r="1" spans="1:15" x14ac:dyDescent="0.15">
      <c r="A1" s="331" t="s">
        <v>250</v>
      </c>
      <c r="B1" s="331"/>
      <c r="C1" s="331"/>
      <c r="D1" s="331"/>
      <c r="E1" s="331"/>
      <c r="F1" s="331"/>
      <c r="G1" s="331"/>
      <c r="H1" s="331"/>
      <c r="I1" s="331"/>
      <c r="J1" s="331"/>
      <c r="K1" s="331"/>
      <c r="L1" s="331"/>
      <c r="M1" s="331"/>
      <c r="N1" s="331"/>
      <c r="O1" s="237"/>
    </row>
    <row r="2" spans="1:15" ht="15.75" thickBot="1" x14ac:dyDescent="0.2">
      <c r="A2" s="330" t="s">
        <v>196</v>
      </c>
      <c r="B2" s="330"/>
      <c r="C2" s="330"/>
      <c r="D2" s="330"/>
      <c r="E2" s="330"/>
      <c r="F2" s="330"/>
      <c r="G2" s="330"/>
      <c r="H2" s="330"/>
      <c r="I2" s="330"/>
      <c r="J2" s="330"/>
      <c r="K2" s="330"/>
      <c r="L2" s="330"/>
      <c r="M2" s="238"/>
      <c r="N2" s="184" t="s">
        <v>0</v>
      </c>
    </row>
    <row r="3" spans="1:15" ht="15.75" thickBot="1" x14ac:dyDescent="0.2">
      <c r="B3" s="185" t="s">
        <v>1</v>
      </c>
      <c r="C3" s="135" t="s">
        <v>159</v>
      </c>
      <c r="D3" s="135" t="s">
        <v>160</v>
      </c>
      <c r="E3" s="135" t="s">
        <v>161</v>
      </c>
      <c r="F3" s="135" t="s">
        <v>162</v>
      </c>
      <c r="G3" s="135" t="s">
        <v>163</v>
      </c>
      <c r="H3" s="135" t="s">
        <v>217</v>
      </c>
      <c r="I3" s="135" t="s">
        <v>230</v>
      </c>
      <c r="J3" s="136" t="s">
        <v>234</v>
      </c>
      <c r="K3" s="136" t="s">
        <v>235</v>
      </c>
      <c r="L3" s="136" t="s">
        <v>236</v>
      </c>
      <c r="M3" s="136" t="s">
        <v>281</v>
      </c>
      <c r="N3" s="136" t="s">
        <v>283</v>
      </c>
    </row>
    <row r="4" spans="1:15" x14ac:dyDescent="0.15">
      <c r="A4" s="186"/>
      <c r="B4" s="187" t="s">
        <v>62</v>
      </c>
      <c r="C4" s="181"/>
      <c r="D4" s="181"/>
      <c r="E4" s="181"/>
      <c r="F4" s="181"/>
      <c r="G4" s="181"/>
      <c r="H4" s="181"/>
      <c r="I4" s="181"/>
      <c r="J4" s="181"/>
      <c r="K4" s="182"/>
      <c r="L4" s="182"/>
      <c r="M4" s="182"/>
      <c r="N4" s="182"/>
    </row>
    <row r="5" spans="1:15" x14ac:dyDescent="0.15">
      <c r="B5" s="188" t="s">
        <v>267</v>
      </c>
      <c r="C5" s="67">
        <v>0</v>
      </c>
      <c r="D5" s="67">
        <f t="shared" ref="D5:I5" si="0">C106/100000</f>
        <v>0</v>
      </c>
      <c r="E5" s="67">
        <f t="shared" si="0"/>
        <v>0</v>
      </c>
      <c r="F5" s="67">
        <f t="shared" si="0"/>
        <v>1490.076</v>
      </c>
      <c r="G5" s="67">
        <f t="shared" si="0"/>
        <v>1609.28208</v>
      </c>
      <c r="H5" s="67">
        <f t="shared" si="0"/>
        <v>1738.0246463999995</v>
      </c>
      <c r="I5" s="67">
        <f t="shared" si="0"/>
        <v>1877.066618112</v>
      </c>
      <c r="J5" s="67">
        <f t="shared" ref="J5" si="1">I106/100000</f>
        <v>2027.2319475609595</v>
      </c>
      <c r="K5" s="67">
        <f t="shared" ref="K5" si="2">J106/100000</f>
        <v>2189.4105033658361</v>
      </c>
      <c r="L5" s="67">
        <f t="shared" ref="L5" si="3">K106/100000</f>
        <v>2364.5633436351031</v>
      </c>
      <c r="M5" s="67">
        <f t="shared" ref="M5:N5" si="4">L106/100000</f>
        <v>2553.7284111259114</v>
      </c>
      <c r="N5" s="67">
        <f t="shared" si="4"/>
        <v>2758.0266840159838</v>
      </c>
    </row>
    <row r="6" spans="1:15" x14ac:dyDescent="0.15">
      <c r="B6" s="188" t="s">
        <v>38</v>
      </c>
      <c r="C6" s="67">
        <v>0</v>
      </c>
      <c r="D6" s="67">
        <f t="shared" ref="D6:K6" si="5">(C170)/100000</f>
        <v>0</v>
      </c>
      <c r="E6" s="67">
        <f t="shared" si="5"/>
        <v>0</v>
      </c>
      <c r="F6" s="67">
        <f t="shared" si="5"/>
        <v>462.9076</v>
      </c>
      <c r="G6" s="67">
        <f t="shared" si="5"/>
        <v>508.06247999999999</v>
      </c>
      <c r="H6" s="67">
        <f t="shared" si="5"/>
        <v>557.67605400000002</v>
      </c>
      <c r="I6" s="67">
        <f t="shared" si="5"/>
        <v>612.19135170000004</v>
      </c>
      <c r="J6" s="67">
        <f t="shared" si="5"/>
        <v>672.09556378499997</v>
      </c>
      <c r="K6" s="67">
        <f t="shared" si="5"/>
        <v>737.92445092424998</v>
      </c>
      <c r="L6" s="67">
        <f t="shared" ref="L6" si="6">(K170)/100000</f>
        <v>810.26719331546258</v>
      </c>
      <c r="M6" s="67">
        <f t="shared" ref="M6:N6" si="7">(L170)/100000</f>
        <v>889.77172481073569</v>
      </c>
      <c r="N6" s="67">
        <f t="shared" si="7"/>
        <v>977.15060006372244</v>
      </c>
    </row>
    <row r="7" spans="1:15" x14ac:dyDescent="0.15">
      <c r="B7" s="189"/>
      <c r="C7" s="239"/>
      <c r="D7" s="239"/>
      <c r="E7" s="239"/>
      <c r="F7" s="239"/>
      <c r="G7" s="239"/>
      <c r="H7" s="239"/>
      <c r="I7" s="239"/>
      <c r="J7" s="239"/>
      <c r="K7" s="239"/>
      <c r="L7" s="239"/>
      <c r="M7" s="240"/>
      <c r="N7" s="240"/>
    </row>
    <row r="8" spans="1:15" x14ac:dyDescent="0.15">
      <c r="B8" s="190" t="s">
        <v>39</v>
      </c>
      <c r="C8" s="72">
        <f t="shared" ref="C8:N8" si="8">SUM(C5:C6)</f>
        <v>0</v>
      </c>
      <c r="D8" s="72">
        <f t="shared" si="8"/>
        <v>0</v>
      </c>
      <c r="E8" s="72">
        <f t="shared" si="8"/>
        <v>0</v>
      </c>
      <c r="F8" s="72">
        <f t="shared" si="8"/>
        <v>1952.9836</v>
      </c>
      <c r="G8" s="72">
        <f t="shared" si="8"/>
        <v>2117.34456</v>
      </c>
      <c r="H8" s="72">
        <f t="shared" si="8"/>
        <v>2295.7007003999997</v>
      </c>
      <c r="I8" s="72">
        <f t="shared" si="8"/>
        <v>2489.2579698119998</v>
      </c>
      <c r="J8" s="72">
        <f t="shared" si="8"/>
        <v>2699.3275113459595</v>
      </c>
      <c r="K8" s="72">
        <f t="shared" si="8"/>
        <v>2927.334954290086</v>
      </c>
      <c r="L8" s="72">
        <f t="shared" si="8"/>
        <v>3174.8305369505656</v>
      </c>
      <c r="M8" s="72">
        <f t="shared" si="8"/>
        <v>3443.500135936647</v>
      </c>
      <c r="N8" s="72">
        <f t="shared" si="8"/>
        <v>3735.1772840797062</v>
      </c>
    </row>
    <row r="9" spans="1:15" x14ac:dyDescent="0.15">
      <c r="B9" s="189"/>
      <c r="C9" s="239"/>
      <c r="D9" s="239"/>
      <c r="E9" s="239"/>
      <c r="F9" s="239"/>
      <c r="G9" s="239"/>
      <c r="H9" s="239"/>
      <c r="I9" s="239"/>
      <c r="J9" s="239"/>
      <c r="K9" s="239"/>
      <c r="L9" s="239"/>
      <c r="M9" s="240"/>
      <c r="N9" s="240"/>
    </row>
    <row r="10" spans="1:15" x14ac:dyDescent="0.15">
      <c r="A10" s="186"/>
      <c r="B10" s="190" t="s">
        <v>63</v>
      </c>
      <c r="C10" s="241"/>
      <c r="D10" s="241"/>
      <c r="E10" s="241"/>
      <c r="F10" s="241"/>
      <c r="G10" s="241"/>
      <c r="H10" s="241"/>
      <c r="I10" s="241"/>
      <c r="J10" s="241"/>
      <c r="K10" s="241"/>
      <c r="L10" s="241"/>
      <c r="M10" s="242"/>
      <c r="N10" s="242"/>
    </row>
    <row r="11" spans="1:15" x14ac:dyDescent="0.15">
      <c r="A11" s="186"/>
      <c r="B11" s="188" t="s">
        <v>40</v>
      </c>
      <c r="C11" s="67">
        <v>0</v>
      </c>
      <c r="D11" s="67">
        <f t="shared" ref="D11:N11" si="9">C185/100000</f>
        <v>0</v>
      </c>
      <c r="E11" s="67">
        <f t="shared" si="9"/>
        <v>0</v>
      </c>
      <c r="F11" s="67">
        <f t="shared" si="9"/>
        <v>330.33960000000002</v>
      </c>
      <c r="G11" s="67">
        <f t="shared" si="9"/>
        <v>362.04904799999997</v>
      </c>
      <c r="H11" s="67">
        <f t="shared" si="9"/>
        <v>396.82347983999995</v>
      </c>
      <c r="I11" s="67">
        <f t="shared" si="9"/>
        <v>434.96091702720003</v>
      </c>
      <c r="J11" s="67">
        <f t="shared" si="9"/>
        <v>476.78850506937596</v>
      </c>
      <c r="K11" s="67">
        <f t="shared" si="9"/>
        <v>522.66537162292605</v>
      </c>
      <c r="L11" s="67">
        <f t="shared" si="9"/>
        <v>572.98576611556018</v>
      </c>
      <c r="M11" s="67">
        <f t="shared" si="9"/>
        <v>628.18250864388494</v>
      </c>
      <c r="N11" s="67">
        <f t="shared" si="9"/>
        <v>688.73077869838369</v>
      </c>
    </row>
    <row r="12" spans="1:15" x14ac:dyDescent="0.15">
      <c r="A12" s="186"/>
      <c r="B12" s="188" t="s">
        <v>34</v>
      </c>
      <c r="C12" s="67">
        <v>0</v>
      </c>
      <c r="D12" s="67">
        <f t="shared" ref="D12:N12" si="10">C186/100000</f>
        <v>0</v>
      </c>
      <c r="E12" s="67">
        <f t="shared" si="10"/>
        <v>0</v>
      </c>
      <c r="F12" s="67">
        <f t="shared" si="10"/>
        <v>145.19999999999999</v>
      </c>
      <c r="G12" s="67">
        <f t="shared" si="10"/>
        <v>159.72000000000003</v>
      </c>
      <c r="H12" s="67">
        <f t="shared" si="10"/>
        <v>175.69200000000004</v>
      </c>
      <c r="I12" s="67">
        <f t="shared" si="10"/>
        <v>193.26120000000009</v>
      </c>
      <c r="J12" s="67">
        <f t="shared" si="10"/>
        <v>212.58732000000012</v>
      </c>
      <c r="K12" s="67">
        <f t="shared" si="10"/>
        <v>233.84605200000013</v>
      </c>
      <c r="L12" s="67">
        <f t="shared" si="10"/>
        <v>257.23065720000017</v>
      </c>
      <c r="M12" s="67">
        <f t="shared" si="10"/>
        <v>282.95372292000025</v>
      </c>
      <c r="N12" s="67">
        <f t="shared" si="10"/>
        <v>311.24909521200027</v>
      </c>
    </row>
    <row r="13" spans="1:15" x14ac:dyDescent="0.15">
      <c r="A13" s="186"/>
      <c r="B13" s="188" t="s">
        <v>41</v>
      </c>
      <c r="C13" s="67">
        <v>0</v>
      </c>
      <c r="D13" s="67">
        <f t="shared" ref="D13:N13" si="11">C187/100000</f>
        <v>0</v>
      </c>
      <c r="E13" s="67">
        <f t="shared" si="11"/>
        <v>0</v>
      </c>
      <c r="F13" s="67">
        <f t="shared" si="11"/>
        <v>191.6</v>
      </c>
      <c r="G13" s="67">
        <f t="shared" si="11"/>
        <v>180.89625000000001</v>
      </c>
      <c r="H13" s="67">
        <f t="shared" si="11"/>
        <v>167.24087499999999</v>
      </c>
      <c r="I13" s="67">
        <f t="shared" si="11"/>
        <v>150.96214999999998</v>
      </c>
      <c r="J13" s="67">
        <f t="shared" si="11"/>
        <v>132.06023999999999</v>
      </c>
      <c r="K13" s="67">
        <f t="shared" si="11"/>
        <v>108.56657649999998</v>
      </c>
      <c r="L13" s="67">
        <f t="shared" si="11"/>
        <v>74.903234149999989</v>
      </c>
      <c r="M13" s="67">
        <f t="shared" si="11"/>
        <v>33.367307564999997</v>
      </c>
      <c r="N13" s="67">
        <f t="shared" si="11"/>
        <v>2.0277883215000001</v>
      </c>
    </row>
    <row r="14" spans="1:15" x14ac:dyDescent="0.15">
      <c r="B14" s="188" t="s">
        <v>42</v>
      </c>
      <c r="C14" s="67">
        <v>0</v>
      </c>
      <c r="D14" s="67">
        <f t="shared" ref="D14:N14" si="12">C188/100000</f>
        <v>0</v>
      </c>
      <c r="E14" s="67">
        <f t="shared" si="12"/>
        <v>0</v>
      </c>
      <c r="F14" s="67">
        <f t="shared" si="12"/>
        <v>827.85979999999995</v>
      </c>
      <c r="G14" s="67">
        <f t="shared" si="12"/>
        <v>910.64578000000017</v>
      </c>
      <c r="H14" s="67">
        <f t="shared" si="12"/>
        <v>1001.7103580000002</v>
      </c>
      <c r="I14" s="67">
        <f t="shared" si="12"/>
        <v>1101.8813937999998</v>
      </c>
      <c r="J14" s="67">
        <f t="shared" si="12"/>
        <v>1212.06953318</v>
      </c>
      <c r="K14" s="67">
        <f t="shared" si="12"/>
        <v>1333.2764864980004</v>
      </c>
      <c r="L14" s="67">
        <f t="shared" si="12"/>
        <v>1466.6041351478002</v>
      </c>
      <c r="M14" s="67">
        <f t="shared" si="12"/>
        <v>1613.2645486625802</v>
      </c>
      <c r="N14" s="67">
        <f t="shared" si="12"/>
        <v>1774.5910035288387</v>
      </c>
    </row>
    <row r="15" spans="1:15" x14ac:dyDescent="0.15">
      <c r="B15" s="188" t="s">
        <v>43</v>
      </c>
      <c r="C15" s="67">
        <v>0</v>
      </c>
      <c r="D15" s="67">
        <v>0</v>
      </c>
      <c r="E15" s="67">
        <v>0</v>
      </c>
      <c r="F15" s="67">
        <v>34.31</v>
      </c>
      <c r="G15" s="67">
        <v>34.31</v>
      </c>
      <c r="H15" s="67">
        <v>34.31</v>
      </c>
      <c r="I15" s="67">
        <v>34.31</v>
      </c>
      <c r="J15" s="67">
        <v>34.32</v>
      </c>
      <c r="K15" s="67">
        <v>0</v>
      </c>
      <c r="L15" s="67">
        <v>0</v>
      </c>
      <c r="M15" s="67">
        <v>0</v>
      </c>
      <c r="N15" s="67">
        <v>0</v>
      </c>
    </row>
    <row r="16" spans="1:15" x14ac:dyDescent="0.15">
      <c r="A16" s="186"/>
      <c r="B16" s="189"/>
      <c r="C16" s="239"/>
      <c r="D16" s="239"/>
      <c r="E16" s="239"/>
      <c r="F16" s="239"/>
      <c r="G16" s="239"/>
      <c r="H16" s="239"/>
      <c r="I16" s="239"/>
      <c r="J16" s="239"/>
      <c r="K16" s="239"/>
      <c r="L16" s="239"/>
      <c r="M16" s="240"/>
      <c r="N16" s="240"/>
    </row>
    <row r="17" spans="1:14" x14ac:dyDescent="0.15">
      <c r="B17" s="93" t="s">
        <v>44</v>
      </c>
      <c r="C17" s="72">
        <f t="shared" ref="C17:N17" si="13">SUM(C11:C15)</f>
        <v>0</v>
      </c>
      <c r="D17" s="72">
        <f t="shared" si="13"/>
        <v>0</v>
      </c>
      <c r="E17" s="72">
        <f t="shared" si="13"/>
        <v>0</v>
      </c>
      <c r="F17" s="72">
        <f t="shared" si="13"/>
        <v>1529.3093999999999</v>
      </c>
      <c r="G17" s="72">
        <f t="shared" si="13"/>
        <v>1647.6210780000001</v>
      </c>
      <c r="H17" s="72">
        <f t="shared" si="13"/>
        <v>1775.7767128400001</v>
      </c>
      <c r="I17" s="72">
        <f t="shared" si="13"/>
        <v>1915.3756608271997</v>
      </c>
      <c r="J17" s="72">
        <f t="shared" si="13"/>
        <v>2067.8255982493761</v>
      </c>
      <c r="K17" s="72">
        <f t="shared" si="13"/>
        <v>2198.3544866209268</v>
      </c>
      <c r="L17" s="72">
        <f t="shared" si="13"/>
        <v>2371.7237926133607</v>
      </c>
      <c r="M17" s="72">
        <f t="shared" si="13"/>
        <v>2557.7680877914654</v>
      </c>
      <c r="N17" s="72">
        <f t="shared" si="13"/>
        <v>2776.5986657607227</v>
      </c>
    </row>
    <row r="18" spans="1:14" x14ac:dyDescent="0.15">
      <c r="B18" s="243"/>
      <c r="C18" s="244"/>
      <c r="D18" s="244"/>
      <c r="E18" s="244"/>
      <c r="F18" s="244"/>
      <c r="G18" s="244"/>
      <c r="H18" s="244"/>
      <c r="I18" s="244"/>
      <c r="J18" s="244"/>
      <c r="K18" s="244"/>
      <c r="L18" s="244"/>
      <c r="M18" s="245"/>
      <c r="N18" s="245"/>
    </row>
    <row r="19" spans="1:14" x14ac:dyDescent="0.15">
      <c r="B19" s="190" t="s">
        <v>45</v>
      </c>
      <c r="C19" s="72">
        <f>Depreciation!C39</f>
        <v>0</v>
      </c>
      <c r="D19" s="72">
        <f>Depreciation!D39</f>
        <v>0</v>
      </c>
      <c r="E19" s="72">
        <f>Depreciation!E39</f>
        <v>0</v>
      </c>
      <c r="F19" s="72">
        <f>Depreciation!F39</f>
        <v>343.43900000000002</v>
      </c>
      <c r="G19" s="72">
        <f>Depreciation!G39</f>
        <v>300.27165000000002</v>
      </c>
      <c r="H19" s="72">
        <f>Depreciation!H39</f>
        <v>264.33755250000002</v>
      </c>
      <c r="I19" s="72">
        <f>Depreciation!I39</f>
        <v>233.83870462499999</v>
      </c>
      <c r="J19" s="72">
        <f>Depreciation!J39</f>
        <v>207.57298543125</v>
      </c>
      <c r="K19" s="72">
        <f>Depreciation!K39</f>
        <v>184.71020346656252</v>
      </c>
      <c r="L19" s="72">
        <f>Depreciation!L39</f>
        <v>164.65597501157814</v>
      </c>
      <c r="M19" s="72">
        <f>Depreciation!M39</f>
        <v>146.96852229834144</v>
      </c>
      <c r="N19" s="72">
        <f>Depreciation!N39</f>
        <v>131.3074161462402</v>
      </c>
    </row>
    <row r="20" spans="1:14" x14ac:dyDescent="0.15">
      <c r="B20" s="189"/>
      <c r="C20" s="239"/>
      <c r="D20" s="239"/>
      <c r="E20" s="239"/>
      <c r="F20" s="239"/>
      <c r="G20" s="239"/>
      <c r="H20" s="239"/>
      <c r="I20" s="239"/>
      <c r="J20" s="239"/>
      <c r="K20" s="239"/>
      <c r="L20" s="239"/>
      <c r="M20" s="240"/>
      <c r="N20" s="240"/>
    </row>
    <row r="21" spans="1:14" ht="35.25" customHeight="1" x14ac:dyDescent="0.15">
      <c r="A21" s="191"/>
      <c r="B21" s="100" t="s">
        <v>51</v>
      </c>
      <c r="C21" s="72">
        <f t="shared" ref="C21:F21" si="14">C17+C19</f>
        <v>0</v>
      </c>
      <c r="D21" s="72">
        <f t="shared" si="14"/>
        <v>0</v>
      </c>
      <c r="E21" s="72">
        <f t="shared" si="14"/>
        <v>0</v>
      </c>
      <c r="F21" s="72">
        <f t="shared" si="14"/>
        <v>1872.7483999999999</v>
      </c>
      <c r="G21" s="72">
        <f t="shared" ref="G21:H21" si="15">G17+G19</f>
        <v>1947.8927280000003</v>
      </c>
      <c r="H21" s="72">
        <f t="shared" si="15"/>
        <v>2040.1142653400002</v>
      </c>
      <c r="I21" s="72">
        <f t="shared" ref="I21:K21" si="16">I17+I19</f>
        <v>2149.2143654521997</v>
      </c>
      <c r="J21" s="72">
        <f t="shared" si="16"/>
        <v>2275.398583680626</v>
      </c>
      <c r="K21" s="72">
        <f t="shared" si="16"/>
        <v>2383.0646900874895</v>
      </c>
      <c r="L21" s="72">
        <f t="shared" ref="L21:M21" si="17">L17+L19</f>
        <v>2536.3797676249387</v>
      </c>
      <c r="M21" s="72">
        <f t="shared" si="17"/>
        <v>2704.7366100898071</v>
      </c>
      <c r="N21" s="72">
        <f t="shared" ref="N21" si="18">N17+N19</f>
        <v>2907.9060819069628</v>
      </c>
    </row>
    <row r="22" spans="1:14" x14ac:dyDescent="0.15">
      <c r="B22" s="189"/>
      <c r="C22" s="239"/>
      <c r="D22" s="239"/>
      <c r="E22" s="239"/>
      <c r="F22" s="239"/>
      <c r="G22" s="239"/>
      <c r="H22" s="239"/>
      <c r="I22" s="239"/>
      <c r="J22" s="239"/>
      <c r="K22" s="239"/>
      <c r="L22" s="239"/>
      <c r="M22" s="240"/>
      <c r="N22" s="240"/>
    </row>
    <row r="23" spans="1:14" x14ac:dyDescent="0.15">
      <c r="B23" s="188" t="s">
        <v>46</v>
      </c>
      <c r="C23" s="67">
        <f t="shared" ref="C23:F23" si="19">C8-C21</f>
        <v>0</v>
      </c>
      <c r="D23" s="67">
        <f t="shared" si="19"/>
        <v>0</v>
      </c>
      <c r="E23" s="67">
        <f t="shared" si="19"/>
        <v>0</v>
      </c>
      <c r="F23" s="67">
        <f t="shared" si="19"/>
        <v>80.235200000000077</v>
      </c>
      <c r="G23" s="67">
        <f t="shared" ref="G23:H23" si="20">G8-G21</f>
        <v>169.45183199999974</v>
      </c>
      <c r="H23" s="67">
        <f t="shared" si="20"/>
        <v>255.58643505999953</v>
      </c>
      <c r="I23" s="67">
        <f t="shared" ref="I23:K23" si="21">I8-I21</f>
        <v>340.04360435980016</v>
      </c>
      <c r="J23" s="67">
        <f t="shared" si="21"/>
        <v>423.9289276653335</v>
      </c>
      <c r="K23" s="67">
        <f t="shared" si="21"/>
        <v>544.27026420259654</v>
      </c>
      <c r="L23" s="67">
        <f t="shared" ref="L23:M23" si="22">L8-L21</f>
        <v>638.45076932562688</v>
      </c>
      <c r="M23" s="67">
        <f t="shared" si="22"/>
        <v>738.76352584683991</v>
      </c>
      <c r="N23" s="67">
        <f t="shared" ref="N23" si="23">N8-N21</f>
        <v>827.27120217274341</v>
      </c>
    </row>
    <row r="24" spans="1:14" x14ac:dyDescent="0.15">
      <c r="B24" s="189"/>
      <c r="C24" s="239"/>
      <c r="D24" s="239"/>
      <c r="E24" s="239"/>
      <c r="F24" s="239"/>
      <c r="G24" s="239"/>
      <c r="H24" s="239"/>
      <c r="I24" s="239"/>
      <c r="J24" s="239"/>
      <c r="K24" s="239"/>
      <c r="L24" s="239"/>
      <c r="M24" s="240"/>
      <c r="N24" s="240"/>
    </row>
    <row r="25" spans="1:14" x14ac:dyDescent="0.15">
      <c r="B25" s="188" t="s">
        <v>47</v>
      </c>
      <c r="C25" s="67">
        <f t="shared" ref="C25:K25" si="24">C23</f>
        <v>0</v>
      </c>
      <c r="D25" s="67">
        <f t="shared" si="24"/>
        <v>0</v>
      </c>
      <c r="E25" s="67">
        <f t="shared" si="24"/>
        <v>0</v>
      </c>
      <c r="F25" s="67">
        <f t="shared" si="24"/>
        <v>80.235200000000077</v>
      </c>
      <c r="G25" s="67">
        <f t="shared" si="24"/>
        <v>169.45183199999974</v>
      </c>
      <c r="H25" s="67">
        <f t="shared" si="24"/>
        <v>255.58643505999953</v>
      </c>
      <c r="I25" s="67">
        <f t="shared" si="24"/>
        <v>340.04360435980016</v>
      </c>
      <c r="J25" s="67">
        <f t="shared" si="24"/>
        <v>423.9289276653335</v>
      </c>
      <c r="K25" s="67">
        <f t="shared" si="24"/>
        <v>544.27026420259654</v>
      </c>
      <c r="L25" s="67">
        <f t="shared" ref="L25:M25" si="25">L23</f>
        <v>638.45076932562688</v>
      </c>
      <c r="M25" s="67">
        <f t="shared" si="25"/>
        <v>738.76352584683991</v>
      </c>
      <c r="N25" s="67">
        <f t="shared" ref="N25" si="26">N23</f>
        <v>827.27120217274341</v>
      </c>
    </row>
    <row r="26" spans="1:14" x14ac:dyDescent="0.15">
      <c r="B26" s="188" t="s">
        <v>48</v>
      </c>
      <c r="C26" s="67">
        <f t="shared" ref="C26" si="27">C25*25%</f>
        <v>0</v>
      </c>
      <c r="D26" s="67">
        <f>D25*30%</f>
        <v>0</v>
      </c>
      <c r="E26" s="67">
        <f t="shared" ref="E26:K26" si="28">E25*30%</f>
        <v>0</v>
      </c>
      <c r="F26" s="67">
        <f t="shared" si="28"/>
        <v>24.070560000000022</v>
      </c>
      <c r="G26" s="67">
        <f t="shared" si="28"/>
        <v>50.835549599999922</v>
      </c>
      <c r="H26" s="67">
        <f t="shared" si="28"/>
        <v>76.675930517999859</v>
      </c>
      <c r="I26" s="67">
        <f t="shared" si="28"/>
        <v>102.01308130794004</v>
      </c>
      <c r="J26" s="67">
        <f t="shared" si="28"/>
        <v>127.17867829960005</v>
      </c>
      <c r="K26" s="67">
        <f t="shared" si="28"/>
        <v>163.28107926077897</v>
      </c>
      <c r="L26" s="67">
        <f t="shared" ref="L26:M26" si="29">L25*30%</f>
        <v>191.53523079768806</v>
      </c>
      <c r="M26" s="67">
        <f t="shared" si="29"/>
        <v>221.62905775405196</v>
      </c>
      <c r="N26" s="67">
        <f t="shared" ref="N26" si="30">N25*30%</f>
        <v>248.18136065182301</v>
      </c>
    </row>
    <row r="27" spans="1:14" x14ac:dyDescent="0.15">
      <c r="A27" s="191"/>
      <c r="B27" s="188" t="s">
        <v>49</v>
      </c>
      <c r="C27" s="67">
        <f t="shared" ref="C27:F27" si="31">C25-C26</f>
        <v>0</v>
      </c>
      <c r="D27" s="67">
        <f t="shared" si="31"/>
        <v>0</v>
      </c>
      <c r="E27" s="67">
        <f t="shared" si="31"/>
        <v>0</v>
      </c>
      <c r="F27" s="67">
        <f t="shared" si="31"/>
        <v>56.164640000000055</v>
      </c>
      <c r="G27" s="67">
        <f t="shared" ref="G27:H27" si="32">G25-G26</f>
        <v>118.61628239999982</v>
      </c>
      <c r="H27" s="67">
        <f t="shared" si="32"/>
        <v>178.91050454199967</v>
      </c>
      <c r="I27" s="67">
        <f t="shared" ref="I27:K27" si="33">I25-I26</f>
        <v>238.03052305186011</v>
      </c>
      <c r="J27" s="67">
        <f t="shared" si="33"/>
        <v>296.75024936573345</v>
      </c>
      <c r="K27" s="67">
        <f t="shared" si="33"/>
        <v>380.9891849418176</v>
      </c>
      <c r="L27" s="67">
        <f t="shared" ref="L27:M27" si="34">L25-L26</f>
        <v>446.91553852793879</v>
      </c>
      <c r="M27" s="67">
        <f t="shared" si="34"/>
        <v>517.13446809278798</v>
      </c>
      <c r="N27" s="67">
        <f t="shared" ref="N27" si="35">N25-N26</f>
        <v>579.08984152092034</v>
      </c>
    </row>
    <row r="28" spans="1:14" ht="15.75" thickBot="1" x14ac:dyDescent="0.2">
      <c r="A28" s="191"/>
      <c r="B28" s="246"/>
      <c r="C28" s="247"/>
      <c r="D28" s="247"/>
      <c r="E28" s="247"/>
      <c r="F28" s="247"/>
      <c r="G28" s="247"/>
      <c r="H28" s="247"/>
      <c r="I28" s="247"/>
      <c r="J28" s="247"/>
      <c r="K28" s="247"/>
      <c r="L28" s="247"/>
      <c r="M28" s="248"/>
      <c r="N28" s="248"/>
    </row>
    <row r="29" spans="1:14" ht="15.75" thickBot="1" x14ac:dyDescent="0.2">
      <c r="A29" s="191"/>
      <c r="B29" s="192" t="s">
        <v>50</v>
      </c>
      <c r="C29" s="141">
        <f t="shared" ref="C29:F29" si="36">C27</f>
        <v>0</v>
      </c>
      <c r="D29" s="141">
        <f t="shared" si="36"/>
        <v>0</v>
      </c>
      <c r="E29" s="141">
        <f t="shared" si="36"/>
        <v>0</v>
      </c>
      <c r="F29" s="141">
        <f t="shared" si="36"/>
        <v>56.164640000000055</v>
      </c>
      <c r="G29" s="141">
        <f t="shared" ref="G29:H29" si="37">G27</f>
        <v>118.61628239999982</v>
      </c>
      <c r="H29" s="141">
        <f t="shared" si="37"/>
        <v>178.91050454199967</v>
      </c>
      <c r="I29" s="141">
        <f t="shared" ref="I29:K29" si="38">I27</f>
        <v>238.03052305186011</v>
      </c>
      <c r="J29" s="141">
        <f t="shared" si="38"/>
        <v>296.75024936573345</v>
      </c>
      <c r="K29" s="141">
        <f t="shared" si="38"/>
        <v>380.9891849418176</v>
      </c>
      <c r="L29" s="141">
        <f t="shared" ref="L29:M29" si="39">L27</f>
        <v>446.91553852793879</v>
      </c>
      <c r="M29" s="141">
        <f t="shared" si="39"/>
        <v>517.13446809278798</v>
      </c>
      <c r="N29" s="141">
        <f t="shared" ref="N29" si="40">N27</f>
        <v>579.08984152092034</v>
      </c>
    </row>
    <row r="30" spans="1:14" x14ac:dyDescent="0.15">
      <c r="A30" s="191"/>
      <c r="B30" s="193"/>
      <c r="C30" s="194"/>
      <c r="D30" s="194"/>
      <c r="E30" s="194"/>
      <c r="F30" s="194"/>
      <c r="G30" s="194"/>
      <c r="H30" s="194"/>
      <c r="I30" s="194"/>
      <c r="J30" s="194"/>
      <c r="K30" s="194"/>
      <c r="L30" s="194"/>
      <c r="M30" s="194"/>
      <c r="N30" s="194"/>
    </row>
    <row r="31" spans="1:14" x14ac:dyDescent="0.15">
      <c r="A31" s="191"/>
      <c r="B31" s="193"/>
      <c r="C31" s="195"/>
      <c r="D31" s="195"/>
      <c r="E31" s="195"/>
      <c r="F31" s="195"/>
      <c r="G31" s="195"/>
      <c r="H31" s="195"/>
      <c r="I31" s="195"/>
      <c r="J31" s="195"/>
      <c r="K31" s="195"/>
      <c r="L31" s="195"/>
      <c r="M31" s="195"/>
      <c r="N31" s="195"/>
    </row>
    <row r="32" spans="1:14" x14ac:dyDescent="0.15">
      <c r="A32" s="191"/>
      <c r="B32" s="193"/>
      <c r="C32" s="195"/>
      <c r="D32" s="195"/>
      <c r="E32" s="195"/>
      <c r="F32" s="195"/>
      <c r="G32" s="195"/>
      <c r="H32" s="195"/>
      <c r="I32" s="195"/>
      <c r="J32" s="195"/>
      <c r="K32" s="195"/>
      <c r="L32" s="195"/>
      <c r="M32" s="195"/>
      <c r="N32" s="195"/>
    </row>
    <row r="33" spans="1:15" x14ac:dyDescent="0.15">
      <c r="A33" s="191"/>
      <c r="B33" s="193"/>
      <c r="C33" s="195"/>
      <c r="D33" s="195"/>
      <c r="E33" s="195"/>
      <c r="F33" s="195"/>
      <c r="G33" s="195"/>
      <c r="H33" s="195"/>
      <c r="I33" s="195"/>
      <c r="J33" s="195"/>
      <c r="K33" s="195"/>
      <c r="L33" s="195"/>
      <c r="M33" s="195"/>
      <c r="N33" s="195"/>
    </row>
    <row r="34" spans="1:15" x14ac:dyDescent="0.15">
      <c r="A34" s="191"/>
      <c r="B34" s="193"/>
      <c r="C34" s="195"/>
      <c r="D34" s="195"/>
      <c r="E34" s="195"/>
      <c r="F34" s="195"/>
      <c r="G34" s="195"/>
    </row>
    <row r="35" spans="1:15" x14ac:dyDescent="0.15">
      <c r="A35" s="191"/>
      <c r="B35" s="193"/>
      <c r="C35" s="195"/>
      <c r="D35" s="195"/>
      <c r="E35" s="195"/>
      <c r="F35" s="195"/>
      <c r="G35" s="195"/>
    </row>
    <row r="36" spans="1:15" x14ac:dyDescent="0.15">
      <c r="A36" s="191"/>
      <c r="B36" s="193"/>
      <c r="C36" s="195"/>
      <c r="D36" s="195"/>
      <c r="E36" s="195"/>
      <c r="F36" s="195"/>
      <c r="G36" s="195"/>
    </row>
    <row r="37" spans="1:15" x14ac:dyDescent="0.15">
      <c r="A37" s="191"/>
      <c r="B37" s="193"/>
      <c r="C37" s="195"/>
      <c r="D37" s="195"/>
      <c r="E37" s="195"/>
      <c r="F37" s="195"/>
      <c r="G37" s="195"/>
    </row>
    <row r="38" spans="1:15" x14ac:dyDescent="0.15">
      <c r="A38" s="191"/>
      <c r="B38" s="193"/>
      <c r="C38" s="195"/>
      <c r="D38" s="195"/>
      <c r="E38" s="195"/>
      <c r="F38" s="195"/>
      <c r="G38" s="195"/>
    </row>
    <row r="39" spans="1:15" x14ac:dyDescent="0.15">
      <c r="A39" s="331" t="str">
        <f>A1</f>
        <v>Project Report of M/s VAYU SUITES</v>
      </c>
      <c r="B39" s="331"/>
      <c r="C39" s="331"/>
      <c r="D39" s="331"/>
      <c r="E39" s="331"/>
      <c r="F39" s="331"/>
      <c r="G39" s="331"/>
      <c r="H39" s="331"/>
      <c r="I39" s="331"/>
      <c r="J39" s="331"/>
      <c r="K39" s="331"/>
      <c r="L39" s="331"/>
      <c r="M39" s="331"/>
      <c r="N39" s="331"/>
      <c r="O39" s="237"/>
    </row>
    <row r="40" spans="1:15" x14ac:dyDescent="0.15">
      <c r="A40" s="229"/>
      <c r="B40" s="229"/>
      <c r="C40" s="229"/>
      <c r="D40" s="229"/>
      <c r="E40" s="229"/>
      <c r="F40" s="229"/>
      <c r="G40" s="229"/>
    </row>
    <row r="41" spans="1:15" ht="15.75" thickBot="1" x14ac:dyDescent="0.2">
      <c r="A41" s="238" t="s">
        <v>52</v>
      </c>
      <c r="B41" s="238"/>
      <c r="C41" s="238"/>
      <c r="D41" s="238"/>
      <c r="E41" s="238"/>
      <c r="F41" s="238"/>
      <c r="G41" s="238"/>
      <c r="H41" s="238"/>
      <c r="I41" s="238"/>
      <c r="J41" s="238"/>
      <c r="K41" s="238"/>
      <c r="L41" s="238"/>
      <c r="M41" s="196"/>
      <c r="N41" s="196" t="s">
        <v>218</v>
      </c>
    </row>
    <row r="42" spans="1:15" ht="15.75" thickBot="1" x14ac:dyDescent="0.2">
      <c r="B42" s="197" t="s">
        <v>1</v>
      </c>
      <c r="C42" s="135" t="s">
        <v>159</v>
      </c>
      <c r="D42" s="135" t="s">
        <v>160</v>
      </c>
      <c r="E42" s="135" t="s">
        <v>161</v>
      </c>
      <c r="F42" s="135" t="s">
        <v>162</v>
      </c>
      <c r="G42" s="135" t="s">
        <v>163</v>
      </c>
      <c r="H42" s="135" t="s">
        <v>217</v>
      </c>
      <c r="I42" s="135" t="s">
        <v>230</v>
      </c>
      <c r="J42" s="136" t="s">
        <v>234</v>
      </c>
      <c r="K42" s="136" t="s">
        <v>235</v>
      </c>
      <c r="L42" s="136" t="s">
        <v>236</v>
      </c>
      <c r="M42" s="136" t="s">
        <v>281</v>
      </c>
      <c r="N42" s="47" t="s">
        <v>283</v>
      </c>
    </row>
    <row r="43" spans="1:15" x14ac:dyDescent="0.15">
      <c r="A43" s="186"/>
      <c r="B43" s="198" t="s">
        <v>53</v>
      </c>
      <c r="C43" s="181"/>
      <c r="D43" s="181"/>
      <c r="E43" s="181"/>
      <c r="F43" s="181"/>
      <c r="G43" s="181"/>
      <c r="H43" s="181"/>
      <c r="I43" s="181"/>
      <c r="J43" s="181"/>
      <c r="K43" s="181"/>
      <c r="L43" s="181"/>
      <c r="M43" s="182"/>
      <c r="N43" s="182"/>
    </row>
    <row r="44" spans="1:15" x14ac:dyDescent="0.15">
      <c r="B44" s="199" t="s">
        <v>258</v>
      </c>
      <c r="C44" s="70">
        <v>5</v>
      </c>
      <c r="D44" s="70">
        <v>503.19</v>
      </c>
      <c r="E44" s="70">
        <v>1074.1600000000001</v>
      </c>
      <c r="F44" s="70">
        <v>1074.1600000000001</v>
      </c>
      <c r="G44" s="70">
        <v>1074.1600000000001</v>
      </c>
      <c r="H44" s="70">
        <v>1074.1600000000001</v>
      </c>
      <c r="I44" s="70">
        <v>1074.1600000000001</v>
      </c>
      <c r="J44" s="70">
        <v>1074.1600000000001</v>
      </c>
      <c r="K44" s="70">
        <v>1074.1600000000001</v>
      </c>
      <c r="L44" s="70">
        <v>1074.1600000000001</v>
      </c>
      <c r="M44" s="70">
        <v>1074.1600000000001</v>
      </c>
      <c r="N44" s="70">
        <v>1074.1600000000001</v>
      </c>
    </row>
    <row r="45" spans="1:15" x14ac:dyDescent="0.15">
      <c r="B45" s="199" t="s">
        <v>54</v>
      </c>
      <c r="C45" s="70">
        <f>C29</f>
        <v>0</v>
      </c>
      <c r="D45" s="70">
        <f t="shared" ref="D45:N45" si="41">D29+C45</f>
        <v>0</v>
      </c>
      <c r="E45" s="70">
        <f t="shared" si="41"/>
        <v>0</v>
      </c>
      <c r="F45" s="70">
        <f t="shared" si="41"/>
        <v>56.164640000000055</v>
      </c>
      <c r="G45" s="70">
        <f t="shared" si="41"/>
        <v>174.78092239999987</v>
      </c>
      <c r="H45" s="70">
        <f t="shared" si="41"/>
        <v>353.69142694199957</v>
      </c>
      <c r="I45" s="70">
        <f t="shared" si="41"/>
        <v>591.72194999385965</v>
      </c>
      <c r="J45" s="70">
        <f t="shared" si="41"/>
        <v>888.47219935959311</v>
      </c>
      <c r="K45" s="70">
        <f t="shared" si="41"/>
        <v>1269.4613843014108</v>
      </c>
      <c r="L45" s="70">
        <f t="shared" si="41"/>
        <v>1716.3769228293495</v>
      </c>
      <c r="M45" s="70">
        <f t="shared" si="41"/>
        <v>2233.5113909221373</v>
      </c>
      <c r="N45" s="70">
        <f t="shared" si="41"/>
        <v>2812.6012324430576</v>
      </c>
    </row>
    <row r="46" spans="1:15" x14ac:dyDescent="0.15">
      <c r="B46" s="199" t="s">
        <v>55</v>
      </c>
      <c r="C46" s="70">
        <v>0</v>
      </c>
      <c r="D46" s="70">
        <f>'Repayment Schedule'!B157</f>
        <v>920</v>
      </c>
      <c r="E46" s="70">
        <f>'Repayment Schedule'!C157</f>
        <v>2218</v>
      </c>
      <c r="F46" s="70">
        <f>'Repayment Schedule'!D157</f>
        <v>2138</v>
      </c>
      <c r="G46" s="70">
        <f>'Repayment Schedule'!E157</f>
        <v>1998</v>
      </c>
      <c r="H46" s="70">
        <f>'Repayment Schedule'!F157</f>
        <v>1828</v>
      </c>
      <c r="I46" s="70">
        <f>'Repayment Schedule'!G157</f>
        <v>1628</v>
      </c>
      <c r="J46" s="70">
        <f>'Repayment Schedule'!H157</f>
        <v>1398</v>
      </c>
      <c r="K46" s="70">
        <f>'Repayment Schedule'!I157</f>
        <v>1078</v>
      </c>
      <c r="L46" s="70">
        <f>'Repayment Schedule'!J157</f>
        <v>638</v>
      </c>
      <c r="M46" s="70">
        <f>'Repayment Schedule'!K157</f>
        <v>158</v>
      </c>
      <c r="N46" s="70">
        <f>'Repayment Schedule'!L157</f>
        <v>0</v>
      </c>
    </row>
    <row r="47" spans="1:15" x14ac:dyDescent="0.15">
      <c r="B47" s="199" t="s">
        <v>211</v>
      </c>
      <c r="C47" s="70">
        <v>0</v>
      </c>
      <c r="D47" s="70">
        <v>0</v>
      </c>
      <c r="E47" s="70">
        <v>0</v>
      </c>
      <c r="F47" s="70">
        <v>0</v>
      </c>
      <c r="G47" s="70">
        <v>0</v>
      </c>
      <c r="H47" s="70">
        <v>0</v>
      </c>
      <c r="I47" s="70">
        <v>0</v>
      </c>
      <c r="J47" s="70">
        <v>0</v>
      </c>
      <c r="K47" s="70">
        <v>0</v>
      </c>
      <c r="L47" s="70">
        <v>0</v>
      </c>
      <c r="M47" s="70">
        <v>0</v>
      </c>
      <c r="N47" s="70">
        <v>0</v>
      </c>
    </row>
    <row r="48" spans="1:15" x14ac:dyDescent="0.15">
      <c r="B48" s="199" t="s">
        <v>6</v>
      </c>
      <c r="C48" s="70">
        <v>0</v>
      </c>
      <c r="D48" s="70">
        <v>0</v>
      </c>
      <c r="E48" s="70">
        <v>0</v>
      </c>
      <c r="F48" s="70">
        <v>63.85</v>
      </c>
      <c r="G48" s="70">
        <v>73.430000000000007</v>
      </c>
      <c r="H48" s="70">
        <v>84.44</v>
      </c>
      <c r="I48" s="70">
        <v>97.11</v>
      </c>
      <c r="J48" s="70">
        <v>111.68</v>
      </c>
      <c r="K48" s="70">
        <v>128.43</v>
      </c>
      <c r="L48" s="70">
        <v>142.87</v>
      </c>
      <c r="M48" s="70">
        <v>156.22999999999999</v>
      </c>
      <c r="N48" s="70">
        <v>174.74</v>
      </c>
    </row>
    <row r="49" spans="1:14" ht="15.75" thickBot="1" x14ac:dyDescent="0.2">
      <c r="B49" s="200"/>
      <c r="C49" s="249"/>
      <c r="D49" s="249"/>
      <c r="E49" s="249"/>
      <c r="F49" s="249"/>
      <c r="G49" s="249"/>
      <c r="H49" s="249"/>
      <c r="I49" s="249"/>
      <c r="J49" s="249"/>
      <c r="K49" s="249"/>
      <c r="L49" s="249"/>
      <c r="M49" s="250"/>
      <c r="N49" s="250"/>
    </row>
    <row r="50" spans="1:14" ht="15.75" thickBot="1" x14ac:dyDescent="0.2">
      <c r="B50" s="201" t="s">
        <v>4</v>
      </c>
      <c r="C50" s="137">
        <f t="shared" ref="C50:N50" si="42">SUM(C44:C48)</f>
        <v>5</v>
      </c>
      <c r="D50" s="137">
        <f t="shared" si="42"/>
        <v>1423.19</v>
      </c>
      <c r="E50" s="137">
        <f t="shared" si="42"/>
        <v>3292.16</v>
      </c>
      <c r="F50" s="137">
        <f t="shared" si="42"/>
        <v>3332.1746399999997</v>
      </c>
      <c r="G50" s="137">
        <f t="shared" si="42"/>
        <v>3320.3709223999999</v>
      </c>
      <c r="H50" s="137">
        <f t="shared" si="42"/>
        <v>3340.2914269419998</v>
      </c>
      <c r="I50" s="137">
        <f t="shared" si="42"/>
        <v>3390.9919499938601</v>
      </c>
      <c r="J50" s="137">
        <f t="shared" si="42"/>
        <v>3472.3121993595928</v>
      </c>
      <c r="K50" s="137">
        <f t="shared" si="42"/>
        <v>3550.051384301411</v>
      </c>
      <c r="L50" s="137">
        <f t="shared" si="42"/>
        <v>3571.4069228293492</v>
      </c>
      <c r="M50" s="137">
        <f t="shared" si="42"/>
        <v>3621.9013909221371</v>
      </c>
      <c r="N50" s="137">
        <f t="shared" si="42"/>
        <v>4061.5012324430572</v>
      </c>
    </row>
    <row r="51" spans="1:14" ht="15.75" thickBot="1" x14ac:dyDescent="0.2">
      <c r="B51" s="202"/>
      <c r="C51" s="202"/>
      <c r="D51" s="202"/>
      <c r="E51" s="202"/>
      <c r="F51" s="202"/>
      <c r="G51" s="202"/>
      <c r="H51" s="202"/>
      <c r="I51" s="202"/>
      <c r="J51" s="202"/>
      <c r="K51" s="202"/>
      <c r="L51" s="202"/>
      <c r="M51" s="202"/>
      <c r="N51" s="202"/>
    </row>
    <row r="52" spans="1:14" ht="15.75" thickBot="1" x14ac:dyDescent="0.2">
      <c r="B52" s="197" t="s">
        <v>1</v>
      </c>
      <c r="C52" s="135" t="s">
        <v>159</v>
      </c>
      <c r="D52" s="135" t="s">
        <v>160</v>
      </c>
      <c r="E52" s="135" t="s">
        <v>161</v>
      </c>
      <c r="F52" s="135" t="s">
        <v>162</v>
      </c>
      <c r="G52" s="135" t="s">
        <v>163</v>
      </c>
      <c r="H52" s="135" t="s">
        <v>217</v>
      </c>
      <c r="I52" s="135" t="s">
        <v>230</v>
      </c>
      <c r="J52" s="136" t="s">
        <v>234</v>
      </c>
      <c r="K52" s="136" t="s">
        <v>235</v>
      </c>
      <c r="L52" s="136" t="s">
        <v>236</v>
      </c>
      <c r="M52" s="136" t="s">
        <v>281</v>
      </c>
      <c r="N52" s="47" t="s">
        <v>283</v>
      </c>
    </row>
    <row r="53" spans="1:14" x14ac:dyDescent="0.15">
      <c r="A53" s="186"/>
      <c r="B53" s="198" t="s">
        <v>56</v>
      </c>
      <c r="C53" s="251"/>
      <c r="D53" s="251"/>
      <c r="E53" s="251"/>
      <c r="F53" s="251"/>
      <c r="G53" s="251"/>
      <c r="H53" s="251"/>
      <c r="I53" s="251"/>
      <c r="J53" s="251"/>
      <c r="K53" s="251"/>
      <c r="L53" s="251"/>
      <c r="M53" s="252"/>
      <c r="N53" s="252"/>
    </row>
    <row r="54" spans="1:14" x14ac:dyDescent="0.15">
      <c r="A54" s="186"/>
      <c r="B54" s="199" t="s">
        <v>57</v>
      </c>
      <c r="C54" s="70">
        <f>Depreciation!C48</f>
        <v>5</v>
      </c>
      <c r="D54" s="70">
        <f>Depreciation!D48</f>
        <v>1393</v>
      </c>
      <c r="E54" s="70">
        <f>Depreciation!E48</f>
        <v>3116.66</v>
      </c>
      <c r="F54" s="70">
        <f>Depreciation!F48</f>
        <v>2773.221</v>
      </c>
      <c r="G54" s="70">
        <f>Depreciation!G48</f>
        <v>2472.9493500000003</v>
      </c>
      <c r="H54" s="70">
        <f>Depreciation!H48</f>
        <v>2208.6117974999997</v>
      </c>
      <c r="I54" s="70">
        <f>Depreciation!I48</f>
        <v>1974.7730928749997</v>
      </c>
      <c r="J54" s="70">
        <f>Depreciation!J48</f>
        <v>1767.2001074437499</v>
      </c>
      <c r="K54" s="70">
        <f>Depreciation!K48</f>
        <v>1582.4899039771874</v>
      </c>
      <c r="L54" s="70">
        <f>Depreciation!L48</f>
        <v>1417.8339289656094</v>
      </c>
      <c r="M54" s="70">
        <f>Depreciation!M48</f>
        <v>1270.865406667268</v>
      </c>
      <c r="N54" s="70">
        <f>Depreciation!N48</f>
        <v>1139.5579905210277</v>
      </c>
    </row>
    <row r="55" spans="1:14" x14ac:dyDescent="0.15">
      <c r="A55" s="186"/>
      <c r="B55" s="199" t="s">
        <v>58</v>
      </c>
      <c r="C55" s="70">
        <v>0</v>
      </c>
      <c r="D55" s="139">
        <v>0</v>
      </c>
      <c r="E55" s="70">
        <v>0</v>
      </c>
      <c r="F55" s="70">
        <v>350</v>
      </c>
      <c r="G55" s="70">
        <v>650</v>
      </c>
      <c r="H55" s="70">
        <v>925</v>
      </c>
      <c r="I55" s="70">
        <v>1200</v>
      </c>
      <c r="J55" s="70">
        <v>1450</v>
      </c>
      <c r="K55" s="70">
        <v>1650</v>
      </c>
      <c r="L55" s="70">
        <v>1800</v>
      </c>
      <c r="M55" s="70">
        <v>1900</v>
      </c>
      <c r="N55" s="70">
        <v>2400</v>
      </c>
    </row>
    <row r="56" spans="1:14" x14ac:dyDescent="0.15">
      <c r="A56" s="186"/>
      <c r="B56" s="199" t="s">
        <v>59</v>
      </c>
      <c r="C56" s="70">
        <v>0</v>
      </c>
      <c r="D56" s="70">
        <v>2.5000000000545697E-3</v>
      </c>
      <c r="E56" s="70">
        <v>4.1666666666060337E-3</v>
      </c>
      <c r="F56" s="70">
        <v>51.07780666666622</v>
      </c>
      <c r="G56" s="70">
        <v>64.585739066666065</v>
      </c>
      <c r="H56" s="70">
        <v>95.433796108666684</v>
      </c>
      <c r="I56" s="70">
        <v>118.34302378552729</v>
      </c>
      <c r="J56" s="70">
        <v>169.16625858250927</v>
      </c>
      <c r="K56" s="70">
        <v>211.08564699089038</v>
      </c>
      <c r="L56" s="70">
        <v>230.86716053040618</v>
      </c>
      <c r="M56" s="70">
        <v>264.56015092153575</v>
      </c>
      <c r="N56" s="70">
        <v>303.53740858869605</v>
      </c>
    </row>
    <row r="57" spans="1:14" x14ac:dyDescent="0.15">
      <c r="B57" s="199" t="s">
        <v>60</v>
      </c>
      <c r="C57" s="70">
        <v>0</v>
      </c>
      <c r="D57" s="140">
        <v>0</v>
      </c>
      <c r="E57" s="70">
        <v>0</v>
      </c>
      <c r="F57" s="70">
        <v>16.690000000000001</v>
      </c>
      <c r="G57" s="70">
        <v>25.96</v>
      </c>
      <c r="H57" s="70">
        <v>38.68</v>
      </c>
      <c r="I57" s="70">
        <v>59.62</v>
      </c>
      <c r="J57" s="70">
        <v>82.01</v>
      </c>
      <c r="K57" s="70">
        <v>102.54</v>
      </c>
      <c r="L57" s="70">
        <v>118.77</v>
      </c>
      <c r="M57" s="70">
        <v>182.54</v>
      </c>
      <c r="N57" s="70">
        <v>214.47</v>
      </c>
    </row>
    <row r="58" spans="1:14" x14ac:dyDescent="0.15">
      <c r="B58" s="188" t="s">
        <v>252</v>
      </c>
      <c r="C58" s="70">
        <v>0</v>
      </c>
      <c r="D58" s="70">
        <f>C245/100000</f>
        <v>30.1875</v>
      </c>
      <c r="E58" s="70">
        <f>D58+(D245/100000)</f>
        <v>175.49583333333334</v>
      </c>
      <c r="F58" s="70">
        <f t="shared" ref="F58:N58" si="43">E58-F15</f>
        <v>141.18583333333333</v>
      </c>
      <c r="G58" s="70">
        <f t="shared" si="43"/>
        <v>106.87583333333333</v>
      </c>
      <c r="H58" s="70">
        <f t="shared" si="43"/>
        <v>72.56583333333333</v>
      </c>
      <c r="I58" s="70">
        <f t="shared" si="43"/>
        <v>38.255833333333328</v>
      </c>
      <c r="J58" s="70">
        <f t="shared" si="43"/>
        <v>3.9358333333333277</v>
      </c>
      <c r="K58" s="70">
        <f t="shared" si="43"/>
        <v>3.9358333333333277</v>
      </c>
      <c r="L58" s="70">
        <f t="shared" si="43"/>
        <v>3.9358333333333277</v>
      </c>
      <c r="M58" s="70">
        <f t="shared" si="43"/>
        <v>3.9358333333333277</v>
      </c>
      <c r="N58" s="70">
        <f t="shared" si="43"/>
        <v>3.9358333333333277</v>
      </c>
    </row>
    <row r="59" spans="1:14" ht="15.75" thickBot="1" x14ac:dyDescent="0.2">
      <c r="A59" s="186"/>
      <c r="B59" s="200"/>
      <c r="C59" s="249"/>
      <c r="D59" s="249"/>
      <c r="E59" s="249"/>
      <c r="F59" s="249"/>
      <c r="G59" s="249"/>
      <c r="H59" s="249"/>
      <c r="I59" s="249"/>
      <c r="J59" s="249"/>
      <c r="K59" s="249"/>
      <c r="L59" s="249"/>
      <c r="M59" s="250"/>
      <c r="N59" s="250"/>
    </row>
    <row r="60" spans="1:14" ht="15.75" thickBot="1" x14ac:dyDescent="0.2">
      <c r="B60" s="138" t="s">
        <v>61</v>
      </c>
      <c r="C60" s="137">
        <f t="shared" ref="C60:N60" si="44">SUM(C54:C58)</f>
        <v>5</v>
      </c>
      <c r="D60" s="137">
        <f t="shared" si="44"/>
        <v>1423.19</v>
      </c>
      <c r="E60" s="137">
        <f t="shared" si="44"/>
        <v>3292.16</v>
      </c>
      <c r="F60" s="137">
        <f t="shared" si="44"/>
        <v>3332.1746399999997</v>
      </c>
      <c r="G60" s="137">
        <f t="shared" si="44"/>
        <v>3320.3709223999999</v>
      </c>
      <c r="H60" s="137">
        <f t="shared" si="44"/>
        <v>3340.2914269419998</v>
      </c>
      <c r="I60" s="137">
        <f t="shared" si="44"/>
        <v>3390.9919499938601</v>
      </c>
      <c r="J60" s="137">
        <f t="shared" si="44"/>
        <v>3472.3121993595928</v>
      </c>
      <c r="K60" s="137">
        <f t="shared" si="44"/>
        <v>3550.051384301411</v>
      </c>
      <c r="L60" s="137">
        <f t="shared" si="44"/>
        <v>3571.4069228293492</v>
      </c>
      <c r="M60" s="137">
        <f t="shared" si="44"/>
        <v>3621.9013909221371</v>
      </c>
      <c r="N60" s="137">
        <f t="shared" si="44"/>
        <v>4061.5012324430572</v>
      </c>
    </row>
    <row r="61" spans="1:14" x14ac:dyDescent="0.15">
      <c r="B61" s="54"/>
      <c r="C61" s="194"/>
      <c r="D61" s="194"/>
      <c r="E61" s="194"/>
      <c r="F61" s="194"/>
      <c r="G61" s="194"/>
      <c r="H61" s="194"/>
      <c r="I61" s="194"/>
      <c r="J61" s="194"/>
      <c r="K61" s="194"/>
    </row>
    <row r="62" spans="1:14" x14ac:dyDescent="0.15">
      <c r="B62" s="54"/>
      <c r="C62" s="194">
        <f t="shared" ref="C62:M62" si="45">C50-C60</f>
        <v>0</v>
      </c>
      <c r="D62" s="194">
        <f t="shared" si="45"/>
        <v>0</v>
      </c>
      <c r="E62" s="194">
        <f t="shared" si="45"/>
        <v>0</v>
      </c>
      <c r="F62" s="194">
        <f t="shared" si="45"/>
        <v>0</v>
      </c>
      <c r="G62" s="194">
        <f t="shared" si="45"/>
        <v>0</v>
      </c>
      <c r="H62" s="194">
        <f t="shared" si="45"/>
        <v>0</v>
      </c>
      <c r="I62" s="194">
        <f t="shared" si="45"/>
        <v>0</v>
      </c>
      <c r="J62" s="194">
        <f t="shared" si="45"/>
        <v>0</v>
      </c>
      <c r="K62" s="194">
        <f t="shared" si="45"/>
        <v>0</v>
      </c>
      <c r="L62" s="194">
        <f t="shared" si="45"/>
        <v>0</v>
      </c>
      <c r="M62" s="194">
        <f t="shared" si="45"/>
        <v>0</v>
      </c>
      <c r="N62" s="194">
        <f t="shared" ref="N62" si="46">N50-N60</f>
        <v>0</v>
      </c>
    </row>
    <row r="63" spans="1:14" x14ac:dyDescent="0.15">
      <c r="B63" s="54"/>
      <c r="E63" s="204"/>
      <c r="F63" s="204"/>
      <c r="G63" s="204"/>
      <c r="H63" s="204"/>
      <c r="I63" s="204"/>
    </row>
    <row r="64" spans="1:14" x14ac:dyDescent="0.15">
      <c r="B64" s="54"/>
    </row>
    <row r="65" spans="2:11" x14ac:dyDescent="0.15">
      <c r="B65" s="54"/>
    </row>
    <row r="66" spans="2:11" x14ac:dyDescent="0.15">
      <c r="B66" s="54"/>
    </row>
    <row r="67" spans="2:11" x14ac:dyDescent="0.15">
      <c r="B67" s="229"/>
      <c r="C67" s="229"/>
      <c r="D67" s="229"/>
      <c r="E67" s="229"/>
      <c r="F67" s="229"/>
      <c r="G67" s="229"/>
      <c r="H67" s="229"/>
    </row>
    <row r="68" spans="2:11" x14ac:dyDescent="0.15">
      <c r="B68" s="229"/>
      <c r="C68" s="229"/>
      <c r="D68" s="229"/>
      <c r="E68" s="229"/>
      <c r="F68" s="229"/>
      <c r="G68" s="229"/>
      <c r="H68" s="229"/>
    </row>
    <row r="69" spans="2:11" x14ac:dyDescent="0.15">
      <c r="B69" s="229"/>
      <c r="C69" s="229"/>
      <c r="D69" s="229"/>
      <c r="E69" s="229"/>
      <c r="F69" s="229"/>
      <c r="G69" s="229"/>
      <c r="H69" s="229"/>
    </row>
    <row r="70" spans="2:11" x14ac:dyDescent="0.15">
      <c r="B70" s="229"/>
      <c r="C70" s="229"/>
      <c r="D70" s="229"/>
      <c r="E70" s="229"/>
      <c r="F70" s="229"/>
      <c r="G70" s="229"/>
      <c r="H70" s="229"/>
    </row>
    <row r="71" spans="2:11" x14ac:dyDescent="0.15">
      <c r="B71" s="229"/>
      <c r="C71" s="229"/>
      <c r="D71" s="229"/>
      <c r="E71" s="229"/>
      <c r="F71" s="229"/>
      <c r="G71" s="229"/>
      <c r="H71" s="229"/>
    </row>
    <row r="72" spans="2:11" x14ac:dyDescent="0.15">
      <c r="B72" s="229"/>
      <c r="C72" s="229"/>
      <c r="D72" s="229"/>
      <c r="E72" s="229"/>
      <c r="F72" s="229"/>
      <c r="G72" s="229"/>
      <c r="H72" s="229"/>
    </row>
    <row r="73" spans="2:11" x14ac:dyDescent="0.15">
      <c r="B73" s="229"/>
      <c r="C73" s="229"/>
      <c r="D73" s="229"/>
      <c r="E73" s="229"/>
      <c r="F73" s="229"/>
      <c r="G73" s="229"/>
      <c r="H73" s="229"/>
    </row>
    <row r="74" spans="2:11" x14ac:dyDescent="0.15">
      <c r="B74" s="229"/>
      <c r="C74" s="229"/>
      <c r="D74" s="229"/>
      <c r="E74" s="229"/>
      <c r="F74" s="229"/>
      <c r="G74" s="229"/>
      <c r="H74" s="229"/>
    </row>
    <row r="75" spans="2:11" x14ac:dyDescent="0.15">
      <c r="B75" s="229"/>
      <c r="C75" s="229"/>
      <c r="D75" s="229"/>
      <c r="E75" s="229"/>
      <c r="F75" s="229"/>
      <c r="G75" s="229"/>
      <c r="H75" s="229"/>
    </row>
    <row r="76" spans="2:11" x14ac:dyDescent="0.15">
      <c r="B76" s="229"/>
      <c r="C76" s="229"/>
      <c r="D76" s="229"/>
      <c r="E76" s="229"/>
      <c r="F76" s="229"/>
      <c r="G76" s="229"/>
      <c r="H76" s="229"/>
    </row>
    <row r="77" spans="2:11" x14ac:dyDescent="0.15">
      <c r="B77" s="229"/>
      <c r="C77" s="229"/>
      <c r="D77" s="229"/>
      <c r="E77" s="229"/>
      <c r="F77" s="229"/>
      <c r="G77" s="229"/>
      <c r="H77" s="229"/>
    </row>
    <row r="78" spans="2:11" x14ac:dyDescent="0.15">
      <c r="B78" s="237" t="str">
        <f>A1</f>
        <v>Project Report of M/s VAYU SUITES</v>
      </c>
      <c r="C78" s="237"/>
      <c r="D78" s="237"/>
      <c r="E78" s="237"/>
      <c r="F78" s="237"/>
      <c r="G78" s="237"/>
      <c r="H78" s="237"/>
      <c r="I78" s="237"/>
      <c r="J78" s="237"/>
      <c r="K78" s="237"/>
    </row>
    <row r="79" spans="2:11" x14ac:dyDescent="0.15">
      <c r="B79" s="228"/>
      <c r="C79" s="228"/>
      <c r="D79" s="228"/>
      <c r="E79" s="228"/>
      <c r="F79" s="228"/>
      <c r="G79" s="228"/>
      <c r="H79" s="228"/>
      <c r="I79" s="228"/>
    </row>
    <row r="80" spans="2:11" x14ac:dyDescent="0.15">
      <c r="B80" s="238" t="s">
        <v>268</v>
      </c>
      <c r="C80" s="238"/>
      <c r="D80" s="238"/>
      <c r="E80" s="238"/>
      <c r="F80" s="238"/>
      <c r="G80" s="238"/>
      <c r="H80" s="238"/>
      <c r="I80" s="238"/>
      <c r="J80" s="238"/>
      <c r="K80" s="238"/>
    </row>
    <row r="81" spans="1:13" x14ac:dyDescent="0.15">
      <c r="B81" s="95" t="s">
        <v>269</v>
      </c>
      <c r="C81" s="325">
        <v>18</v>
      </c>
      <c r="D81" s="326"/>
    </row>
    <row r="82" spans="1:13" x14ac:dyDescent="0.15">
      <c r="B82" s="95" t="s">
        <v>64</v>
      </c>
      <c r="C82" s="325" t="s">
        <v>65</v>
      </c>
      <c r="D82" s="326"/>
    </row>
    <row r="83" spans="1:13" x14ac:dyDescent="0.15">
      <c r="B83" s="95" t="s">
        <v>66</v>
      </c>
      <c r="C83" s="325" t="s">
        <v>187</v>
      </c>
      <c r="D83" s="326"/>
    </row>
    <row r="84" spans="1:13" x14ac:dyDescent="0.15">
      <c r="B84" s="95" t="s">
        <v>67</v>
      </c>
      <c r="C84" s="325" t="s">
        <v>188</v>
      </c>
      <c r="D84" s="326"/>
    </row>
    <row r="85" spans="1:13" ht="30" x14ac:dyDescent="0.15">
      <c r="B85" s="95" t="s">
        <v>37</v>
      </c>
      <c r="C85" s="126" t="s">
        <v>68</v>
      </c>
      <c r="D85" s="126" t="s">
        <v>69</v>
      </c>
      <c r="E85" s="205"/>
      <c r="F85" s="206"/>
      <c r="G85" s="207"/>
      <c r="H85" s="205"/>
      <c r="I85" s="205"/>
    </row>
    <row r="86" spans="1:13" x14ac:dyDescent="0.15">
      <c r="B86" s="95" t="s">
        <v>270</v>
      </c>
      <c r="C86" s="63">
        <v>18</v>
      </c>
      <c r="D86" s="63">
        <v>18</v>
      </c>
      <c r="E86" s="91"/>
      <c r="F86" s="207"/>
      <c r="G86" s="207"/>
      <c r="H86" s="91"/>
      <c r="I86" s="91"/>
    </row>
    <row r="87" spans="1:13" x14ac:dyDescent="0.15">
      <c r="B87" s="95" t="s">
        <v>70</v>
      </c>
      <c r="C87" s="64">
        <v>0.6</v>
      </c>
      <c r="D87" s="64">
        <v>0.4</v>
      </c>
      <c r="E87" s="208"/>
      <c r="F87" s="209"/>
      <c r="G87" s="207"/>
      <c r="H87" s="208"/>
      <c r="I87" s="208"/>
    </row>
    <row r="88" spans="1:13" x14ac:dyDescent="0.15">
      <c r="B88" s="95" t="s">
        <v>271</v>
      </c>
      <c r="C88" s="65">
        <f>C86*C87</f>
        <v>10.799999999999999</v>
      </c>
      <c r="D88" s="65">
        <f t="shared" ref="D88" si="47">D86*D87</f>
        <v>7.2</v>
      </c>
      <c r="E88" s="210"/>
      <c r="F88" s="210"/>
      <c r="G88" s="207"/>
      <c r="H88" s="210"/>
      <c r="I88" s="210"/>
    </row>
    <row r="89" spans="1:13" x14ac:dyDescent="0.15">
      <c r="B89" s="95"/>
      <c r="C89" s="63"/>
      <c r="D89" s="63"/>
      <c r="E89" s="91"/>
      <c r="F89" s="207"/>
      <c r="G89" s="207"/>
      <c r="H89" s="91"/>
      <c r="I89" s="91"/>
    </row>
    <row r="90" spans="1:13" x14ac:dyDescent="0.15">
      <c r="B90" s="95" t="s">
        <v>71</v>
      </c>
      <c r="C90" s="63">
        <v>219</v>
      </c>
      <c r="D90" s="63">
        <v>146</v>
      </c>
      <c r="E90" s="91"/>
      <c r="F90" s="91"/>
      <c r="G90" s="207"/>
      <c r="H90" s="91"/>
      <c r="I90" s="91"/>
    </row>
    <row r="91" spans="1:13" x14ac:dyDescent="0.15">
      <c r="B91" s="95"/>
      <c r="C91" s="63"/>
      <c r="D91" s="63"/>
      <c r="E91" s="91"/>
      <c r="F91" s="207"/>
      <c r="G91" s="207"/>
      <c r="H91" s="91"/>
      <c r="I91" s="91"/>
    </row>
    <row r="92" spans="1:13" x14ac:dyDescent="0.15">
      <c r="B92" s="95" t="s">
        <v>72</v>
      </c>
      <c r="C92" s="63">
        <v>45000</v>
      </c>
      <c r="D92" s="63">
        <v>30000</v>
      </c>
      <c r="E92" s="91"/>
      <c r="F92" s="207"/>
      <c r="G92" s="207"/>
      <c r="H92" s="91"/>
      <c r="I92" s="91"/>
    </row>
    <row r="93" spans="1:13" x14ac:dyDescent="0.15">
      <c r="B93" s="211"/>
      <c r="C93" s="212"/>
      <c r="D93" s="212"/>
      <c r="E93" s="212"/>
      <c r="F93" s="212"/>
      <c r="G93" s="212"/>
      <c r="H93" s="211"/>
      <c r="I93" s="211"/>
      <c r="J93" s="211"/>
    </row>
    <row r="94" spans="1:13" x14ac:dyDescent="0.15">
      <c r="A94" s="92"/>
      <c r="B94" s="213" t="s">
        <v>37</v>
      </c>
      <c r="C94" s="224" t="s">
        <v>160</v>
      </c>
      <c r="D94" s="224" t="s">
        <v>161</v>
      </c>
      <c r="E94" s="224" t="s">
        <v>162</v>
      </c>
      <c r="F94" s="224" t="s">
        <v>163</v>
      </c>
      <c r="G94" s="110" t="s">
        <v>217</v>
      </c>
      <c r="H94" s="108" t="s">
        <v>230</v>
      </c>
      <c r="I94" s="47" t="s">
        <v>234</v>
      </c>
      <c r="J94" s="47" t="s">
        <v>235</v>
      </c>
      <c r="K94" s="47" t="s">
        <v>236</v>
      </c>
      <c r="L94" s="47" t="s">
        <v>281</v>
      </c>
      <c r="M94" s="47" t="s">
        <v>283</v>
      </c>
    </row>
    <row r="95" spans="1:13" x14ac:dyDescent="0.15">
      <c r="A95" s="92"/>
      <c r="B95" s="214"/>
      <c r="C95" s="69"/>
      <c r="D95" s="69"/>
      <c r="E95" s="69"/>
      <c r="F95" s="69">
        <v>0.08</v>
      </c>
      <c r="G95" s="69">
        <v>0.08</v>
      </c>
      <c r="H95" s="69">
        <v>0.08</v>
      </c>
      <c r="I95" s="69">
        <v>0.08</v>
      </c>
      <c r="J95" s="69">
        <v>0.08</v>
      </c>
      <c r="K95" s="69">
        <v>0.08</v>
      </c>
      <c r="L95" s="69">
        <v>0.08</v>
      </c>
      <c r="M95" s="69">
        <v>0.08</v>
      </c>
    </row>
    <row r="96" spans="1:13" x14ac:dyDescent="0.15">
      <c r="A96" s="92"/>
      <c r="B96" s="95" t="s">
        <v>272</v>
      </c>
      <c r="C96" s="327"/>
      <c r="D96" s="328"/>
      <c r="E96" s="328"/>
      <c r="F96" s="328"/>
      <c r="G96" s="328"/>
      <c r="H96" s="328"/>
      <c r="I96" s="328"/>
      <c r="J96" s="328"/>
      <c r="K96" s="328"/>
      <c r="L96" s="328"/>
      <c r="M96" s="329"/>
    </row>
    <row r="97" spans="1:13" x14ac:dyDescent="0.15">
      <c r="A97" s="92"/>
      <c r="B97" s="134" t="s">
        <v>68</v>
      </c>
      <c r="C97" s="65">
        <v>0</v>
      </c>
      <c r="D97" s="65">
        <v>0</v>
      </c>
      <c r="E97" s="65">
        <f>C88*C90*C92</f>
        <v>106433999.99999999</v>
      </c>
      <c r="F97" s="65">
        <f>E97+(E97*F95)</f>
        <v>114948719.99999999</v>
      </c>
      <c r="G97" s="65">
        <f t="shared" ref="G97:H97" si="48">F97+(F97*G95)</f>
        <v>124144617.59999998</v>
      </c>
      <c r="H97" s="65">
        <f t="shared" si="48"/>
        <v>134076187.00799997</v>
      </c>
      <c r="I97" s="65">
        <f t="shared" ref="I97" si="49">H97+(H97*I95)</f>
        <v>144802281.96863997</v>
      </c>
      <c r="J97" s="65">
        <f t="shared" ref="J97" si="50">I97+(I97*J95)</f>
        <v>156386464.52613115</v>
      </c>
      <c r="K97" s="65">
        <f t="shared" ref="K97:M97" si="51">J97+(J97*K95)</f>
        <v>168897381.68822163</v>
      </c>
      <c r="L97" s="65">
        <f t="shared" si="51"/>
        <v>182409172.22327936</v>
      </c>
      <c r="M97" s="65">
        <f t="shared" si="51"/>
        <v>197001906.0011417</v>
      </c>
    </row>
    <row r="98" spans="1:13" x14ac:dyDescent="0.15">
      <c r="A98" s="92"/>
      <c r="B98" s="134" t="s">
        <v>69</v>
      </c>
      <c r="C98" s="65">
        <v>0</v>
      </c>
      <c r="D98" s="65">
        <v>0</v>
      </c>
      <c r="E98" s="65">
        <f>D88*D90*D92</f>
        <v>31536000</v>
      </c>
      <c r="F98" s="65">
        <f>E98+(E98*F95)</f>
        <v>34058880</v>
      </c>
      <c r="G98" s="65">
        <f t="shared" ref="G98:H98" si="52">F98+(F98*G95)</f>
        <v>36783590.399999999</v>
      </c>
      <c r="H98" s="65">
        <f t="shared" si="52"/>
        <v>39726277.631999999</v>
      </c>
      <c r="I98" s="65">
        <f t="shared" ref="I98" si="53">H98+(H98*I95)</f>
        <v>42904379.842560001</v>
      </c>
      <c r="J98" s="65">
        <f t="shared" ref="J98" si="54">I98+(I98*J95)</f>
        <v>46336730.2299648</v>
      </c>
      <c r="K98" s="65">
        <f t="shared" ref="K98:M98" si="55">J98+(J98*K95)</f>
        <v>50043668.648361981</v>
      </c>
      <c r="L98" s="65">
        <f t="shared" si="55"/>
        <v>54047162.140230939</v>
      </c>
      <c r="M98" s="65">
        <f t="shared" si="55"/>
        <v>58370935.111449413</v>
      </c>
    </row>
    <row r="99" spans="1:13" x14ac:dyDescent="0.15">
      <c r="A99" s="92"/>
      <c r="B99" s="322"/>
      <c r="C99" s="323"/>
      <c r="D99" s="323"/>
      <c r="E99" s="323"/>
      <c r="F99" s="323"/>
      <c r="G99" s="323"/>
      <c r="H99" s="323"/>
      <c r="I99" s="323"/>
      <c r="J99" s="323"/>
      <c r="K99" s="323"/>
      <c r="L99" s="323"/>
      <c r="M99" s="324"/>
    </row>
    <row r="100" spans="1:13" ht="30" x14ac:dyDescent="0.15">
      <c r="A100" s="92"/>
      <c r="B100" s="215" t="s">
        <v>273</v>
      </c>
      <c r="C100" s="66">
        <f t="shared" ref="C100:D100" si="56">SUM(C97:C98)</f>
        <v>0</v>
      </c>
      <c r="D100" s="66">
        <f t="shared" si="56"/>
        <v>0</v>
      </c>
      <c r="E100" s="66">
        <f t="shared" ref="E100:F100" si="57">SUM(E97:E98)</f>
        <v>137970000</v>
      </c>
      <c r="F100" s="66">
        <f t="shared" si="57"/>
        <v>149007600</v>
      </c>
      <c r="G100" s="66">
        <f t="shared" ref="G100:H100" si="58">SUM(G97:G98)</f>
        <v>160928207.99999997</v>
      </c>
      <c r="H100" s="66">
        <f t="shared" si="58"/>
        <v>173802464.63999999</v>
      </c>
      <c r="I100" s="66">
        <f t="shared" ref="I100:K100" si="59">SUM(I97:I98)</f>
        <v>187706661.81119996</v>
      </c>
      <c r="J100" s="66">
        <f t="shared" si="59"/>
        <v>202723194.75609595</v>
      </c>
      <c r="K100" s="66">
        <f t="shared" si="59"/>
        <v>218941050.33658361</v>
      </c>
      <c r="L100" s="66">
        <f t="shared" ref="L100:M100" si="60">SUM(L97:L98)</f>
        <v>236456334.36351031</v>
      </c>
      <c r="M100" s="66">
        <f t="shared" si="60"/>
        <v>255372841.11259112</v>
      </c>
    </row>
    <row r="101" spans="1:13" x14ac:dyDescent="0.15">
      <c r="A101" s="92"/>
      <c r="B101" s="322"/>
      <c r="C101" s="323"/>
      <c r="D101" s="323"/>
      <c r="E101" s="323"/>
      <c r="F101" s="323"/>
      <c r="G101" s="323"/>
      <c r="H101" s="323"/>
      <c r="I101" s="323"/>
      <c r="J101" s="323"/>
      <c r="K101" s="323"/>
      <c r="L101" s="323"/>
      <c r="M101" s="324"/>
    </row>
    <row r="102" spans="1:13" x14ac:dyDescent="0.15">
      <c r="A102" s="92"/>
      <c r="B102" s="95" t="s">
        <v>274</v>
      </c>
      <c r="C102" s="327"/>
      <c r="D102" s="328"/>
      <c r="E102" s="328"/>
      <c r="F102" s="328"/>
      <c r="G102" s="328"/>
      <c r="H102" s="328"/>
      <c r="I102" s="328"/>
      <c r="J102" s="328"/>
      <c r="K102" s="328"/>
      <c r="L102" s="328"/>
      <c r="M102" s="329"/>
    </row>
    <row r="103" spans="1:13" x14ac:dyDescent="0.15">
      <c r="A103" s="92"/>
      <c r="B103" s="134" t="s">
        <v>73</v>
      </c>
      <c r="C103" s="69"/>
      <c r="D103" s="69"/>
      <c r="E103" s="69">
        <v>0.08</v>
      </c>
      <c r="F103" s="69">
        <v>0.08</v>
      </c>
      <c r="G103" s="69">
        <v>0.08</v>
      </c>
      <c r="H103" s="69">
        <v>0.08</v>
      </c>
      <c r="I103" s="69">
        <v>0.08</v>
      </c>
      <c r="J103" s="69">
        <v>0.08</v>
      </c>
      <c r="K103" s="69">
        <v>0.08</v>
      </c>
      <c r="L103" s="69">
        <v>0.08</v>
      </c>
      <c r="M103" s="69">
        <v>0.08</v>
      </c>
    </row>
    <row r="104" spans="1:13" ht="30" x14ac:dyDescent="0.15">
      <c r="A104" s="92"/>
      <c r="B104" s="215" t="s">
        <v>275</v>
      </c>
      <c r="C104" s="66">
        <f t="shared" ref="C104:D104" si="61">C100*C103</f>
        <v>0</v>
      </c>
      <c r="D104" s="66">
        <f t="shared" si="61"/>
        <v>0</v>
      </c>
      <c r="E104" s="66">
        <f t="shared" ref="E104:F104" si="62">E100*E103</f>
        <v>11037600</v>
      </c>
      <c r="F104" s="66">
        <f t="shared" si="62"/>
        <v>11920608</v>
      </c>
      <c r="G104" s="66">
        <f t="shared" ref="G104:H104" si="63">G100*G103</f>
        <v>12874256.639999999</v>
      </c>
      <c r="H104" s="66">
        <f t="shared" si="63"/>
        <v>13904197.1712</v>
      </c>
      <c r="I104" s="66">
        <f t="shared" ref="I104:K104" si="64">I100*I103</f>
        <v>15016532.944895998</v>
      </c>
      <c r="J104" s="66">
        <f t="shared" si="64"/>
        <v>16217855.580487676</v>
      </c>
      <c r="K104" s="66">
        <f t="shared" si="64"/>
        <v>17515284.026926689</v>
      </c>
      <c r="L104" s="66">
        <f t="shared" ref="L104:M104" si="65">L100*L103</f>
        <v>18916506.749080826</v>
      </c>
      <c r="M104" s="66">
        <f t="shared" si="65"/>
        <v>20429827.289007291</v>
      </c>
    </row>
    <row r="105" spans="1:13" ht="8.25" customHeight="1" x14ac:dyDescent="0.15">
      <c r="A105" s="92"/>
      <c r="B105" s="322"/>
      <c r="C105" s="323"/>
      <c r="D105" s="323"/>
      <c r="E105" s="323"/>
      <c r="F105" s="323"/>
      <c r="G105" s="323"/>
      <c r="H105" s="323"/>
      <c r="I105" s="323"/>
      <c r="J105" s="323"/>
      <c r="K105" s="323"/>
      <c r="L105" s="323"/>
      <c r="M105" s="324"/>
    </row>
    <row r="106" spans="1:13" ht="15.75" thickBot="1" x14ac:dyDescent="0.2">
      <c r="A106" s="92"/>
      <c r="B106" s="216" t="s">
        <v>276</v>
      </c>
      <c r="C106" s="60">
        <f t="shared" ref="C106:D106" si="66">C100+C104</f>
        <v>0</v>
      </c>
      <c r="D106" s="60">
        <f t="shared" si="66"/>
        <v>0</v>
      </c>
      <c r="E106" s="60">
        <f t="shared" ref="E106:F106" si="67">E100+E104</f>
        <v>149007600</v>
      </c>
      <c r="F106" s="60">
        <f t="shared" si="67"/>
        <v>160928208</v>
      </c>
      <c r="G106" s="60">
        <f t="shared" ref="G106:H106" si="68">G100+G104</f>
        <v>173802464.63999996</v>
      </c>
      <c r="H106" s="106">
        <f t="shared" si="68"/>
        <v>187706661.81119999</v>
      </c>
      <c r="I106" s="106">
        <f t="shared" ref="I106:K106" si="69">I100+I104</f>
        <v>202723194.75609595</v>
      </c>
      <c r="J106" s="106">
        <f t="shared" si="69"/>
        <v>218941050.33658361</v>
      </c>
      <c r="K106" s="106">
        <f t="shared" si="69"/>
        <v>236456334.36351031</v>
      </c>
      <c r="L106" s="106">
        <f t="shared" ref="L106:M106" si="70">L100+L104</f>
        <v>255372841.11259115</v>
      </c>
      <c r="M106" s="106">
        <f t="shared" si="70"/>
        <v>275802668.40159839</v>
      </c>
    </row>
    <row r="107" spans="1:13" ht="15.75" thickTop="1" x14ac:dyDescent="0.15">
      <c r="J107" s="217"/>
    </row>
    <row r="117" spans="2:11" x14ac:dyDescent="0.15">
      <c r="B117" s="255" t="str">
        <f>A1</f>
        <v>Project Report of M/s VAYU SUITES</v>
      </c>
      <c r="C117" s="255"/>
      <c r="D117" s="255"/>
      <c r="E117" s="255"/>
      <c r="F117" s="255"/>
      <c r="G117" s="255"/>
      <c r="H117" s="255"/>
      <c r="I117" s="255"/>
      <c r="J117" s="255"/>
      <c r="K117" s="255"/>
    </row>
    <row r="118" spans="2:11" x14ac:dyDescent="0.15">
      <c r="B118" s="238" t="s">
        <v>256</v>
      </c>
      <c r="C118" s="238"/>
      <c r="D118" s="238"/>
      <c r="E118" s="238"/>
      <c r="F118" s="238"/>
      <c r="G118" s="238"/>
      <c r="H118" s="238"/>
    </row>
    <row r="119" spans="2:11" x14ac:dyDescent="0.15">
      <c r="B119" s="95" t="s">
        <v>64</v>
      </c>
      <c r="C119" s="325" t="s">
        <v>65</v>
      </c>
      <c r="D119" s="326"/>
    </row>
    <row r="120" spans="2:11" x14ac:dyDescent="0.15">
      <c r="B120" s="95" t="s">
        <v>66</v>
      </c>
      <c r="C120" s="325" t="s">
        <v>187</v>
      </c>
      <c r="D120" s="326"/>
    </row>
    <row r="121" spans="2:11" x14ac:dyDescent="0.15">
      <c r="B121" s="95" t="s">
        <v>67</v>
      </c>
      <c r="C121" s="325" t="s">
        <v>188</v>
      </c>
      <c r="D121" s="326"/>
    </row>
    <row r="123" spans="2:11" ht="30" x14ac:dyDescent="0.15">
      <c r="B123" s="57" t="s">
        <v>242</v>
      </c>
      <c r="C123" s="218" t="s">
        <v>68</v>
      </c>
      <c r="D123" s="218" t="s">
        <v>69</v>
      </c>
      <c r="E123" s="91"/>
      <c r="F123" s="207"/>
      <c r="G123" s="91"/>
      <c r="H123" s="91"/>
    </row>
    <row r="124" spans="2:11" x14ac:dyDescent="0.15">
      <c r="B124" s="134" t="s">
        <v>37</v>
      </c>
      <c r="C124" s="219"/>
      <c r="D124" s="219"/>
      <c r="E124" s="205"/>
      <c r="F124" s="206"/>
      <c r="G124" s="207"/>
      <c r="H124" s="207"/>
    </row>
    <row r="125" spans="2:11" x14ac:dyDescent="0.15">
      <c r="B125" s="134" t="s">
        <v>74</v>
      </c>
      <c r="C125" s="63">
        <v>300</v>
      </c>
      <c r="D125" s="63">
        <v>300</v>
      </c>
      <c r="E125" s="91"/>
      <c r="F125" s="207"/>
      <c r="G125" s="207"/>
      <c r="H125" s="207"/>
    </row>
    <row r="126" spans="2:11" x14ac:dyDescent="0.15">
      <c r="B126" s="134" t="s">
        <v>70</v>
      </c>
      <c r="C126" s="64">
        <v>0.5</v>
      </c>
      <c r="D126" s="64">
        <v>0.3</v>
      </c>
      <c r="E126" s="208"/>
      <c r="F126" s="209"/>
      <c r="G126" s="207"/>
      <c r="H126" s="207"/>
    </row>
    <row r="127" spans="2:11" x14ac:dyDescent="0.15">
      <c r="B127" s="134" t="s">
        <v>75</v>
      </c>
      <c r="C127" s="65">
        <f>C125*C126</f>
        <v>150</v>
      </c>
      <c r="D127" s="65">
        <f>D125*D126</f>
        <v>90</v>
      </c>
      <c r="E127" s="210"/>
      <c r="F127" s="210"/>
      <c r="G127" s="207"/>
      <c r="H127" s="207"/>
    </row>
    <row r="128" spans="2:11" x14ac:dyDescent="0.15">
      <c r="B128" s="134" t="s">
        <v>71</v>
      </c>
      <c r="C128" s="63">
        <v>219</v>
      </c>
      <c r="D128" s="63">
        <v>146</v>
      </c>
      <c r="E128" s="91"/>
      <c r="F128" s="91"/>
      <c r="G128" s="207"/>
      <c r="H128" s="207"/>
    </row>
    <row r="129" spans="1:13" x14ac:dyDescent="0.15">
      <c r="B129" s="134"/>
      <c r="C129" s="63"/>
      <c r="D129" s="63"/>
      <c r="E129" s="91"/>
      <c r="F129" s="207"/>
      <c r="G129" s="207"/>
      <c r="H129" s="207"/>
    </row>
    <row r="130" spans="1:13" x14ac:dyDescent="0.15">
      <c r="B130" s="134" t="s">
        <v>76</v>
      </c>
      <c r="C130" s="63">
        <v>1000</v>
      </c>
      <c r="D130" s="63">
        <v>850</v>
      </c>
      <c r="E130" s="91"/>
      <c r="F130" s="207"/>
      <c r="G130" s="207"/>
      <c r="H130" s="207"/>
    </row>
    <row r="132" spans="1:13" x14ac:dyDescent="0.15">
      <c r="B132" s="95" t="s">
        <v>37</v>
      </c>
      <c r="C132" s="224" t="s">
        <v>160</v>
      </c>
      <c r="D132" s="224" t="s">
        <v>161</v>
      </c>
      <c r="E132" s="224" t="s">
        <v>162</v>
      </c>
      <c r="F132" s="224" t="s">
        <v>163</v>
      </c>
      <c r="G132" s="224" t="s">
        <v>217</v>
      </c>
      <c r="H132" s="224" t="s">
        <v>230</v>
      </c>
      <c r="I132" s="47" t="s">
        <v>234</v>
      </c>
      <c r="J132" s="47" t="s">
        <v>235</v>
      </c>
      <c r="K132" s="47" t="s">
        <v>236</v>
      </c>
      <c r="L132" s="47" t="s">
        <v>281</v>
      </c>
      <c r="M132" s="47" t="s">
        <v>283</v>
      </c>
    </row>
    <row r="133" spans="1:13" x14ac:dyDescent="0.15">
      <c r="A133" s="92"/>
      <c r="B133" s="214"/>
      <c r="C133" s="69"/>
      <c r="D133" s="69"/>
      <c r="E133" s="69"/>
      <c r="F133" s="69">
        <v>0.1</v>
      </c>
      <c r="G133" s="69">
        <v>0.1</v>
      </c>
      <c r="H133" s="69">
        <v>0.1</v>
      </c>
      <c r="I133" s="69">
        <v>0.1</v>
      </c>
      <c r="J133" s="69">
        <v>0.1</v>
      </c>
      <c r="K133" s="69">
        <v>0.1</v>
      </c>
      <c r="L133" s="69">
        <v>0.1</v>
      </c>
      <c r="M133" s="69">
        <v>0.1</v>
      </c>
    </row>
    <row r="134" spans="1:13" x14ac:dyDescent="0.15">
      <c r="A134" s="92"/>
      <c r="B134" s="95" t="s">
        <v>243</v>
      </c>
      <c r="C134" s="327"/>
      <c r="D134" s="328"/>
      <c r="E134" s="328"/>
      <c r="F134" s="328"/>
      <c r="G134" s="328"/>
      <c r="H134" s="328"/>
      <c r="I134" s="328"/>
      <c r="J134" s="328"/>
      <c r="K134" s="328"/>
      <c r="L134" s="328"/>
      <c r="M134" s="329"/>
    </row>
    <row r="135" spans="1:13" x14ac:dyDescent="0.15">
      <c r="A135" s="92"/>
      <c r="B135" s="134" t="s">
        <v>68</v>
      </c>
      <c r="C135" s="65">
        <v>0</v>
      </c>
      <c r="D135" s="65">
        <v>0</v>
      </c>
      <c r="E135" s="65">
        <f>C127*C128*C130</f>
        <v>32850000</v>
      </c>
      <c r="F135" s="65">
        <f t="shared" ref="F135" si="71">E135+(E135*F133)</f>
        <v>36135000</v>
      </c>
      <c r="G135" s="65">
        <f t="shared" ref="G135" si="72">F135+(F135*G133)</f>
        <v>39748500</v>
      </c>
      <c r="H135" s="65">
        <f t="shared" ref="H135" si="73">G135+(G135*H133)</f>
        <v>43723350</v>
      </c>
      <c r="I135" s="65">
        <f t="shared" ref="I135" si="74">H135+(H135*I133)</f>
        <v>48095685</v>
      </c>
      <c r="J135" s="65">
        <f t="shared" ref="J135" si="75">I135+(I135*J133)</f>
        <v>52905253.5</v>
      </c>
      <c r="K135" s="65">
        <f t="shared" ref="K135:M135" si="76">J135+(J135*K133)</f>
        <v>58195778.850000001</v>
      </c>
      <c r="L135" s="65">
        <f t="shared" si="76"/>
        <v>64015356.734999999</v>
      </c>
      <c r="M135" s="65">
        <f t="shared" si="76"/>
        <v>70416892.408500001</v>
      </c>
    </row>
    <row r="136" spans="1:13" x14ac:dyDescent="0.15">
      <c r="A136" s="92"/>
      <c r="B136" s="134" t="s">
        <v>69</v>
      </c>
      <c r="C136" s="65">
        <v>0</v>
      </c>
      <c r="D136" s="65">
        <v>0</v>
      </c>
      <c r="E136" s="65">
        <f>D127*D128*D130</f>
        <v>11169000</v>
      </c>
      <c r="F136" s="65">
        <f t="shared" ref="F136" si="77">E136+(E136*F133)</f>
        <v>12285900</v>
      </c>
      <c r="G136" s="65">
        <f t="shared" ref="G136" si="78">F136+(F136*G133)</f>
        <v>13514490</v>
      </c>
      <c r="H136" s="65">
        <f t="shared" ref="H136" si="79">G136+(G136*H133)</f>
        <v>14865939</v>
      </c>
      <c r="I136" s="65">
        <f t="shared" ref="I136" si="80">H136+(H136*I133)</f>
        <v>16352532.9</v>
      </c>
      <c r="J136" s="65">
        <f t="shared" ref="J136" si="81">I136+(I136*J133)</f>
        <v>17987786.190000001</v>
      </c>
      <c r="K136" s="65">
        <f t="shared" ref="K136:M136" si="82">J136+(J136*K133)</f>
        <v>19786564.809</v>
      </c>
      <c r="L136" s="65">
        <f t="shared" si="82"/>
        <v>21765221.289900001</v>
      </c>
      <c r="M136" s="65">
        <f t="shared" si="82"/>
        <v>23941743.418889999</v>
      </c>
    </row>
    <row r="137" spans="1:13" x14ac:dyDescent="0.15">
      <c r="A137" s="92"/>
      <c r="B137" s="322"/>
      <c r="C137" s="323"/>
      <c r="D137" s="323"/>
      <c r="E137" s="323"/>
      <c r="F137" s="323"/>
      <c r="G137" s="323"/>
      <c r="H137" s="323"/>
      <c r="I137" s="323"/>
      <c r="J137" s="323"/>
      <c r="K137" s="323"/>
      <c r="L137" s="323"/>
      <c r="M137" s="324"/>
    </row>
    <row r="138" spans="1:13" ht="15.75" thickBot="1" x14ac:dyDescent="0.2">
      <c r="A138" s="92"/>
      <c r="B138" s="216" t="s">
        <v>244</v>
      </c>
      <c r="C138" s="60">
        <f t="shared" ref="C138:F138" si="83">SUM(C135:C136)</f>
        <v>0</v>
      </c>
      <c r="D138" s="60">
        <f t="shared" si="83"/>
        <v>0</v>
      </c>
      <c r="E138" s="60">
        <f t="shared" si="83"/>
        <v>44019000</v>
      </c>
      <c r="F138" s="60">
        <f t="shared" si="83"/>
        <v>48420900</v>
      </c>
      <c r="G138" s="60">
        <f t="shared" ref="G138:H138" si="84">SUM(G135:G136)</f>
        <v>53262990</v>
      </c>
      <c r="H138" s="96">
        <f t="shared" si="84"/>
        <v>58589289</v>
      </c>
      <c r="I138" s="96">
        <f t="shared" ref="I138:K138" si="85">SUM(I135:I136)</f>
        <v>64448217.899999999</v>
      </c>
      <c r="J138" s="96">
        <f t="shared" si="85"/>
        <v>70893039.689999998</v>
      </c>
      <c r="K138" s="96">
        <f t="shared" si="85"/>
        <v>77982343.659000009</v>
      </c>
      <c r="L138" s="96">
        <f t="shared" ref="L138:M138" si="86">SUM(L135:L136)</f>
        <v>85780578.024900004</v>
      </c>
      <c r="M138" s="96">
        <f t="shared" si="86"/>
        <v>94358635.82739</v>
      </c>
    </row>
    <row r="139" spans="1:13" ht="15.75" thickTop="1" x14ac:dyDescent="0.15"/>
    <row r="140" spans="1:13" x14ac:dyDescent="0.15">
      <c r="B140" s="256" t="s">
        <v>77</v>
      </c>
      <c r="C140" s="256"/>
      <c r="D140" s="256"/>
      <c r="E140" s="256"/>
      <c r="F140" s="256"/>
      <c r="G140" s="256"/>
      <c r="H140" s="256"/>
    </row>
    <row r="141" spans="1:13" x14ac:dyDescent="0.15">
      <c r="B141" s="220" t="s">
        <v>37</v>
      </c>
      <c r="C141" s="224" t="s">
        <v>160</v>
      </c>
      <c r="D141" s="224" t="s">
        <v>161</v>
      </c>
      <c r="E141" s="224" t="s">
        <v>162</v>
      </c>
      <c r="F141" s="224" t="s">
        <v>163</v>
      </c>
      <c r="G141" s="224" t="s">
        <v>217</v>
      </c>
      <c r="H141" s="224" t="s">
        <v>230</v>
      </c>
      <c r="I141" s="47" t="s">
        <v>234</v>
      </c>
      <c r="J141" s="47" t="s">
        <v>235</v>
      </c>
      <c r="K141" s="47" t="s">
        <v>236</v>
      </c>
      <c r="L141" s="47" t="s">
        <v>281</v>
      </c>
      <c r="M141" s="47" t="s">
        <v>283</v>
      </c>
    </row>
    <row r="142" spans="1:13" x14ac:dyDescent="0.15">
      <c r="A142" s="92"/>
      <c r="B142" s="214"/>
      <c r="C142" s="336"/>
      <c r="D142" s="337"/>
      <c r="E142" s="337"/>
      <c r="F142" s="337"/>
      <c r="G142" s="337"/>
      <c r="H142" s="337"/>
      <c r="I142" s="337"/>
      <c r="J142" s="337"/>
      <c r="K142" s="337"/>
      <c r="L142" s="337"/>
      <c r="M142" s="338"/>
    </row>
    <row r="143" spans="1:13" x14ac:dyDescent="0.15">
      <c r="A143" s="92"/>
      <c r="B143" s="95" t="s">
        <v>78</v>
      </c>
      <c r="C143" s="63"/>
      <c r="D143" s="63"/>
      <c r="E143" s="63">
        <v>365</v>
      </c>
      <c r="F143" s="63">
        <v>365</v>
      </c>
      <c r="G143" s="63">
        <v>365</v>
      </c>
      <c r="H143" s="63">
        <v>365</v>
      </c>
      <c r="I143" s="63">
        <v>365</v>
      </c>
      <c r="J143" s="63">
        <v>365</v>
      </c>
      <c r="K143" s="63">
        <v>365</v>
      </c>
      <c r="L143" s="63">
        <v>365</v>
      </c>
      <c r="M143" s="63">
        <v>365</v>
      </c>
    </row>
    <row r="144" spans="1:13" x14ac:dyDescent="0.15">
      <c r="A144" s="92"/>
      <c r="B144" s="134" t="s">
        <v>79</v>
      </c>
      <c r="C144" s="64">
        <v>0.1</v>
      </c>
      <c r="D144" s="64">
        <v>0.1</v>
      </c>
      <c r="E144" s="64">
        <v>0.1</v>
      </c>
      <c r="F144" s="64">
        <v>0.1</v>
      </c>
      <c r="G144" s="64">
        <v>0.1</v>
      </c>
      <c r="H144" s="64">
        <v>0.1</v>
      </c>
      <c r="I144" s="64">
        <v>0.1</v>
      </c>
      <c r="J144" s="64">
        <v>0.1</v>
      </c>
      <c r="K144" s="64">
        <v>0.1</v>
      </c>
      <c r="L144" s="64">
        <v>0.1</v>
      </c>
      <c r="M144" s="64">
        <v>0.1</v>
      </c>
    </row>
    <row r="145" spans="1:13" x14ac:dyDescent="0.15">
      <c r="A145" s="92"/>
      <c r="B145" s="134" t="s">
        <v>80</v>
      </c>
      <c r="C145" s="65">
        <f t="shared" ref="C145:D145" si="87">C143*C144</f>
        <v>0</v>
      </c>
      <c r="D145" s="65">
        <f t="shared" si="87"/>
        <v>0</v>
      </c>
      <c r="E145" s="65">
        <f t="shared" ref="E145:F145" si="88">E143*E144</f>
        <v>36.5</v>
      </c>
      <c r="F145" s="65">
        <f t="shared" si="88"/>
        <v>36.5</v>
      </c>
      <c r="G145" s="65">
        <f t="shared" ref="G145:H145" si="89">G143*G144</f>
        <v>36.5</v>
      </c>
      <c r="H145" s="65">
        <f t="shared" si="89"/>
        <v>36.5</v>
      </c>
      <c r="I145" s="65">
        <f t="shared" ref="I145:K145" si="90">I143*I144</f>
        <v>36.5</v>
      </c>
      <c r="J145" s="65">
        <f t="shared" si="90"/>
        <v>36.5</v>
      </c>
      <c r="K145" s="65">
        <f t="shared" si="90"/>
        <v>36.5</v>
      </c>
      <c r="L145" s="65">
        <f t="shared" ref="L145:M145" si="91">L143*L144</f>
        <v>36.5</v>
      </c>
      <c r="M145" s="65">
        <f t="shared" si="91"/>
        <v>36.5</v>
      </c>
    </row>
    <row r="146" spans="1:13" x14ac:dyDescent="0.15">
      <c r="A146" s="92"/>
      <c r="B146" s="134" t="s">
        <v>81</v>
      </c>
      <c r="C146" s="64"/>
      <c r="D146" s="64"/>
      <c r="E146" s="64"/>
      <c r="F146" s="64">
        <v>0.05</v>
      </c>
      <c r="G146" s="64">
        <v>0.05</v>
      </c>
      <c r="H146" s="64">
        <v>0.05</v>
      </c>
      <c r="I146" s="64">
        <v>0.05</v>
      </c>
      <c r="J146" s="64">
        <v>0.05</v>
      </c>
      <c r="K146" s="64">
        <v>0.05</v>
      </c>
      <c r="L146" s="64">
        <v>0.05</v>
      </c>
      <c r="M146" s="64">
        <v>0.05</v>
      </c>
    </row>
    <row r="147" spans="1:13" x14ac:dyDescent="0.15">
      <c r="A147" s="92"/>
      <c r="B147" s="134" t="s">
        <v>82</v>
      </c>
      <c r="C147" s="65">
        <v>0</v>
      </c>
      <c r="D147" s="65"/>
      <c r="E147" s="65">
        <v>50000</v>
      </c>
      <c r="F147" s="65">
        <f>E147+(E147*F146)</f>
        <v>52500</v>
      </c>
      <c r="G147" s="65">
        <f t="shared" ref="G147:H147" si="92">F147+(F147*G146)</f>
        <v>55125</v>
      </c>
      <c r="H147" s="65">
        <f t="shared" si="92"/>
        <v>57881.25</v>
      </c>
      <c r="I147" s="65">
        <f t="shared" ref="I147" si="93">H147+(H147*I146)</f>
        <v>60775.3125</v>
      </c>
      <c r="J147" s="65">
        <f t="shared" ref="J147" si="94">I147+(I147*J146)</f>
        <v>63814.078125</v>
      </c>
      <c r="K147" s="65">
        <f t="shared" ref="K147:M147" si="95">J147+(J147*K146)</f>
        <v>67004.782031249997</v>
      </c>
      <c r="L147" s="65">
        <f t="shared" si="95"/>
        <v>70355.021132812501</v>
      </c>
      <c r="M147" s="65">
        <f t="shared" si="95"/>
        <v>73872.772189453128</v>
      </c>
    </row>
    <row r="148" spans="1:13" ht="15.75" thickBot="1" x14ac:dyDescent="0.2">
      <c r="A148" s="92"/>
      <c r="B148" s="216" t="s">
        <v>245</v>
      </c>
      <c r="C148" s="60">
        <f t="shared" ref="C148:D148" si="96">C145*C147</f>
        <v>0</v>
      </c>
      <c r="D148" s="96">
        <f t="shared" si="96"/>
        <v>0</v>
      </c>
      <c r="E148" s="96">
        <f t="shared" ref="E148:F148" si="97">E145*E147</f>
        <v>1825000</v>
      </c>
      <c r="F148" s="96">
        <f t="shared" si="97"/>
        <v>1916250</v>
      </c>
      <c r="G148" s="96">
        <f t="shared" ref="G148:H148" si="98">G145*G147</f>
        <v>2012062.5</v>
      </c>
      <c r="H148" s="96">
        <f t="shared" si="98"/>
        <v>2112665.625</v>
      </c>
      <c r="I148" s="96">
        <f t="shared" ref="I148:K148" si="99">I145*I147</f>
        <v>2218298.90625</v>
      </c>
      <c r="J148" s="96">
        <f t="shared" si="99"/>
        <v>2329213.8515625</v>
      </c>
      <c r="K148" s="96">
        <f t="shared" si="99"/>
        <v>2445674.5441406248</v>
      </c>
      <c r="L148" s="96">
        <f t="shared" ref="L148:M148" si="100">L145*L147</f>
        <v>2567958.2713476564</v>
      </c>
      <c r="M148" s="96">
        <f t="shared" si="100"/>
        <v>2696356.1849150392</v>
      </c>
    </row>
    <row r="149" spans="1:13" ht="15.75" thickTop="1" x14ac:dyDescent="0.15"/>
    <row r="155" spans="1:13" x14ac:dyDescent="0.15">
      <c r="B155" s="237" t="str">
        <f>A1</f>
        <v>Project Report of M/s VAYU SUITES</v>
      </c>
      <c r="C155" s="237"/>
      <c r="D155" s="237"/>
      <c r="E155" s="237"/>
      <c r="F155" s="237"/>
      <c r="G155" s="237"/>
      <c r="H155" s="237"/>
      <c r="I155" s="237"/>
      <c r="J155" s="237"/>
      <c r="K155" s="237"/>
    </row>
    <row r="156" spans="1:13" x14ac:dyDescent="0.15">
      <c r="B156" s="228"/>
      <c r="C156" s="228"/>
      <c r="D156" s="228"/>
      <c r="E156" s="228"/>
      <c r="F156" s="228"/>
      <c r="G156" s="228"/>
      <c r="H156" s="228"/>
      <c r="I156" s="228"/>
    </row>
    <row r="157" spans="1:13" x14ac:dyDescent="0.15">
      <c r="B157" s="256" t="s">
        <v>189</v>
      </c>
      <c r="C157" s="256"/>
      <c r="D157" s="256"/>
      <c r="E157" s="256"/>
      <c r="F157" s="256"/>
      <c r="G157" s="256"/>
      <c r="H157" s="256"/>
    </row>
    <row r="158" spans="1:13" x14ac:dyDescent="0.15">
      <c r="B158" s="95" t="s">
        <v>37</v>
      </c>
      <c r="C158" s="224" t="s">
        <v>160</v>
      </c>
      <c r="D158" s="224" t="s">
        <v>161</v>
      </c>
      <c r="E158" s="224" t="s">
        <v>162</v>
      </c>
      <c r="F158" s="224" t="s">
        <v>163</v>
      </c>
      <c r="G158" s="224" t="s">
        <v>217</v>
      </c>
      <c r="H158" s="224" t="s">
        <v>230</v>
      </c>
      <c r="I158" s="47" t="s">
        <v>234</v>
      </c>
      <c r="J158" s="47" t="s">
        <v>235</v>
      </c>
      <c r="K158" s="47" t="s">
        <v>236</v>
      </c>
      <c r="L158" s="47" t="s">
        <v>281</v>
      </c>
      <c r="M158" s="47" t="s">
        <v>283</v>
      </c>
    </row>
    <row r="159" spans="1:13" x14ac:dyDescent="0.15">
      <c r="A159" s="92"/>
      <c r="B159" s="214"/>
      <c r="C159" s="336"/>
      <c r="D159" s="337"/>
      <c r="E159" s="337"/>
      <c r="F159" s="337"/>
      <c r="G159" s="337"/>
      <c r="H159" s="337"/>
      <c r="I159" s="337"/>
      <c r="J159" s="337"/>
      <c r="K159" s="337"/>
      <c r="L159" s="337"/>
      <c r="M159" s="338"/>
    </row>
    <row r="160" spans="1:13" x14ac:dyDescent="0.15">
      <c r="A160" s="92"/>
      <c r="B160" s="95" t="s">
        <v>78</v>
      </c>
      <c r="C160" s="63">
        <v>0</v>
      </c>
      <c r="D160" s="63">
        <v>0</v>
      </c>
      <c r="E160" s="63">
        <v>365</v>
      </c>
      <c r="F160" s="63">
        <v>365</v>
      </c>
      <c r="G160" s="63">
        <v>365</v>
      </c>
      <c r="H160" s="63">
        <v>365</v>
      </c>
      <c r="I160" s="63">
        <v>365</v>
      </c>
      <c r="J160" s="63">
        <v>365</v>
      </c>
      <c r="K160" s="63">
        <v>365</v>
      </c>
      <c r="L160" s="63">
        <v>365</v>
      </c>
      <c r="M160" s="63">
        <v>365</v>
      </c>
    </row>
    <row r="161" spans="1:13" x14ac:dyDescent="0.15">
      <c r="A161" s="92"/>
      <c r="B161" s="134" t="s">
        <v>277</v>
      </c>
      <c r="C161" s="132">
        <v>0</v>
      </c>
      <c r="D161" s="132">
        <v>0</v>
      </c>
      <c r="E161" s="132">
        <v>18</v>
      </c>
      <c r="F161" s="132">
        <v>18</v>
      </c>
      <c r="G161" s="132">
        <v>18</v>
      </c>
      <c r="H161" s="132">
        <v>18</v>
      </c>
      <c r="I161" s="132">
        <v>18</v>
      </c>
      <c r="J161" s="132">
        <v>18</v>
      </c>
      <c r="K161" s="132">
        <v>18</v>
      </c>
      <c r="L161" s="132">
        <v>18</v>
      </c>
      <c r="M161" s="132">
        <v>18</v>
      </c>
    </row>
    <row r="162" spans="1:13" ht="30" x14ac:dyDescent="0.15">
      <c r="A162" s="92"/>
      <c r="B162" s="102" t="s">
        <v>259</v>
      </c>
      <c r="C162" s="65">
        <v>0</v>
      </c>
      <c r="D162" s="65">
        <v>0</v>
      </c>
      <c r="E162" s="65">
        <v>4</v>
      </c>
      <c r="F162" s="65">
        <v>4</v>
      </c>
      <c r="G162" s="65">
        <v>4</v>
      </c>
      <c r="H162" s="65">
        <v>4</v>
      </c>
      <c r="I162" s="65">
        <v>4</v>
      </c>
      <c r="J162" s="65">
        <v>4</v>
      </c>
      <c r="K162" s="65">
        <v>4</v>
      </c>
      <c r="L162" s="65">
        <v>4</v>
      </c>
      <c r="M162" s="65">
        <v>4</v>
      </c>
    </row>
    <row r="163" spans="1:13" x14ac:dyDescent="0.15">
      <c r="A163" s="92"/>
      <c r="B163" s="134" t="s">
        <v>190</v>
      </c>
      <c r="C163" s="63">
        <f t="shared" ref="C163:F163" si="101">C160*C161*C162</f>
        <v>0</v>
      </c>
      <c r="D163" s="63">
        <f t="shared" si="101"/>
        <v>0</v>
      </c>
      <c r="E163" s="63">
        <f t="shared" si="101"/>
        <v>26280</v>
      </c>
      <c r="F163" s="63">
        <f t="shared" si="101"/>
        <v>26280</v>
      </c>
      <c r="G163" s="63">
        <f t="shared" ref="G163:H163" si="102">G160*G161*G162</f>
        <v>26280</v>
      </c>
      <c r="H163" s="63">
        <f t="shared" si="102"/>
        <v>26280</v>
      </c>
      <c r="I163" s="63">
        <f t="shared" ref="I163:K163" si="103">I160*I161*I162</f>
        <v>26280</v>
      </c>
      <c r="J163" s="63">
        <f t="shared" si="103"/>
        <v>26280</v>
      </c>
      <c r="K163" s="63">
        <f t="shared" si="103"/>
        <v>26280</v>
      </c>
      <c r="L163" s="63">
        <f t="shared" ref="L163:M163" si="104">L160*L161*L162</f>
        <v>26280</v>
      </c>
      <c r="M163" s="63">
        <f t="shared" si="104"/>
        <v>26280</v>
      </c>
    </row>
    <row r="164" spans="1:13" x14ac:dyDescent="0.15">
      <c r="A164" s="92"/>
      <c r="B164" s="134" t="s">
        <v>191</v>
      </c>
      <c r="C164" s="133">
        <v>0</v>
      </c>
      <c r="D164" s="133">
        <v>0.02</v>
      </c>
      <c r="E164" s="133">
        <v>0.02</v>
      </c>
      <c r="F164" s="133">
        <v>0.02</v>
      </c>
      <c r="G164" s="133">
        <v>0.02</v>
      </c>
      <c r="H164" s="133">
        <v>0.02</v>
      </c>
      <c r="I164" s="133">
        <v>0.02</v>
      </c>
      <c r="J164" s="133">
        <v>0.02</v>
      </c>
      <c r="K164" s="133">
        <v>0.02</v>
      </c>
      <c r="L164" s="133">
        <v>0.02</v>
      </c>
      <c r="M164" s="133">
        <v>0.02</v>
      </c>
    </row>
    <row r="165" spans="1:13" x14ac:dyDescent="0.15">
      <c r="A165" s="92"/>
      <c r="B165" s="134" t="s">
        <v>192</v>
      </c>
      <c r="C165" s="65">
        <f t="shared" ref="C165:F165" si="105">C163*C164</f>
        <v>0</v>
      </c>
      <c r="D165" s="65">
        <f t="shared" si="105"/>
        <v>0</v>
      </c>
      <c r="E165" s="65">
        <f t="shared" si="105"/>
        <v>525.6</v>
      </c>
      <c r="F165" s="65">
        <f t="shared" si="105"/>
        <v>525.6</v>
      </c>
      <c r="G165" s="65">
        <f t="shared" ref="G165:H165" si="106">G163*G164</f>
        <v>525.6</v>
      </c>
      <c r="H165" s="65">
        <f t="shared" si="106"/>
        <v>525.6</v>
      </c>
      <c r="I165" s="65">
        <f t="shared" ref="I165:K165" si="107">I163*I164</f>
        <v>525.6</v>
      </c>
      <c r="J165" s="65">
        <f t="shared" si="107"/>
        <v>525.6</v>
      </c>
      <c r="K165" s="65">
        <f t="shared" si="107"/>
        <v>525.6</v>
      </c>
      <c r="L165" s="65">
        <f t="shared" ref="L165:M165" si="108">L163*L164</f>
        <v>525.6</v>
      </c>
      <c r="M165" s="65">
        <f t="shared" si="108"/>
        <v>525.6</v>
      </c>
    </row>
    <row r="166" spans="1:13" x14ac:dyDescent="0.15">
      <c r="A166" s="92"/>
      <c r="B166" s="134" t="s">
        <v>193</v>
      </c>
      <c r="C166" s="64"/>
      <c r="D166" s="64"/>
      <c r="E166" s="64">
        <v>0.05</v>
      </c>
      <c r="F166" s="64">
        <v>0.05</v>
      </c>
      <c r="G166" s="64">
        <v>0.05</v>
      </c>
      <c r="H166" s="64">
        <v>0.05</v>
      </c>
      <c r="I166" s="64">
        <v>0.05</v>
      </c>
      <c r="J166" s="64">
        <v>0.05</v>
      </c>
      <c r="K166" s="64">
        <v>0.05</v>
      </c>
      <c r="L166" s="64">
        <v>0.05</v>
      </c>
      <c r="M166" s="64">
        <v>0.05</v>
      </c>
    </row>
    <row r="167" spans="1:13" x14ac:dyDescent="0.15">
      <c r="A167" s="92"/>
      <c r="B167" s="134" t="s">
        <v>194</v>
      </c>
      <c r="C167" s="65">
        <v>0</v>
      </c>
      <c r="D167" s="65"/>
      <c r="E167" s="65">
        <v>850</v>
      </c>
      <c r="F167" s="65">
        <f>E167+(E167*F166)</f>
        <v>892.5</v>
      </c>
      <c r="G167" s="65">
        <f t="shared" ref="G167:H167" si="109">F167+(F167*G166)</f>
        <v>937.125</v>
      </c>
      <c r="H167" s="65">
        <f t="shared" si="109"/>
        <v>983.98125000000005</v>
      </c>
      <c r="I167" s="65">
        <f t="shared" ref="I167" si="110">H167+(H167*I166)</f>
        <v>1033.1803125000001</v>
      </c>
      <c r="J167" s="65">
        <f t="shared" ref="J167" si="111">I167+(I167*J166)</f>
        <v>1084.8393281250001</v>
      </c>
      <c r="K167" s="65">
        <f t="shared" ref="K167:M167" si="112">J167+(J167*K166)</f>
        <v>1139.08129453125</v>
      </c>
      <c r="L167" s="65">
        <f t="shared" si="112"/>
        <v>1196.0353592578126</v>
      </c>
      <c r="M167" s="65">
        <f t="shared" si="112"/>
        <v>1255.8371272207032</v>
      </c>
    </row>
    <row r="168" spans="1:13" x14ac:dyDescent="0.15">
      <c r="A168" s="92"/>
      <c r="B168" s="260" t="s">
        <v>246</v>
      </c>
      <c r="C168" s="261">
        <f t="shared" ref="C168:F168" si="113">C165*C167</f>
        <v>0</v>
      </c>
      <c r="D168" s="261">
        <f t="shared" si="113"/>
        <v>0</v>
      </c>
      <c r="E168" s="261">
        <f t="shared" si="113"/>
        <v>446760</v>
      </c>
      <c r="F168" s="261">
        <f t="shared" si="113"/>
        <v>469098</v>
      </c>
      <c r="G168" s="262">
        <f t="shared" ref="G168:H168" si="114">G165*G167</f>
        <v>492552.9</v>
      </c>
      <c r="H168" s="263">
        <f t="shared" si="114"/>
        <v>517180.54500000004</v>
      </c>
      <c r="I168" s="263">
        <f t="shared" ref="I168:K168" si="115">I165*I167</f>
        <v>543039.57225000008</v>
      </c>
      <c r="J168" s="263">
        <f t="shared" si="115"/>
        <v>570191.55086250009</v>
      </c>
      <c r="K168" s="263">
        <f t="shared" si="115"/>
        <v>598701.128405625</v>
      </c>
      <c r="L168" s="263">
        <f t="shared" ref="L168:M168" si="116">L165*L167</f>
        <v>628636.1848259063</v>
      </c>
      <c r="M168" s="263">
        <f t="shared" si="116"/>
        <v>660067.99406720162</v>
      </c>
    </row>
    <row r="169" spans="1:13" x14ac:dyDescent="0.15">
      <c r="B169" s="339"/>
      <c r="C169" s="339"/>
      <c r="D169" s="339"/>
      <c r="E169" s="339"/>
      <c r="F169" s="339"/>
      <c r="G169" s="339"/>
      <c r="H169" s="339"/>
      <c r="I169" s="339"/>
      <c r="J169" s="339"/>
      <c r="K169" s="339"/>
      <c r="L169" s="339"/>
      <c r="M169" s="339"/>
    </row>
    <row r="170" spans="1:13" ht="15.75" thickBot="1" x14ac:dyDescent="0.2">
      <c r="A170" s="92"/>
      <c r="B170" s="115" t="s">
        <v>282</v>
      </c>
      <c r="C170" s="106">
        <f>C138+C148+C168</f>
        <v>0</v>
      </c>
      <c r="D170" s="106">
        <f t="shared" ref="D170:L170" si="117">D138+D148+D168</f>
        <v>0</v>
      </c>
      <c r="E170" s="106">
        <f t="shared" si="117"/>
        <v>46290760</v>
      </c>
      <c r="F170" s="106">
        <f t="shared" si="117"/>
        <v>50806248</v>
      </c>
      <c r="G170" s="106">
        <f t="shared" si="117"/>
        <v>55767605.399999999</v>
      </c>
      <c r="H170" s="106">
        <f t="shared" si="117"/>
        <v>61219135.170000002</v>
      </c>
      <c r="I170" s="106">
        <f t="shared" si="117"/>
        <v>67209556.3785</v>
      </c>
      <c r="J170" s="106">
        <f t="shared" si="117"/>
        <v>73792445.092425004</v>
      </c>
      <c r="K170" s="106">
        <f t="shared" si="117"/>
        <v>81026719.331546262</v>
      </c>
      <c r="L170" s="106">
        <f t="shared" si="117"/>
        <v>88977172.481073573</v>
      </c>
      <c r="M170" s="106">
        <f t="shared" ref="M170" si="118">M138+M148+M168</f>
        <v>97715060.006372243</v>
      </c>
    </row>
    <row r="171" spans="1:13" ht="15.75" thickTop="1" x14ac:dyDescent="0.15"/>
    <row r="179" spans="2:13" x14ac:dyDescent="0.15">
      <c r="B179" s="237" t="str">
        <f>A1</f>
        <v>Project Report of M/s VAYU SUITES</v>
      </c>
      <c r="C179" s="237"/>
      <c r="D179" s="237"/>
      <c r="E179" s="237"/>
      <c r="F179" s="237"/>
      <c r="G179" s="237"/>
      <c r="H179" s="237"/>
      <c r="I179" s="237"/>
      <c r="J179" s="237"/>
      <c r="K179" s="237"/>
      <c r="L179" s="237"/>
    </row>
    <row r="180" spans="2:13" x14ac:dyDescent="0.15">
      <c r="B180" s="229"/>
      <c r="C180" s="229"/>
      <c r="D180" s="229"/>
      <c r="E180" s="229"/>
      <c r="F180" s="229"/>
      <c r="G180" s="229"/>
      <c r="H180" s="229"/>
    </row>
    <row r="181" spans="2:13" x14ac:dyDescent="0.15">
      <c r="B181" s="238" t="s">
        <v>98</v>
      </c>
      <c r="C181" s="238"/>
      <c r="D181" s="238"/>
      <c r="E181" s="238"/>
      <c r="F181" s="238"/>
      <c r="G181" s="238"/>
      <c r="H181" s="238"/>
      <c r="I181" s="238"/>
      <c r="J181" s="238"/>
    </row>
    <row r="183" spans="2:13" x14ac:dyDescent="0.15">
      <c r="B183" s="220" t="s">
        <v>37</v>
      </c>
      <c r="C183" s="224" t="s">
        <v>160</v>
      </c>
      <c r="D183" s="224" t="s">
        <v>161</v>
      </c>
      <c r="E183" s="226" t="s">
        <v>162</v>
      </c>
      <c r="F183" s="224" t="s">
        <v>163</v>
      </c>
      <c r="G183" s="227" t="s">
        <v>217</v>
      </c>
      <c r="H183" s="224" t="s">
        <v>230</v>
      </c>
      <c r="I183" s="47" t="s">
        <v>234</v>
      </c>
      <c r="J183" s="47" t="s">
        <v>235</v>
      </c>
      <c r="K183" s="47" t="s">
        <v>236</v>
      </c>
      <c r="L183" s="47" t="s">
        <v>281</v>
      </c>
      <c r="M183" s="47" t="s">
        <v>283</v>
      </c>
    </row>
    <row r="184" spans="2:13" x14ac:dyDescent="0.15">
      <c r="B184" s="221"/>
      <c r="C184" s="253"/>
      <c r="D184" s="253"/>
      <c r="E184" s="253"/>
      <c r="F184" s="253"/>
      <c r="G184" s="253"/>
      <c r="H184" s="253"/>
      <c r="I184" s="253"/>
      <c r="J184" s="253"/>
      <c r="K184" s="253"/>
      <c r="L184" s="253"/>
      <c r="M184" s="254"/>
    </row>
    <row r="185" spans="2:13" x14ac:dyDescent="0.15">
      <c r="B185" s="95" t="s">
        <v>40</v>
      </c>
      <c r="C185" s="66">
        <f>C204</f>
        <v>0</v>
      </c>
      <c r="D185" s="66">
        <f>D204</f>
        <v>0</v>
      </c>
      <c r="E185" s="66">
        <f>E204</f>
        <v>33033960</v>
      </c>
      <c r="F185" s="66">
        <f>F204</f>
        <v>36204904.799999997</v>
      </c>
      <c r="G185" s="112">
        <f>G204</f>
        <v>39682347.983999997</v>
      </c>
      <c r="H185" s="66">
        <f t="shared" ref="H185:J185" si="119">H204</f>
        <v>43496091.702720001</v>
      </c>
      <c r="I185" s="66">
        <f t="shared" si="119"/>
        <v>47678850.506937593</v>
      </c>
      <c r="J185" s="66">
        <f t="shared" si="119"/>
        <v>52266537.1622926</v>
      </c>
      <c r="K185" s="66">
        <f t="shared" ref="K185" si="120">K204</f>
        <v>57298576.611556023</v>
      </c>
      <c r="L185" s="66">
        <f t="shared" ref="L185:M185" si="121">L204</f>
        <v>62818250.864388496</v>
      </c>
      <c r="M185" s="66">
        <f t="shared" si="121"/>
        <v>68873077.869838372</v>
      </c>
    </row>
    <row r="186" spans="2:13" x14ac:dyDescent="0.15">
      <c r="B186" s="95" t="s">
        <v>34</v>
      </c>
      <c r="C186" s="66">
        <v>0</v>
      </c>
      <c r="D186" s="66"/>
      <c r="E186" s="66">
        <f>'MANPOWER PLANNING'!E29*12</f>
        <v>14520000</v>
      </c>
      <c r="F186" s="66">
        <f t="shared" ref="F186:J186" si="122">E186*1.1</f>
        <v>15972000.000000002</v>
      </c>
      <c r="G186" s="66">
        <f t="shared" si="122"/>
        <v>17569200.000000004</v>
      </c>
      <c r="H186" s="66">
        <f t="shared" si="122"/>
        <v>19326120.000000007</v>
      </c>
      <c r="I186" s="66">
        <f t="shared" si="122"/>
        <v>21258732.000000011</v>
      </c>
      <c r="J186" s="66">
        <f t="shared" si="122"/>
        <v>23384605.200000014</v>
      </c>
      <c r="K186" s="66">
        <f t="shared" ref="K186" si="123">J186*1.1</f>
        <v>25723065.720000017</v>
      </c>
      <c r="L186" s="66">
        <f t="shared" ref="L186:M186" si="124">K186*1.1</f>
        <v>28295372.292000022</v>
      </c>
      <c r="M186" s="66">
        <f t="shared" si="124"/>
        <v>31124909.521200027</v>
      </c>
    </row>
    <row r="187" spans="2:13" x14ac:dyDescent="0.15">
      <c r="B187" s="95" t="s">
        <v>41</v>
      </c>
      <c r="C187" s="66">
        <f>C246</f>
        <v>0</v>
      </c>
      <c r="D187" s="66">
        <f>D246</f>
        <v>0</v>
      </c>
      <c r="E187" s="66">
        <f>E246</f>
        <v>19160000</v>
      </c>
      <c r="F187" s="66">
        <f t="shared" ref="F187" si="125">F246</f>
        <v>18089625</v>
      </c>
      <c r="G187" s="112">
        <f>G246</f>
        <v>16724087.499999998</v>
      </c>
      <c r="H187" s="66">
        <f>H246</f>
        <v>15096214.999999998</v>
      </c>
      <c r="I187" s="66">
        <f t="shared" ref="I187:J187" si="126">I246</f>
        <v>13206023.999999998</v>
      </c>
      <c r="J187" s="66">
        <f t="shared" si="126"/>
        <v>10856657.649999999</v>
      </c>
      <c r="K187" s="66">
        <f>K246</f>
        <v>7490323.4149999991</v>
      </c>
      <c r="L187" s="66">
        <f t="shared" ref="L187:M187" si="127">L246</f>
        <v>3336730.7564999997</v>
      </c>
      <c r="M187" s="66">
        <f t="shared" si="127"/>
        <v>202778.83215</v>
      </c>
    </row>
    <row r="188" spans="2:13" x14ac:dyDescent="0.15">
      <c r="B188" s="95" t="s">
        <v>42</v>
      </c>
      <c r="C188" s="66">
        <f>C235</f>
        <v>0</v>
      </c>
      <c r="D188" s="66">
        <f>D235</f>
        <v>0</v>
      </c>
      <c r="E188" s="66">
        <f>E235</f>
        <v>82785980</v>
      </c>
      <c r="F188" s="66">
        <f t="shared" ref="F188" si="128">F235</f>
        <v>91064578.000000015</v>
      </c>
      <c r="G188" s="112">
        <f>G235</f>
        <v>100171035.80000001</v>
      </c>
      <c r="H188" s="66">
        <f>H235</f>
        <v>110188139.38</v>
      </c>
      <c r="I188" s="66">
        <f t="shared" ref="I188:J188" si="129">I235</f>
        <v>121206953.318</v>
      </c>
      <c r="J188" s="66">
        <f t="shared" si="129"/>
        <v>133327648.64980003</v>
      </c>
      <c r="K188" s="66">
        <f t="shared" ref="K188" si="130">K235</f>
        <v>146660413.51478001</v>
      </c>
      <c r="L188" s="66">
        <f t="shared" ref="L188:M188" si="131">L235</f>
        <v>161326454.86625803</v>
      </c>
      <c r="M188" s="66">
        <f t="shared" si="131"/>
        <v>177459100.35288388</v>
      </c>
    </row>
    <row r="189" spans="2:13" ht="15.75" thickBot="1" x14ac:dyDescent="0.2">
      <c r="B189" s="220" t="s">
        <v>44</v>
      </c>
      <c r="C189" s="96">
        <f t="shared" ref="C189:F189" si="132">SUM(C185:C188)</f>
        <v>0</v>
      </c>
      <c r="D189" s="96">
        <f t="shared" si="132"/>
        <v>0</v>
      </c>
      <c r="E189" s="96">
        <f t="shared" si="132"/>
        <v>149499940</v>
      </c>
      <c r="F189" s="96">
        <f t="shared" si="132"/>
        <v>161331107.80000001</v>
      </c>
      <c r="G189" s="111">
        <f t="shared" ref="G189:H189" si="133">SUM(G185:G188)</f>
        <v>174146671.28400001</v>
      </c>
      <c r="H189" s="96">
        <f t="shared" si="133"/>
        <v>188106566.08271998</v>
      </c>
      <c r="I189" s="96">
        <f t="shared" ref="I189:J189" si="134">SUM(I185:I188)</f>
        <v>203350559.82493761</v>
      </c>
      <c r="J189" s="96">
        <f t="shared" si="134"/>
        <v>219835448.66209266</v>
      </c>
      <c r="K189" s="96">
        <f t="shared" ref="K189:L189" si="135">SUM(K185:K188)</f>
        <v>237172379.26133606</v>
      </c>
      <c r="L189" s="96">
        <f t="shared" si="135"/>
        <v>255776808.77914655</v>
      </c>
      <c r="M189" s="96">
        <f t="shared" ref="M189" si="136">SUM(M185:M188)</f>
        <v>277659866.57607228</v>
      </c>
    </row>
    <row r="190" spans="2:13" ht="15.75" thickTop="1" x14ac:dyDescent="0.15">
      <c r="B190" s="229"/>
      <c r="C190" s="229"/>
      <c r="D190" s="229"/>
      <c r="E190" s="229"/>
      <c r="F190" s="229"/>
      <c r="G190" s="229"/>
      <c r="H190" s="229"/>
      <c r="J190" s="207"/>
    </row>
    <row r="191" spans="2:13" x14ac:dyDescent="0.15">
      <c r="B191" s="229"/>
      <c r="C191" s="229"/>
      <c r="D191" s="229"/>
      <c r="E191" s="229"/>
      <c r="F191" s="229"/>
      <c r="G191" s="229"/>
      <c r="H191" s="229"/>
      <c r="J191" s="207"/>
    </row>
    <row r="192" spans="2:13" x14ac:dyDescent="0.15">
      <c r="B192" s="229"/>
      <c r="C192" s="229"/>
      <c r="D192" s="229"/>
      <c r="E192" s="229"/>
      <c r="F192" s="229"/>
      <c r="G192" s="229"/>
      <c r="H192" s="229"/>
      <c r="J192" s="207"/>
    </row>
    <row r="193" spans="2:13" x14ac:dyDescent="0.15">
      <c r="B193" s="229"/>
      <c r="C193" s="229"/>
      <c r="D193" s="229"/>
      <c r="E193" s="229"/>
      <c r="F193" s="229"/>
      <c r="G193" s="229"/>
      <c r="H193" s="229"/>
      <c r="J193" s="207"/>
    </row>
    <row r="194" spans="2:13" x14ac:dyDescent="0.15">
      <c r="B194" s="229"/>
      <c r="C194" s="229"/>
      <c r="D194" s="229"/>
      <c r="E194" s="229"/>
      <c r="F194" s="229"/>
      <c r="G194" s="229"/>
      <c r="H194" s="229"/>
      <c r="J194" s="207"/>
    </row>
    <row r="195" spans="2:13" x14ac:dyDescent="0.15">
      <c r="B195" s="256" t="s">
        <v>97</v>
      </c>
      <c r="C195" s="256"/>
      <c r="D195" s="256"/>
      <c r="E195" s="256"/>
      <c r="F195" s="256"/>
      <c r="G195" s="256"/>
      <c r="H195" s="256"/>
      <c r="I195" s="256"/>
      <c r="J195" s="207"/>
    </row>
    <row r="196" spans="2:13" x14ac:dyDescent="0.15">
      <c r="B196" s="220" t="s">
        <v>37</v>
      </c>
      <c r="C196" s="225" t="s">
        <v>160</v>
      </c>
      <c r="D196" s="224" t="s">
        <v>161</v>
      </c>
      <c r="E196" s="224" t="s">
        <v>162</v>
      </c>
      <c r="F196" s="226" t="s">
        <v>163</v>
      </c>
      <c r="G196" s="224" t="s">
        <v>217</v>
      </c>
      <c r="H196" s="224" t="s">
        <v>230</v>
      </c>
      <c r="I196" s="47" t="s">
        <v>234</v>
      </c>
      <c r="J196" s="47" t="s">
        <v>235</v>
      </c>
      <c r="K196" s="47" t="s">
        <v>236</v>
      </c>
      <c r="L196" s="47" t="s">
        <v>281</v>
      </c>
      <c r="M196" s="47" t="s">
        <v>283</v>
      </c>
    </row>
    <row r="197" spans="2:13" x14ac:dyDescent="0.15">
      <c r="B197" s="221"/>
      <c r="C197" s="257"/>
      <c r="D197" s="258"/>
      <c r="E197" s="258"/>
      <c r="F197" s="258"/>
      <c r="G197" s="258"/>
      <c r="H197" s="258"/>
      <c r="I197" s="258"/>
      <c r="J197" s="258"/>
      <c r="K197" s="258"/>
      <c r="L197" s="259"/>
      <c r="M197" s="259"/>
    </row>
    <row r="198" spans="2:13" x14ac:dyDescent="0.15">
      <c r="B198" s="134" t="s">
        <v>278</v>
      </c>
      <c r="C198" s="65">
        <f t="shared" ref="C198:M198" si="137">C104</f>
        <v>0</v>
      </c>
      <c r="D198" s="65">
        <f t="shared" si="137"/>
        <v>0</v>
      </c>
      <c r="E198" s="65">
        <f t="shared" si="137"/>
        <v>11037600</v>
      </c>
      <c r="F198" s="65">
        <f t="shared" si="137"/>
        <v>11920608</v>
      </c>
      <c r="G198" s="65">
        <f t="shared" si="137"/>
        <v>12874256.639999999</v>
      </c>
      <c r="H198" s="65">
        <f t="shared" si="137"/>
        <v>13904197.1712</v>
      </c>
      <c r="I198" s="65">
        <f t="shared" si="137"/>
        <v>15016532.944895998</v>
      </c>
      <c r="J198" s="65">
        <f t="shared" si="137"/>
        <v>16217855.580487676</v>
      </c>
      <c r="K198" s="65">
        <f t="shared" si="137"/>
        <v>17515284.026926689</v>
      </c>
      <c r="L198" s="65">
        <f t="shared" si="137"/>
        <v>18916506.749080826</v>
      </c>
      <c r="M198" s="65">
        <f t="shared" si="137"/>
        <v>20429827.289007291</v>
      </c>
    </row>
    <row r="199" spans="2:13" x14ac:dyDescent="0.15">
      <c r="B199" s="134" t="s">
        <v>247</v>
      </c>
      <c r="C199" s="65">
        <f t="shared" ref="C199:M199" si="138">C138</f>
        <v>0</v>
      </c>
      <c r="D199" s="65">
        <f t="shared" si="138"/>
        <v>0</v>
      </c>
      <c r="E199" s="65">
        <f t="shared" si="138"/>
        <v>44019000</v>
      </c>
      <c r="F199" s="65">
        <f t="shared" si="138"/>
        <v>48420900</v>
      </c>
      <c r="G199" s="65">
        <f t="shared" si="138"/>
        <v>53262990</v>
      </c>
      <c r="H199" s="65">
        <f t="shared" si="138"/>
        <v>58589289</v>
      </c>
      <c r="I199" s="65">
        <f t="shared" si="138"/>
        <v>64448217.899999999</v>
      </c>
      <c r="J199" s="65">
        <f t="shared" si="138"/>
        <v>70893039.689999998</v>
      </c>
      <c r="K199" s="65">
        <f t="shared" si="138"/>
        <v>77982343.659000009</v>
      </c>
      <c r="L199" s="65">
        <f t="shared" si="138"/>
        <v>85780578.024900004</v>
      </c>
      <c r="M199" s="65">
        <f t="shared" si="138"/>
        <v>94358635.82739</v>
      </c>
    </row>
    <row r="200" spans="2:13" x14ac:dyDescent="0.15">
      <c r="B200" s="95" t="s">
        <v>20</v>
      </c>
      <c r="C200" s="66">
        <f t="shared" ref="C200:E200" si="139">C198+C199</f>
        <v>0</v>
      </c>
      <c r="D200" s="66">
        <f t="shared" si="139"/>
        <v>0</v>
      </c>
      <c r="E200" s="66">
        <f t="shared" si="139"/>
        <v>55056600</v>
      </c>
      <c r="F200" s="66">
        <f t="shared" ref="F200:G200" si="140">F198+F199</f>
        <v>60341508</v>
      </c>
      <c r="G200" s="66">
        <f t="shared" si="140"/>
        <v>66137246.640000001</v>
      </c>
      <c r="H200" s="66">
        <f t="shared" ref="H200:K200" si="141">H198+H199</f>
        <v>72493486.171200007</v>
      </c>
      <c r="I200" s="66">
        <f t="shared" si="141"/>
        <v>79464750.844895989</v>
      </c>
      <c r="J200" s="66">
        <f t="shared" si="141"/>
        <v>87110895.270487666</v>
      </c>
      <c r="K200" s="66">
        <f t="shared" si="141"/>
        <v>95497627.685926706</v>
      </c>
      <c r="L200" s="66">
        <f t="shared" ref="L200:M200" si="142">L198+L199</f>
        <v>104697084.77398083</v>
      </c>
      <c r="M200" s="66">
        <f t="shared" si="142"/>
        <v>114788463.11639729</v>
      </c>
    </row>
    <row r="201" spans="2:13" x14ac:dyDescent="0.15">
      <c r="B201" s="322"/>
      <c r="C201" s="323"/>
      <c r="D201" s="323"/>
      <c r="E201" s="323"/>
      <c r="F201" s="323"/>
      <c r="G201" s="323"/>
      <c r="H201" s="323"/>
      <c r="I201" s="323"/>
      <c r="J201" s="323"/>
      <c r="K201" s="323"/>
      <c r="L201" s="323"/>
      <c r="M201" s="324"/>
    </row>
    <row r="202" spans="2:13" x14ac:dyDescent="0.15">
      <c r="B202" s="95" t="s">
        <v>99</v>
      </c>
      <c r="C202" s="69"/>
      <c r="D202" s="69"/>
      <c r="E202" s="69">
        <v>0.6</v>
      </c>
      <c r="F202" s="69">
        <v>0.6</v>
      </c>
      <c r="G202" s="69">
        <v>0.6</v>
      </c>
      <c r="H202" s="69">
        <v>0.6</v>
      </c>
      <c r="I202" s="69">
        <v>0.6</v>
      </c>
      <c r="J202" s="69">
        <v>0.6</v>
      </c>
      <c r="K202" s="69">
        <v>0.6</v>
      </c>
      <c r="L202" s="69">
        <v>0.6</v>
      </c>
      <c r="M202" s="69">
        <v>0.6</v>
      </c>
    </row>
    <row r="203" spans="2:13" x14ac:dyDescent="0.15">
      <c r="B203" s="340"/>
      <c r="C203" s="341"/>
      <c r="D203" s="341"/>
      <c r="E203" s="341"/>
      <c r="F203" s="341"/>
      <c r="G203" s="341"/>
      <c r="H203" s="341"/>
      <c r="I203" s="341"/>
      <c r="J203" s="341"/>
      <c r="K203" s="341"/>
      <c r="L203" s="341"/>
      <c r="M203" s="342"/>
    </row>
    <row r="204" spans="2:13" ht="15.75" thickBot="1" x14ac:dyDescent="0.2">
      <c r="B204" s="95" t="s">
        <v>100</v>
      </c>
      <c r="C204" s="96">
        <f t="shared" ref="C204:K204" si="143">C200*C202</f>
        <v>0</v>
      </c>
      <c r="D204" s="96">
        <f t="shared" si="143"/>
        <v>0</v>
      </c>
      <c r="E204" s="96">
        <f t="shared" si="143"/>
        <v>33033960</v>
      </c>
      <c r="F204" s="96">
        <f t="shared" si="143"/>
        <v>36204904.799999997</v>
      </c>
      <c r="G204" s="111">
        <f t="shared" si="143"/>
        <v>39682347.983999997</v>
      </c>
      <c r="H204" s="96">
        <f t="shared" si="143"/>
        <v>43496091.702720001</v>
      </c>
      <c r="I204" s="96">
        <f t="shared" si="143"/>
        <v>47678850.506937593</v>
      </c>
      <c r="J204" s="96">
        <f t="shared" si="143"/>
        <v>52266537.1622926</v>
      </c>
      <c r="K204" s="96">
        <f t="shared" si="143"/>
        <v>57298576.611556023</v>
      </c>
      <c r="L204" s="96">
        <f t="shared" ref="L204:M204" si="144">L200*L202</f>
        <v>62818250.864388496</v>
      </c>
      <c r="M204" s="96">
        <f t="shared" si="144"/>
        <v>68873077.869838372</v>
      </c>
    </row>
    <row r="205" spans="2:13" ht="15.75" thickTop="1" x14ac:dyDescent="0.15"/>
    <row r="218" spans="2:13" x14ac:dyDescent="0.15">
      <c r="B218" s="237" t="str">
        <f>A1</f>
        <v>Project Report of M/s VAYU SUITES</v>
      </c>
      <c r="C218" s="237"/>
      <c r="D218" s="237"/>
      <c r="E218" s="237"/>
      <c r="F218" s="237"/>
      <c r="G218" s="237"/>
      <c r="H218" s="237"/>
      <c r="I218" s="237"/>
      <c r="J218" s="237"/>
      <c r="K218" s="237"/>
    </row>
    <row r="219" spans="2:13" x14ac:dyDescent="0.15">
      <c r="B219" s="229"/>
      <c r="C219" s="229"/>
      <c r="D219" s="229"/>
      <c r="E219" s="229"/>
      <c r="F219" s="229"/>
      <c r="G219" s="229"/>
      <c r="H219" s="229"/>
    </row>
    <row r="220" spans="2:13" x14ac:dyDescent="0.15">
      <c r="B220" s="256" t="s">
        <v>101</v>
      </c>
      <c r="C220" s="256"/>
      <c r="D220" s="256"/>
      <c r="E220" s="256"/>
      <c r="F220" s="256"/>
      <c r="G220" s="256"/>
      <c r="H220" s="256"/>
      <c r="I220" s="256"/>
    </row>
    <row r="221" spans="2:13" x14ac:dyDescent="0.15">
      <c r="B221" s="220" t="s">
        <v>37</v>
      </c>
      <c r="C221" s="224" t="s">
        <v>160</v>
      </c>
      <c r="D221" s="225" t="s">
        <v>161</v>
      </c>
      <c r="E221" s="225" t="s">
        <v>162</v>
      </c>
      <c r="F221" s="224" t="s">
        <v>163</v>
      </c>
      <c r="G221" s="227" t="s">
        <v>217</v>
      </c>
      <c r="H221" s="224" t="s">
        <v>230</v>
      </c>
      <c r="I221" s="47" t="s">
        <v>234</v>
      </c>
      <c r="J221" s="47" t="s">
        <v>235</v>
      </c>
      <c r="K221" s="47" t="s">
        <v>236</v>
      </c>
      <c r="L221" s="47" t="s">
        <v>281</v>
      </c>
      <c r="M221" s="47" t="s">
        <v>283</v>
      </c>
    </row>
    <row r="222" spans="2:13" x14ac:dyDescent="0.15">
      <c r="B222" s="221" t="s">
        <v>102</v>
      </c>
      <c r="C222" s="114"/>
      <c r="D222" s="114"/>
      <c r="E222" s="114"/>
      <c r="F222" s="114">
        <v>0.1</v>
      </c>
      <c r="G222" s="114">
        <v>0.1</v>
      </c>
      <c r="H222" s="114">
        <v>0.1</v>
      </c>
      <c r="I222" s="114">
        <v>0.1</v>
      </c>
      <c r="J222" s="114">
        <v>0.1</v>
      </c>
      <c r="K222" s="114">
        <v>0.1</v>
      </c>
      <c r="L222" s="114">
        <v>0.1</v>
      </c>
      <c r="M222" s="114">
        <v>0.1</v>
      </c>
    </row>
    <row r="223" spans="2:13" x14ac:dyDescent="0.15">
      <c r="B223" s="134"/>
      <c r="C223" s="333"/>
      <c r="D223" s="334"/>
      <c r="E223" s="334"/>
      <c r="F223" s="334"/>
      <c r="G223" s="334"/>
      <c r="H223" s="334"/>
      <c r="I223" s="334"/>
      <c r="J223" s="334"/>
      <c r="K223" s="334"/>
      <c r="L223" s="334"/>
      <c r="M223" s="335"/>
    </row>
    <row r="224" spans="2:13" x14ac:dyDescent="0.15">
      <c r="B224" s="134" t="s">
        <v>103</v>
      </c>
      <c r="C224" s="65">
        <v>0</v>
      </c>
      <c r="D224" s="134">
        <v>0</v>
      </c>
      <c r="E224" s="134">
        <v>50463142</v>
      </c>
      <c r="F224" s="65">
        <f>E224+E224*F222</f>
        <v>55509456.200000003</v>
      </c>
      <c r="G224" s="113">
        <f t="shared" ref="G224:H224" si="145">F224+F224*G222</f>
        <v>61060401.820000008</v>
      </c>
      <c r="H224" s="65">
        <f t="shared" si="145"/>
        <v>67166442.002000004</v>
      </c>
      <c r="I224" s="65">
        <f t="shared" ref="I224" si="146">H224+H224*I222</f>
        <v>73883086.20220001</v>
      </c>
      <c r="J224" s="65">
        <f t="shared" ref="J224" si="147">I224+I224*J222</f>
        <v>81271394.822420016</v>
      </c>
      <c r="K224" s="65">
        <f t="shared" ref="K224" si="148">J224+J224*K222</f>
        <v>89398534.304662019</v>
      </c>
      <c r="L224" s="65">
        <f t="shared" ref="L224:M224" si="149">K224+K224*L222</f>
        <v>98338387.735128224</v>
      </c>
      <c r="M224" s="65">
        <f t="shared" si="149"/>
        <v>108172226.50864105</v>
      </c>
    </row>
    <row r="225" spans="2:13" x14ac:dyDescent="0.15">
      <c r="B225" s="134" t="s">
        <v>104</v>
      </c>
      <c r="C225" s="65">
        <v>0</v>
      </c>
      <c r="D225" s="134">
        <v>0</v>
      </c>
      <c r="E225" s="134">
        <v>1648304</v>
      </c>
      <c r="F225" s="65">
        <f>E225+E225*F222</f>
        <v>1813134.4</v>
      </c>
      <c r="G225" s="113">
        <f t="shared" ref="G225:H225" si="150">F225+F225*G222</f>
        <v>1994447.8399999999</v>
      </c>
      <c r="H225" s="65">
        <f t="shared" si="150"/>
        <v>2193892.6239999998</v>
      </c>
      <c r="I225" s="65">
        <f t="shared" ref="I225" si="151">H225+H225*I222</f>
        <v>2413281.8863999997</v>
      </c>
      <c r="J225" s="65">
        <f t="shared" ref="J225" si="152">I225+I225*J222</f>
        <v>2654610.0750399996</v>
      </c>
      <c r="K225" s="65">
        <f t="shared" ref="K225" si="153">J225+J225*K222</f>
        <v>2920071.0825439994</v>
      </c>
      <c r="L225" s="65">
        <f t="shared" ref="L225:M225" si="154">K225+K225*L222</f>
        <v>3212078.1907983995</v>
      </c>
      <c r="M225" s="65">
        <f t="shared" si="154"/>
        <v>3533286.0098782396</v>
      </c>
    </row>
    <row r="226" spans="2:13" x14ac:dyDescent="0.15">
      <c r="B226" s="134" t="s">
        <v>105</v>
      </c>
      <c r="C226" s="65">
        <v>0</v>
      </c>
      <c r="D226" s="134">
        <v>0</v>
      </c>
      <c r="E226" s="134">
        <v>9397454</v>
      </c>
      <c r="F226" s="65">
        <f>E226+E226*F222</f>
        <v>10337199.4</v>
      </c>
      <c r="G226" s="113">
        <f t="shared" ref="G226:H226" si="155">F226+F226*G222</f>
        <v>11370919.34</v>
      </c>
      <c r="H226" s="65">
        <f t="shared" si="155"/>
        <v>12508011.274</v>
      </c>
      <c r="I226" s="65">
        <f t="shared" ref="I226" si="156">H226+H226*I222</f>
        <v>13758812.4014</v>
      </c>
      <c r="J226" s="65">
        <f t="shared" ref="J226" si="157">I226+I226*J222</f>
        <v>15134693.64154</v>
      </c>
      <c r="K226" s="65">
        <f t="shared" ref="K226" si="158">J226+J226*K222</f>
        <v>16648163.005694</v>
      </c>
      <c r="L226" s="65">
        <f t="shared" ref="L226:M226" si="159">K226+K226*L222</f>
        <v>18312979.306263402</v>
      </c>
      <c r="M226" s="65">
        <f t="shared" si="159"/>
        <v>20144277.236889742</v>
      </c>
    </row>
    <row r="227" spans="2:13" ht="30" x14ac:dyDescent="0.15">
      <c r="B227" s="102" t="s">
        <v>237</v>
      </c>
      <c r="C227" s="65">
        <v>0</v>
      </c>
      <c r="D227" s="134">
        <v>0</v>
      </c>
      <c r="E227" s="134">
        <v>1583102</v>
      </c>
      <c r="F227" s="65">
        <f>E227+E227*F222</f>
        <v>1741412.2</v>
      </c>
      <c r="G227" s="113">
        <f t="shared" ref="G227:H227" si="160">F227+F227*G222</f>
        <v>1915553.42</v>
      </c>
      <c r="H227" s="65">
        <f t="shared" si="160"/>
        <v>2107108.7620000001</v>
      </c>
      <c r="I227" s="65">
        <f t="shared" ref="I227" si="161">H227+H227*I222</f>
        <v>2317819.6381999999</v>
      </c>
      <c r="J227" s="65">
        <f t="shared" ref="J227" si="162">I227+I227*J222</f>
        <v>2549601.6020200001</v>
      </c>
      <c r="K227" s="65">
        <f t="shared" ref="K227" si="163">J227+J227*K222</f>
        <v>2804561.7622219999</v>
      </c>
      <c r="L227" s="65">
        <f t="shared" ref="L227:M227" si="164">K227+K227*L222</f>
        <v>3085017.9384442</v>
      </c>
      <c r="M227" s="65">
        <f t="shared" si="164"/>
        <v>3393519.73228862</v>
      </c>
    </row>
    <row r="228" spans="2:13" x14ac:dyDescent="0.15">
      <c r="B228" s="134" t="s">
        <v>106</v>
      </c>
      <c r="C228" s="65">
        <v>0</v>
      </c>
      <c r="D228" s="134">
        <v>0</v>
      </c>
      <c r="E228" s="134">
        <v>2060684</v>
      </c>
      <c r="F228" s="65">
        <f>E228+E228*F222</f>
        <v>2266752.4</v>
      </c>
      <c r="G228" s="113">
        <f t="shared" ref="G228:H228" si="165">F228+F228*G222</f>
        <v>2493427.6399999997</v>
      </c>
      <c r="H228" s="65">
        <f t="shared" si="165"/>
        <v>2742770.4039999996</v>
      </c>
      <c r="I228" s="65">
        <f t="shared" ref="I228" si="166">H228+H228*I222</f>
        <v>3017047.4443999995</v>
      </c>
      <c r="J228" s="65">
        <f t="shared" ref="J228" si="167">I228+I228*J222</f>
        <v>3318752.1888399995</v>
      </c>
      <c r="K228" s="65">
        <f t="shared" ref="K228" si="168">J228+J228*K222</f>
        <v>3650627.4077239996</v>
      </c>
      <c r="L228" s="65">
        <f t="shared" ref="L228:M228" si="169">K228+K228*L222</f>
        <v>4015690.1484963996</v>
      </c>
      <c r="M228" s="65">
        <f t="shared" si="169"/>
        <v>4417259.1633460391</v>
      </c>
    </row>
    <row r="229" spans="2:13" x14ac:dyDescent="0.15">
      <c r="B229" s="134" t="s">
        <v>107</v>
      </c>
      <c r="C229" s="65">
        <v>0</v>
      </c>
      <c r="D229" s="134">
        <v>0</v>
      </c>
      <c r="E229" s="134">
        <v>158124</v>
      </c>
      <c r="F229" s="65">
        <f>E229+E229*F222</f>
        <v>173936.4</v>
      </c>
      <c r="G229" s="113">
        <f t="shared" ref="G229:H229" si="170">F229+F229*G222</f>
        <v>191330.03999999998</v>
      </c>
      <c r="H229" s="65">
        <f t="shared" si="170"/>
        <v>210463.04399999997</v>
      </c>
      <c r="I229" s="65">
        <f t="shared" ref="I229" si="171">H229+H229*I222</f>
        <v>231509.34839999996</v>
      </c>
      <c r="J229" s="65">
        <f t="shared" ref="J229" si="172">I229+I229*J222</f>
        <v>254660.28323999996</v>
      </c>
      <c r="K229" s="65">
        <f t="shared" ref="K229" si="173">J229+J229*K222</f>
        <v>280126.31156399997</v>
      </c>
      <c r="L229" s="65">
        <f t="shared" ref="L229:M229" si="174">K229+K229*L222</f>
        <v>308138.94272039999</v>
      </c>
      <c r="M229" s="65">
        <f t="shared" si="174"/>
        <v>338952.83699243999</v>
      </c>
    </row>
    <row r="230" spans="2:13" x14ac:dyDescent="0.15">
      <c r="B230" s="134" t="s">
        <v>108</v>
      </c>
      <c r="C230" s="65">
        <v>0</v>
      </c>
      <c r="D230" s="134">
        <v>0</v>
      </c>
      <c r="E230" s="134">
        <v>843610</v>
      </c>
      <c r="F230" s="65">
        <f>E230+E230*F222</f>
        <v>927971</v>
      </c>
      <c r="G230" s="113">
        <f t="shared" ref="G230:H230" si="175">F230+F230*G222</f>
        <v>1020768.1</v>
      </c>
      <c r="H230" s="65">
        <f t="shared" si="175"/>
        <v>1122844.9099999999</v>
      </c>
      <c r="I230" s="65">
        <f t="shared" ref="I230" si="176">H230+H230*I222</f>
        <v>1235129.4009999998</v>
      </c>
      <c r="J230" s="65">
        <f t="shared" ref="J230" si="177">I230+I230*J222</f>
        <v>1358642.3410999998</v>
      </c>
      <c r="K230" s="65">
        <f t="shared" ref="K230" si="178">J230+J230*K222</f>
        <v>1494506.5752099999</v>
      </c>
      <c r="L230" s="65">
        <f t="shared" ref="L230:M230" si="179">K230+K230*L222</f>
        <v>1643957.2327309998</v>
      </c>
      <c r="M230" s="65">
        <f t="shared" si="179"/>
        <v>1808352.9560040999</v>
      </c>
    </row>
    <row r="231" spans="2:13" x14ac:dyDescent="0.15">
      <c r="B231" s="134" t="s">
        <v>109</v>
      </c>
      <c r="C231" s="65">
        <v>0</v>
      </c>
      <c r="D231" s="134">
        <v>0</v>
      </c>
      <c r="E231" s="134">
        <v>2000000</v>
      </c>
      <c r="F231" s="65">
        <f>E231+E231*F222</f>
        <v>2200000</v>
      </c>
      <c r="G231" s="113">
        <f t="shared" ref="G231:H231" si="180">F231+F231*G222</f>
        <v>2420000</v>
      </c>
      <c r="H231" s="65">
        <f t="shared" si="180"/>
        <v>2662000</v>
      </c>
      <c r="I231" s="65">
        <f t="shared" ref="I231" si="181">H231+H231*I222</f>
        <v>2928200</v>
      </c>
      <c r="J231" s="65">
        <f t="shared" ref="J231" si="182">I231+I231*J222</f>
        <v>3221020</v>
      </c>
      <c r="K231" s="65">
        <f t="shared" ref="K231" si="183">J231+J231*K222</f>
        <v>3543122</v>
      </c>
      <c r="L231" s="65">
        <f t="shared" ref="L231:M231" si="184">K231+K231*L222</f>
        <v>3897434.2</v>
      </c>
      <c r="M231" s="65">
        <f t="shared" si="184"/>
        <v>4287177.62</v>
      </c>
    </row>
    <row r="232" spans="2:13" x14ac:dyDescent="0.15">
      <c r="B232" s="134" t="s">
        <v>110</v>
      </c>
      <c r="C232" s="65">
        <v>0</v>
      </c>
      <c r="D232" s="134">
        <v>0</v>
      </c>
      <c r="E232" s="134">
        <v>131560</v>
      </c>
      <c r="F232" s="65">
        <f>E232+E232*F222</f>
        <v>144716</v>
      </c>
      <c r="G232" s="113">
        <f t="shared" ref="G232:H232" si="185">F232+F232*G222</f>
        <v>159187.6</v>
      </c>
      <c r="H232" s="65">
        <f t="shared" si="185"/>
        <v>175106.36000000002</v>
      </c>
      <c r="I232" s="65">
        <f t="shared" ref="I232" si="186">H232+H232*I222</f>
        <v>192616.99600000001</v>
      </c>
      <c r="J232" s="65">
        <f t="shared" ref="J232" si="187">I232+I232*J222</f>
        <v>211878.69560000001</v>
      </c>
      <c r="K232" s="65">
        <f t="shared" ref="K232" si="188">J232+J232*K222</f>
        <v>233066.56516</v>
      </c>
      <c r="L232" s="65">
        <f t="shared" ref="L232:M232" si="189">K232+K232*L222</f>
        <v>256373.22167599999</v>
      </c>
      <c r="M232" s="65">
        <f t="shared" si="189"/>
        <v>282010.54384359997</v>
      </c>
    </row>
    <row r="233" spans="2:13" x14ac:dyDescent="0.15">
      <c r="B233" s="134" t="s">
        <v>111</v>
      </c>
      <c r="C233" s="65">
        <v>0</v>
      </c>
      <c r="D233" s="134">
        <v>0</v>
      </c>
      <c r="E233" s="134">
        <v>100000</v>
      </c>
      <c r="F233" s="65">
        <f>E233+E233*F222</f>
        <v>110000</v>
      </c>
      <c r="G233" s="113">
        <f t="shared" ref="G233:H233" si="190">F233+F233*G222</f>
        <v>121000</v>
      </c>
      <c r="H233" s="65">
        <f t="shared" si="190"/>
        <v>133100</v>
      </c>
      <c r="I233" s="65">
        <f t="shared" ref="I233" si="191">H233+H233*I222</f>
        <v>146410</v>
      </c>
      <c r="J233" s="65">
        <f t="shared" ref="J233" si="192">I233+I233*J222</f>
        <v>161051</v>
      </c>
      <c r="K233" s="65">
        <f t="shared" ref="K233" si="193">J233+J233*K222</f>
        <v>177156.1</v>
      </c>
      <c r="L233" s="65">
        <f t="shared" ref="L233:M233" si="194">K233+K233*L222</f>
        <v>194871.71000000002</v>
      </c>
      <c r="M233" s="65">
        <f t="shared" si="194"/>
        <v>214358.88100000002</v>
      </c>
    </row>
    <row r="234" spans="2:13" x14ac:dyDescent="0.15">
      <c r="B234" s="222" t="s">
        <v>285</v>
      </c>
      <c r="C234" s="223">
        <v>0</v>
      </c>
      <c r="D234" s="214">
        <v>0</v>
      </c>
      <c r="E234" s="134">
        <v>14400000</v>
      </c>
      <c r="F234" s="65">
        <f>E234+E234*F222</f>
        <v>15840000</v>
      </c>
      <c r="G234" s="65">
        <f>F234+F234*G222</f>
        <v>17424000</v>
      </c>
      <c r="H234" s="65">
        <f t="shared" ref="H234:M234" si="195">G234+G234*H222</f>
        <v>19166400</v>
      </c>
      <c r="I234" s="65">
        <f t="shared" si="195"/>
        <v>21083040</v>
      </c>
      <c r="J234" s="65">
        <f t="shared" si="195"/>
        <v>23191344</v>
      </c>
      <c r="K234" s="65">
        <f t="shared" si="195"/>
        <v>25510478.399999999</v>
      </c>
      <c r="L234" s="65">
        <f t="shared" si="195"/>
        <v>28061526.239999998</v>
      </c>
      <c r="M234" s="65">
        <f t="shared" si="195"/>
        <v>30867678.864</v>
      </c>
    </row>
    <row r="235" spans="2:13" ht="15.75" thickBot="1" x14ac:dyDescent="0.2">
      <c r="B235" s="220" t="s">
        <v>20</v>
      </c>
      <c r="C235" s="96">
        <f>SUM(C224:C234)</f>
        <v>0</v>
      </c>
      <c r="D235" s="96">
        <f t="shared" ref="D235:L235" si="196">SUM(D224:D234)</f>
        <v>0</v>
      </c>
      <c r="E235" s="96">
        <f>SUM(E224:E234)</f>
        <v>82785980</v>
      </c>
      <c r="F235" s="96">
        <f t="shared" si="196"/>
        <v>91064578.000000015</v>
      </c>
      <c r="G235" s="96">
        <f t="shared" si="196"/>
        <v>100171035.80000001</v>
      </c>
      <c r="H235" s="96">
        <f t="shared" si="196"/>
        <v>110188139.38</v>
      </c>
      <c r="I235" s="96">
        <f t="shared" si="196"/>
        <v>121206953.318</v>
      </c>
      <c r="J235" s="96">
        <f t="shared" si="196"/>
        <v>133327648.64980003</v>
      </c>
      <c r="K235" s="96">
        <f t="shared" si="196"/>
        <v>146660413.51478001</v>
      </c>
      <c r="L235" s="96">
        <f t="shared" si="196"/>
        <v>161326454.86625803</v>
      </c>
      <c r="M235" s="96">
        <f t="shared" ref="M235" si="197">SUM(M224:M234)</f>
        <v>177459100.35288388</v>
      </c>
    </row>
    <row r="236" spans="2:13" ht="15.75" thickTop="1" x14ac:dyDescent="0.15"/>
    <row r="237" spans="2:13" x14ac:dyDescent="0.15">
      <c r="B237" s="237" t="str">
        <f>A1</f>
        <v>Project Report of M/s VAYU SUITES</v>
      </c>
      <c r="C237" s="237"/>
      <c r="D237" s="237"/>
      <c r="E237" s="237"/>
      <c r="F237" s="237"/>
      <c r="G237" s="237"/>
      <c r="H237" s="237"/>
      <c r="I237" s="237"/>
      <c r="J237" s="237"/>
      <c r="K237" s="237"/>
      <c r="L237" s="237"/>
    </row>
    <row r="238" spans="2:13" x14ac:dyDescent="0.15">
      <c r="B238" s="229"/>
      <c r="C238" s="229"/>
      <c r="D238" s="229"/>
      <c r="E238" s="229"/>
      <c r="F238" s="229"/>
      <c r="G238" s="229"/>
      <c r="H238" s="229"/>
    </row>
    <row r="239" spans="2:13" x14ac:dyDescent="0.15">
      <c r="B239" s="256" t="s">
        <v>143</v>
      </c>
      <c r="C239" s="256"/>
      <c r="D239" s="256"/>
      <c r="E239" s="256"/>
      <c r="F239" s="256"/>
      <c r="G239" s="256"/>
      <c r="H239" s="256"/>
      <c r="K239" s="211"/>
    </row>
    <row r="240" spans="2:13" x14ac:dyDescent="0.15">
      <c r="B240" s="220" t="s">
        <v>37</v>
      </c>
      <c r="C240" s="224" t="s">
        <v>160</v>
      </c>
      <c r="D240" s="224" t="s">
        <v>161</v>
      </c>
      <c r="E240" s="224" t="s">
        <v>162</v>
      </c>
      <c r="F240" s="224" t="s">
        <v>163</v>
      </c>
      <c r="G240" s="225" t="s">
        <v>217</v>
      </c>
      <c r="H240" s="224" t="s">
        <v>230</v>
      </c>
      <c r="I240" s="47" t="s">
        <v>234</v>
      </c>
      <c r="J240" s="47" t="s">
        <v>235</v>
      </c>
      <c r="K240" s="47" t="s">
        <v>236</v>
      </c>
      <c r="L240" s="47" t="s">
        <v>281</v>
      </c>
      <c r="M240" s="47" t="s">
        <v>283</v>
      </c>
    </row>
    <row r="241" spans="2:13" x14ac:dyDescent="0.15">
      <c r="B241" s="221"/>
      <c r="C241" s="332"/>
      <c r="D241" s="332"/>
      <c r="E241" s="332"/>
      <c r="F241" s="332"/>
      <c r="G241" s="332"/>
      <c r="H241" s="332"/>
      <c r="I241" s="332"/>
      <c r="J241" s="332"/>
      <c r="K241" s="332"/>
      <c r="L241" s="332"/>
      <c r="M241" s="332"/>
    </row>
    <row r="242" spans="2:13" x14ac:dyDescent="0.15">
      <c r="B242" s="221" t="s">
        <v>138</v>
      </c>
      <c r="C242" s="65">
        <f>'Repayment Schedule'!B154*100000</f>
        <v>3018750</v>
      </c>
      <c r="D242" s="65">
        <f>'Repayment Schedule'!C154*100000</f>
        <v>14530833.333333334</v>
      </c>
      <c r="E242" s="65">
        <f>'Repayment Schedule'!D154*100000</f>
        <v>19145000</v>
      </c>
      <c r="F242" s="65">
        <f>'Repayment Schedule'!E154*100000</f>
        <v>18073125</v>
      </c>
      <c r="G242" s="113">
        <f>'Repayment Schedule'!F154*100000</f>
        <v>16705937.499999998</v>
      </c>
      <c r="H242" s="65">
        <f>'Repayment Schedule'!G154*100000</f>
        <v>15076249.999999998</v>
      </c>
      <c r="I242" s="65">
        <f>'Repayment Schedule'!H154*100000</f>
        <v>13184062.499999998</v>
      </c>
      <c r="J242" s="65">
        <f>'Repayment Schedule'!I154*100000</f>
        <v>10832499.999999998</v>
      </c>
      <c r="K242" s="65">
        <f>'Repayment Schedule'!J154*100000</f>
        <v>7463749.9999999991</v>
      </c>
      <c r="L242" s="65">
        <f>'Repayment Schedule'!K154*100000</f>
        <v>3307499.9999999995</v>
      </c>
      <c r="M242" s="65">
        <f>'Repayment Schedule'!L154*100000</f>
        <v>170625</v>
      </c>
    </row>
    <row r="243" spans="2:13" x14ac:dyDescent="0.15">
      <c r="B243" s="221" t="s">
        <v>144</v>
      </c>
      <c r="C243" s="65">
        <v>0</v>
      </c>
      <c r="D243" s="65">
        <v>0</v>
      </c>
      <c r="E243" s="65">
        <v>5000</v>
      </c>
      <c r="F243" s="65">
        <f t="shared" ref="F243:F244" si="198">E243+E243*10%</f>
        <v>5500</v>
      </c>
      <c r="G243" s="113">
        <f>F243+F243*10%</f>
        <v>6050</v>
      </c>
      <c r="H243" s="65">
        <f>G243+G243*10%</f>
        <v>6655</v>
      </c>
      <c r="I243" s="65">
        <f t="shared" ref="I243:J243" si="199">H243+H243*10%</f>
        <v>7320.5</v>
      </c>
      <c r="J243" s="65">
        <f t="shared" si="199"/>
        <v>8052.55</v>
      </c>
      <c r="K243" s="65">
        <f t="shared" ref="K243:M244" si="200">J243+J243*10%</f>
        <v>8857.8050000000003</v>
      </c>
      <c r="L243" s="65">
        <f t="shared" si="200"/>
        <v>9743.585500000001</v>
      </c>
      <c r="M243" s="65">
        <f t="shared" si="200"/>
        <v>10717.944050000002</v>
      </c>
    </row>
    <row r="244" spans="2:13" x14ac:dyDescent="0.15">
      <c r="B244" s="221" t="s">
        <v>145</v>
      </c>
      <c r="C244" s="65">
        <v>0</v>
      </c>
      <c r="D244" s="65">
        <v>0</v>
      </c>
      <c r="E244" s="65">
        <v>10000</v>
      </c>
      <c r="F244" s="65">
        <f t="shared" si="198"/>
        <v>11000</v>
      </c>
      <c r="G244" s="113">
        <f>F244+F244*10%</f>
        <v>12100</v>
      </c>
      <c r="H244" s="65">
        <f>G244+G244*10%</f>
        <v>13310</v>
      </c>
      <c r="I244" s="65">
        <f t="shared" ref="I244:J244" si="201">H244+H244*10%</f>
        <v>14641</v>
      </c>
      <c r="J244" s="65">
        <f t="shared" si="201"/>
        <v>16105.1</v>
      </c>
      <c r="K244" s="65">
        <f t="shared" si="200"/>
        <v>17715.61</v>
      </c>
      <c r="L244" s="65">
        <f t="shared" si="200"/>
        <v>19487.171000000002</v>
      </c>
      <c r="M244" s="65">
        <f t="shared" si="200"/>
        <v>21435.888100000004</v>
      </c>
    </row>
    <row r="245" spans="2:13" ht="30" x14ac:dyDescent="0.15">
      <c r="B245" s="105" t="s">
        <v>195</v>
      </c>
      <c r="C245" s="65">
        <f>'Repayment Schedule'!B154*100000</f>
        <v>3018750</v>
      </c>
      <c r="D245" s="65">
        <f>'Repayment Schedule'!C154*100000</f>
        <v>14530833.333333334</v>
      </c>
      <c r="E245" s="65">
        <v>0</v>
      </c>
      <c r="F245" s="65">
        <v>0</v>
      </c>
      <c r="G245" s="113">
        <v>0</v>
      </c>
      <c r="H245" s="65">
        <v>0</v>
      </c>
      <c r="I245" s="65">
        <v>0</v>
      </c>
      <c r="J245" s="65">
        <v>0</v>
      </c>
      <c r="K245" s="65">
        <v>0</v>
      </c>
      <c r="L245" s="65">
        <v>0</v>
      </c>
      <c r="M245" s="65">
        <v>0</v>
      </c>
    </row>
    <row r="246" spans="2:13" ht="15.75" thickBot="1" x14ac:dyDescent="0.2">
      <c r="B246" s="220" t="s">
        <v>20</v>
      </c>
      <c r="C246" s="96">
        <f t="shared" ref="C246:H246" si="202">SUM(C242:C244)-C245</f>
        <v>0</v>
      </c>
      <c r="D246" s="96">
        <f t="shared" si="202"/>
        <v>0</v>
      </c>
      <c r="E246" s="96">
        <f t="shared" si="202"/>
        <v>19160000</v>
      </c>
      <c r="F246" s="96">
        <f t="shared" si="202"/>
        <v>18089625</v>
      </c>
      <c r="G246" s="111">
        <f t="shared" si="202"/>
        <v>16724087.499999998</v>
      </c>
      <c r="H246" s="96">
        <f t="shared" si="202"/>
        <v>15096214.999999998</v>
      </c>
      <c r="I246" s="96">
        <f t="shared" ref="I246:J246" si="203">SUM(I242:I244)-I245</f>
        <v>13206023.999999998</v>
      </c>
      <c r="J246" s="96">
        <f t="shared" si="203"/>
        <v>10856657.649999999</v>
      </c>
      <c r="K246" s="96">
        <f t="shared" ref="K246:L246" si="204">SUM(K242:K244)-K245</f>
        <v>7490323.4149999991</v>
      </c>
      <c r="L246" s="96">
        <f t="shared" si="204"/>
        <v>3336730.7564999997</v>
      </c>
      <c r="M246" s="96">
        <f t="shared" ref="M246" si="205">SUM(M242:M244)-M245</f>
        <v>202778.83215</v>
      </c>
    </row>
    <row r="247" spans="2:13" ht="15.75" thickTop="1" x14ac:dyDescent="0.15"/>
  </sheetData>
  <mergeCells count="24">
    <mergeCell ref="A2:L2"/>
    <mergeCell ref="A1:N1"/>
    <mergeCell ref="A39:N39"/>
    <mergeCell ref="C241:M241"/>
    <mergeCell ref="C120:D120"/>
    <mergeCell ref="C223:M223"/>
    <mergeCell ref="C134:M134"/>
    <mergeCell ref="B137:M137"/>
    <mergeCell ref="C142:M142"/>
    <mergeCell ref="C159:M159"/>
    <mergeCell ref="B169:M169"/>
    <mergeCell ref="B201:M201"/>
    <mergeCell ref="B203:M203"/>
    <mergeCell ref="C81:D81"/>
    <mergeCell ref="C82:D82"/>
    <mergeCell ref="C83:D83"/>
    <mergeCell ref="B105:M105"/>
    <mergeCell ref="C121:D121"/>
    <mergeCell ref="C119:D119"/>
    <mergeCell ref="C96:M96"/>
    <mergeCell ref="C84:D84"/>
    <mergeCell ref="B99:M99"/>
    <mergeCell ref="B101:M101"/>
    <mergeCell ref="C102:M102"/>
  </mergeCells>
  <printOptions horizontalCentered="1"/>
  <pageMargins left="0.15748031496062992" right="0.15748031496062992" top="0.43307086614173229" bottom="0.59055118110236227" header="0.27559055118110237" footer="0.31496062992125984"/>
  <pageSetup paperSize="9" scale="1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COP</vt:lpstr>
      <vt:lpstr>TL Cal</vt:lpstr>
      <vt:lpstr>PROPOSED LAND DETAILS</vt:lpstr>
      <vt:lpstr>PROPOSED CONSTRUCTION DETAILS</vt:lpstr>
      <vt:lpstr>PROPOSED FURNITURE</vt:lpstr>
      <vt:lpstr>PROPOSED P&amp;M</vt:lpstr>
      <vt:lpstr>PROJECT IMPLEMENTAION SCHEDULE</vt:lpstr>
      <vt:lpstr>MANPOWER PLANNING</vt:lpstr>
      <vt:lpstr>PROJECTED PL &amp; BS</vt:lpstr>
      <vt:lpstr>Depreciation</vt:lpstr>
      <vt:lpstr>Repayment Schedule</vt:lpstr>
      <vt:lpstr>DSCR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Chirag</cp:lastModifiedBy>
  <cp:lastPrinted>2024-08-06T08:46:57Z</cp:lastPrinted>
  <dcterms:created xsi:type="dcterms:W3CDTF">2020-08-15T07:49:50Z</dcterms:created>
  <dcterms:modified xsi:type="dcterms:W3CDTF">2024-08-07T05:54:21Z</dcterms:modified>
</cp:coreProperties>
</file>