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Vayu suits\"/>
    </mc:Choice>
  </mc:AlternateContent>
  <bookViews>
    <workbookView xWindow="-105" yWindow="-105" windowWidth="23250" windowHeight="12450" activeTab="4"/>
  </bookViews>
  <sheets>
    <sheet name="Cost" sheetId="9" r:id="rId1"/>
    <sheet name="Cost Break Up" sheetId="18" r:id="rId2"/>
    <sheet name="Estimation" sheetId="1" r:id="rId3"/>
    <sheet name="Profitability" sheetId="4" r:id="rId4"/>
    <sheet name="Balance Sheet" sheetId="2" r:id="rId5"/>
    <sheet name="Cash Flow" sheetId="5" r:id="rId6"/>
    <sheet name="Depreciation" sheetId="6" r:id="rId7"/>
    <sheet name="Debt Schedule" sheetId="22" state="hidden" r:id="rId8"/>
    <sheet name="Debt Schedule " sheetId="25" r:id="rId9"/>
    <sheet name="Ratio Analysis" sheetId="21" r:id="rId10"/>
    <sheet name="IRR" sheetId="19" r:id="rId11"/>
    <sheet name="BEP, Sensitivity " sheetId="24" r:id="rId12"/>
    <sheet name="working " sheetId="26" r:id="rId13"/>
    <sheet name="Sheet2" sheetId="20" state="hidden" r:id="rId14"/>
  </sheets>
  <externalReferences>
    <externalReference r:id="rId15"/>
    <externalReference r:id="rId16"/>
  </externalReferences>
  <definedNames>
    <definedName name="_xlnm.Print_Area" localSheetId="4">'Balance Sheet'!$A$1:$S$33</definedName>
    <definedName name="_xlnm.Print_Area" localSheetId="11">'BEP, Sensitivity '!$A$1:$Y$118</definedName>
    <definedName name="_xlnm.Print_Area" localSheetId="5">'Cash Flow'!$A$1:$S$40</definedName>
    <definedName name="_xlnm.Print_Area" localSheetId="0">Cost!$A$1:$D$45</definedName>
    <definedName name="_xlnm.Print_Area" localSheetId="1">'Cost Break Up'!$A$1:$E$79</definedName>
    <definedName name="_xlnm.Print_Area" localSheetId="6">Depreciation!$A$1:$V$50</definedName>
    <definedName name="_xlnm.Print_Area" localSheetId="2">Estimation!$A$1:$G$92</definedName>
    <definedName name="_xlnm.Print_Area" localSheetId="10">IRR!$A$1:$W$42</definedName>
    <definedName name="_xlnm.Print_Area" localSheetId="3">Profitability!$A$1:$T$57</definedName>
    <definedName name="_xlnm.Print_Area" localSheetId="9">'Ratio Analysis'!$A$1:$AB$119</definedName>
    <definedName name="_xlnm.Print_Area" localSheetId="12">'working '!$A$1:$AE$41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5" i="21" l="1"/>
  <c r="N135" i="21"/>
  <c r="M135" i="21"/>
  <c r="L135" i="21"/>
  <c r="K135" i="21"/>
  <c r="J135" i="21"/>
  <c r="I135" i="21"/>
  <c r="H135" i="21"/>
  <c r="G135" i="21"/>
  <c r="F135" i="21"/>
  <c r="E135" i="21"/>
  <c r="P135" i="21"/>
  <c r="Q135" i="21"/>
  <c r="D32" i="2" l="1"/>
  <c r="C239" i="25"/>
  <c r="F134" i="21"/>
  <c r="G134" i="21"/>
  <c r="H134" i="21"/>
  <c r="I134" i="21"/>
  <c r="J134" i="21"/>
  <c r="K134" i="21"/>
  <c r="L134" i="21"/>
  <c r="M134" i="21"/>
  <c r="N134" i="21"/>
  <c r="O134" i="21"/>
  <c r="P134" i="21"/>
  <c r="Q134" i="21"/>
  <c r="E134" i="21"/>
  <c r="G16" i="2"/>
  <c r="L15" i="2"/>
  <c r="F140" i="21"/>
  <c r="G140" i="21"/>
  <c r="H140" i="21"/>
  <c r="I140" i="21"/>
  <c r="J140" i="21"/>
  <c r="L140" i="21"/>
  <c r="M140" i="21"/>
  <c r="N140" i="21"/>
  <c r="O140" i="21"/>
  <c r="P140" i="21"/>
  <c r="Q140" i="21"/>
  <c r="E140" i="21"/>
  <c r="F139" i="21"/>
  <c r="F141" i="21" s="1"/>
  <c r="G139" i="21"/>
  <c r="G141" i="21" s="1"/>
  <c r="H139" i="21"/>
  <c r="H141" i="21" s="1"/>
  <c r="I139" i="21"/>
  <c r="I141" i="21" s="1"/>
  <c r="J139" i="21"/>
  <c r="J141" i="21" s="1"/>
  <c r="E139" i="21"/>
  <c r="F29" i="2"/>
  <c r="F133" i="21"/>
  <c r="G133" i="21"/>
  <c r="H133" i="21"/>
  <c r="I133" i="21"/>
  <c r="J133" i="21"/>
  <c r="L133" i="21"/>
  <c r="M133" i="21"/>
  <c r="N133" i="21"/>
  <c r="O133" i="21"/>
  <c r="P133" i="21"/>
  <c r="Q133" i="21"/>
  <c r="F132" i="21"/>
  <c r="G132" i="21"/>
  <c r="H132" i="21"/>
  <c r="I132" i="21"/>
  <c r="J132" i="21"/>
  <c r="E133" i="21"/>
  <c r="E132" i="21"/>
  <c r="F125" i="21"/>
  <c r="G125" i="21"/>
  <c r="H125" i="21"/>
  <c r="I125" i="21"/>
  <c r="J125" i="21"/>
  <c r="K125" i="21"/>
  <c r="L125" i="21"/>
  <c r="M125" i="21"/>
  <c r="N125" i="21"/>
  <c r="O125" i="21"/>
  <c r="P125" i="21"/>
  <c r="Q125" i="21"/>
  <c r="E125" i="21"/>
  <c r="F123" i="21"/>
  <c r="G123" i="21"/>
  <c r="H123" i="21"/>
  <c r="I123" i="21"/>
  <c r="J123" i="21"/>
  <c r="L123" i="21"/>
  <c r="M123" i="21"/>
  <c r="N123" i="21"/>
  <c r="O123" i="21"/>
  <c r="P123" i="21"/>
  <c r="Q123" i="21"/>
  <c r="E123" i="21"/>
  <c r="F122" i="21"/>
  <c r="F124" i="21" s="1"/>
  <c r="G122" i="21"/>
  <c r="G124" i="21" s="1"/>
  <c r="H122" i="21"/>
  <c r="H124" i="21" s="1"/>
  <c r="H126" i="21" s="1"/>
  <c r="I122" i="21"/>
  <c r="I124" i="21" s="1"/>
  <c r="J122" i="21"/>
  <c r="J124" i="21" s="1"/>
  <c r="E122" i="21"/>
  <c r="E124" i="21" s="1"/>
  <c r="E126" i="21" s="1"/>
  <c r="I126" i="21" l="1"/>
  <c r="G126" i="21"/>
  <c r="J126" i="21"/>
  <c r="F126" i="21"/>
  <c r="E141" i="21"/>
  <c r="G45" i="4"/>
  <c r="K112" i="24"/>
  <c r="J112" i="24"/>
  <c r="G39" i="24"/>
  <c r="F39" i="24"/>
  <c r="K17" i="2"/>
  <c r="J17" i="2"/>
  <c r="I17" i="2"/>
  <c r="H17" i="2"/>
  <c r="G17" i="2"/>
  <c r="F17" i="2"/>
  <c r="E17" i="2"/>
  <c r="D17" i="2"/>
  <c r="C17" i="2"/>
  <c r="B17" i="2"/>
  <c r="Q238" i="25"/>
  <c r="R19" i="5"/>
  <c r="P238" i="25"/>
  <c r="P239" i="25" s="1"/>
  <c r="O240" i="25"/>
  <c r="E224" i="25"/>
  <c r="P240" i="25"/>
  <c r="E233" i="25"/>
  <c r="B84" i="1"/>
  <c r="B89" i="1" s="1"/>
  <c r="H20" i="26" s="1"/>
  <c r="D100" i="24"/>
  <c r="E100" i="24"/>
  <c r="F100" i="24"/>
  <c r="G100" i="24"/>
  <c r="H100" i="24"/>
  <c r="I100" i="24"/>
  <c r="J100" i="24"/>
  <c r="K100" i="24"/>
  <c r="L100" i="24"/>
  <c r="M100" i="24"/>
  <c r="N100" i="24"/>
  <c r="O100" i="24"/>
  <c r="P100" i="24"/>
  <c r="H13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D11" i="1" l="1"/>
  <c r="D12" i="1" s="1"/>
  <c r="D20" i="1" s="1"/>
  <c r="B30" i="26"/>
  <c r="D40" i="26"/>
  <c r="I36" i="26"/>
  <c r="J36" i="26" s="1"/>
  <c r="K36" i="26" s="1"/>
  <c r="L36" i="26" s="1"/>
  <c r="M36" i="26" s="1"/>
  <c r="N36" i="26" s="1"/>
  <c r="O36" i="26" s="1"/>
  <c r="P36" i="26" s="1"/>
  <c r="Q36" i="26" s="1"/>
  <c r="R36" i="26" s="1"/>
  <c r="S36" i="26" s="1"/>
  <c r="T36" i="26" s="1"/>
  <c r="H35" i="26"/>
  <c r="I35" i="26" s="1"/>
  <c r="J35" i="26" s="1"/>
  <c r="K35" i="26" s="1"/>
  <c r="L35" i="26" s="1"/>
  <c r="M35" i="26" s="1"/>
  <c r="N35" i="26" s="1"/>
  <c r="O35" i="26" s="1"/>
  <c r="P35" i="26" s="1"/>
  <c r="Q35" i="26" s="1"/>
  <c r="R35" i="26" s="1"/>
  <c r="S35" i="26" s="1"/>
  <c r="T35" i="26" s="1"/>
  <c r="C27" i="26"/>
  <c r="H14" i="26"/>
  <c r="I14" i="26" s="1"/>
  <c r="J14" i="26" s="1"/>
  <c r="K14" i="26" s="1"/>
  <c r="L14" i="26" s="1"/>
  <c r="M14" i="26" s="1"/>
  <c r="N14" i="26" s="1"/>
  <c r="O14" i="26" s="1"/>
  <c r="P14" i="26" s="1"/>
  <c r="Q14" i="26" s="1"/>
  <c r="R14" i="26" s="1"/>
  <c r="S14" i="26" s="1"/>
  <c r="T14" i="26" s="1"/>
  <c r="I13" i="26"/>
  <c r="J13" i="26" s="1"/>
  <c r="K13" i="26" s="1"/>
  <c r="L13" i="26" s="1"/>
  <c r="M13" i="26" s="1"/>
  <c r="N13" i="26" s="1"/>
  <c r="O13" i="26" s="1"/>
  <c r="P13" i="26" s="1"/>
  <c r="Q13" i="26" s="1"/>
  <c r="R13" i="26" s="1"/>
  <c r="S13" i="26" s="1"/>
  <c r="T13" i="26" s="1"/>
  <c r="I12" i="26"/>
  <c r="J12" i="26" s="1"/>
  <c r="K12" i="26" s="1"/>
  <c r="L12" i="26" s="1"/>
  <c r="M12" i="26" s="1"/>
  <c r="N12" i="26" s="1"/>
  <c r="O12" i="26" s="1"/>
  <c r="P12" i="26" s="1"/>
  <c r="Q12" i="26" s="1"/>
  <c r="R12" i="26" s="1"/>
  <c r="S12" i="26" s="1"/>
  <c r="T12" i="26" s="1"/>
  <c r="H12" i="26"/>
  <c r="H11" i="26"/>
  <c r="I11" i="26" s="1"/>
  <c r="J11" i="26" s="1"/>
  <c r="K11" i="26" s="1"/>
  <c r="L11" i="26" s="1"/>
  <c r="M11" i="26" s="1"/>
  <c r="N11" i="26" s="1"/>
  <c r="O11" i="26" s="1"/>
  <c r="P11" i="26" s="1"/>
  <c r="Q11" i="26" s="1"/>
  <c r="R11" i="26" s="1"/>
  <c r="S11" i="26" s="1"/>
  <c r="T11" i="26" s="1"/>
  <c r="H6" i="26"/>
  <c r="P3" i="26"/>
  <c r="F19" i="6"/>
  <c r="D21" i="1" l="1"/>
  <c r="D22" i="1"/>
  <c r="H16" i="26"/>
  <c r="H7" i="26"/>
  <c r="H18" i="26" s="1"/>
  <c r="I6" i="26"/>
  <c r="C6" i="26" l="1"/>
  <c r="H8" i="26"/>
  <c r="H17" i="26" s="1"/>
  <c r="I16" i="26"/>
  <c r="I7" i="26"/>
  <c r="J6" i="26"/>
  <c r="H25" i="26"/>
  <c r="H24" i="26"/>
  <c r="H19" i="26"/>
  <c r="H26" i="26" l="1"/>
  <c r="I18" i="26"/>
  <c r="I8" i="26"/>
  <c r="I17" i="26" s="1"/>
  <c r="I26" i="26" s="1"/>
  <c r="H28" i="26"/>
  <c r="I19" i="26"/>
  <c r="I24" i="26"/>
  <c r="I25" i="26"/>
  <c r="J7" i="26"/>
  <c r="K6" i="26"/>
  <c r="J16" i="26"/>
  <c r="K16" i="26" l="1"/>
  <c r="K7" i="26"/>
  <c r="L6" i="26"/>
  <c r="J19" i="26"/>
  <c r="I28" i="26"/>
  <c r="J18" i="26"/>
  <c r="J8" i="26"/>
  <c r="J17" i="26" s="1"/>
  <c r="J25" i="26"/>
  <c r="J24" i="26"/>
  <c r="J26" i="26" l="1"/>
  <c r="K24" i="26"/>
  <c r="K25" i="26"/>
  <c r="J28" i="26"/>
  <c r="K19" i="26"/>
  <c r="L16" i="26"/>
  <c r="L7" i="26"/>
  <c r="M6" i="26"/>
  <c r="K18" i="26"/>
  <c r="K8" i="26"/>
  <c r="K17" i="26" s="1"/>
  <c r="K26" i="26" s="1"/>
  <c r="M16" i="26" l="1"/>
  <c r="M7" i="26"/>
  <c r="N6" i="26"/>
  <c r="L19" i="26"/>
  <c r="K28" i="26"/>
  <c r="L25" i="26"/>
  <c r="L24" i="26"/>
  <c r="L18" i="26"/>
  <c r="L8" i="26"/>
  <c r="L17" i="26" s="1"/>
  <c r="L26" i="26" s="1"/>
  <c r="M18" i="26" l="1"/>
  <c r="M8" i="26"/>
  <c r="M17" i="26" s="1"/>
  <c r="M26" i="26" s="1"/>
  <c r="M24" i="26"/>
  <c r="M25" i="26"/>
  <c r="L28" i="26"/>
  <c r="M19" i="26"/>
  <c r="N7" i="26"/>
  <c r="O6" i="26"/>
  <c r="N16" i="26"/>
  <c r="N18" i="26" l="1"/>
  <c r="N8" i="26"/>
  <c r="N17" i="26" s="1"/>
  <c r="N26" i="26" s="1"/>
  <c r="N19" i="26"/>
  <c r="M28" i="26"/>
  <c r="N25" i="26"/>
  <c r="N24" i="26"/>
  <c r="O16" i="26"/>
  <c r="O7" i="26"/>
  <c r="P6" i="26"/>
  <c r="O24" i="26" l="1"/>
  <c r="O25" i="26"/>
  <c r="N28" i="26"/>
  <c r="O19" i="26"/>
  <c r="P16" i="26"/>
  <c r="P7" i="26"/>
  <c r="Q6" i="26"/>
  <c r="O18" i="26"/>
  <c r="O8" i="26"/>
  <c r="O17" i="26" s="1"/>
  <c r="O26" i="26" s="1"/>
  <c r="Q16" i="26" l="1"/>
  <c r="Q7" i="26"/>
  <c r="R6" i="26"/>
  <c r="P19" i="26"/>
  <c r="O28" i="26"/>
  <c r="P8" i="26"/>
  <c r="P17" i="26" s="1"/>
  <c r="P26" i="26" s="1"/>
  <c r="P18" i="26"/>
  <c r="P25" i="26"/>
  <c r="P24" i="26"/>
  <c r="P28" i="26" l="1"/>
  <c r="Q19" i="26"/>
  <c r="R7" i="26"/>
  <c r="S6" i="26"/>
  <c r="R16" i="26"/>
  <c r="Q18" i="26"/>
  <c r="Q8" i="26"/>
  <c r="Q17" i="26" s="1"/>
  <c r="Q26" i="26" s="1"/>
  <c r="Q24" i="26"/>
  <c r="Q25" i="26"/>
  <c r="R25" i="26" l="1"/>
  <c r="R24" i="26"/>
  <c r="S16" i="26"/>
  <c r="T6" i="26"/>
  <c r="S7" i="26"/>
  <c r="R8" i="26"/>
  <c r="R17" i="26" s="1"/>
  <c r="R26" i="26" s="1"/>
  <c r="R18" i="26"/>
  <c r="R19" i="26"/>
  <c r="Q28" i="26"/>
  <c r="T16" i="26" l="1"/>
  <c r="U16" i="26" s="1"/>
  <c r="T7" i="26"/>
  <c r="S18" i="26"/>
  <c r="S8" i="26"/>
  <c r="S17" i="26" s="1"/>
  <c r="S26" i="26" s="1"/>
  <c r="R28" i="26"/>
  <c r="S19" i="26"/>
  <c r="S24" i="26"/>
  <c r="S25" i="26"/>
  <c r="T18" i="26" l="1"/>
  <c r="U18" i="26" s="1"/>
  <c r="T8" i="26"/>
  <c r="T17" i="26" s="1"/>
  <c r="T19" i="26"/>
  <c r="S28" i="26"/>
  <c r="T25" i="26"/>
  <c r="T24" i="26"/>
  <c r="T28" i="26" l="1"/>
  <c r="U19" i="26"/>
  <c r="T26" i="26"/>
  <c r="U17" i="26"/>
  <c r="C35" i="9"/>
  <c r="C34" i="9"/>
  <c r="J31" i="9"/>
  <c r="K51" i="9"/>
  <c r="C33" i="9"/>
  <c r="L211" i="25"/>
  <c r="L113" i="25"/>
  <c r="L71" i="25"/>
  <c r="I14" i="25"/>
  <c r="M18" i="25"/>
  <c r="N18" i="25" s="1"/>
  <c r="F18" i="25" s="1"/>
  <c r="K18" i="25"/>
  <c r="F6" i="25"/>
  <c r="K6" i="25"/>
  <c r="L226" i="25"/>
  <c r="L197" i="25"/>
  <c r="L183" i="25"/>
  <c r="L169" i="25"/>
  <c r="L127" i="25"/>
  <c r="L99" i="25"/>
  <c r="K9" i="25"/>
  <c r="K74" i="25"/>
  <c r="I12" i="25"/>
  <c r="I6" i="25"/>
  <c r="G17" i="25"/>
  <c r="G16" i="25"/>
  <c r="G15" i="25"/>
  <c r="G14" i="25"/>
  <c r="G13" i="25"/>
  <c r="G12" i="25"/>
  <c r="G11" i="25"/>
  <c r="G10" i="25"/>
  <c r="G9" i="25"/>
  <c r="G8" i="25"/>
  <c r="G7" i="25"/>
  <c r="G6" i="25"/>
  <c r="L61" i="25"/>
  <c r="K64" i="25"/>
  <c r="L64" i="25" s="1"/>
  <c r="G13" i="4"/>
  <c r="E60" i="18"/>
  <c r="C29" i="9"/>
  <c r="G18" i="25" l="1"/>
  <c r="F19" i="25"/>
  <c r="G19" i="25" s="1"/>
  <c r="C36" i="9"/>
  <c r="G33" i="1" l="1"/>
  <c r="B28" i="4"/>
  <c r="G36" i="4"/>
  <c r="G29" i="1" l="1"/>
  <c r="P82" i="24"/>
  <c r="O82" i="24"/>
  <c r="N82" i="24"/>
  <c r="M82" i="24"/>
  <c r="L82" i="24"/>
  <c r="P32" i="24" l="1"/>
  <c r="O32" i="24"/>
  <c r="N32" i="24"/>
  <c r="M32" i="24"/>
  <c r="L32" i="24"/>
  <c r="C38" i="24"/>
  <c r="P5" i="24"/>
  <c r="O5" i="24"/>
  <c r="N5" i="24"/>
  <c r="M5" i="24"/>
  <c r="L5" i="24"/>
  <c r="K5" i="24"/>
  <c r="J5" i="24"/>
  <c r="I5" i="24"/>
  <c r="H5" i="24"/>
  <c r="G5" i="24"/>
  <c r="F5" i="24"/>
  <c r="E5" i="24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B1" i="21"/>
  <c r="A1" i="2"/>
  <c r="Q94" i="21"/>
  <c r="P94" i="21"/>
  <c r="O94" i="21"/>
  <c r="N94" i="21"/>
  <c r="M94" i="21"/>
  <c r="F19" i="2" l="1"/>
  <c r="G19" i="2" l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D33" i="9" l="1"/>
  <c r="C39" i="9"/>
  <c r="B30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38" i="25" l="1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1" i="5"/>
  <c r="D11" i="5"/>
  <c r="C11" i="5"/>
  <c r="B11" i="5"/>
  <c r="B9" i="5"/>
  <c r="R7" i="5"/>
  <c r="Q7" i="5"/>
  <c r="P7" i="5"/>
  <c r="O7" i="5"/>
  <c r="N7" i="5"/>
  <c r="M7" i="5"/>
  <c r="L7" i="5"/>
  <c r="K7" i="5"/>
  <c r="J7" i="5"/>
  <c r="I7" i="5"/>
  <c r="H7" i="5"/>
  <c r="G7" i="5"/>
  <c r="F7" i="5"/>
  <c r="D93" i="24" l="1"/>
  <c r="D116" i="24"/>
  <c r="P116" i="24"/>
  <c r="P93" i="24"/>
  <c r="O116" i="24"/>
  <c r="O93" i="24"/>
  <c r="P42" i="24"/>
  <c r="P68" i="24" s="1"/>
  <c r="Q96" i="21"/>
  <c r="R31" i="5"/>
  <c r="Q19" i="5"/>
  <c r="Q31" i="5" s="1"/>
  <c r="O42" i="24"/>
  <c r="O68" i="24" s="1"/>
  <c r="P96" i="21"/>
  <c r="E96" i="21"/>
  <c r="D42" i="24"/>
  <c r="F19" i="5"/>
  <c r="E21" i="2" l="1"/>
  <c r="D21" i="2"/>
  <c r="D14" i="2"/>
  <c r="C14" i="2"/>
  <c r="E8" i="2"/>
  <c r="E7" i="5" s="1"/>
  <c r="D8" i="2"/>
  <c r="D7" i="5" s="1"/>
  <c r="E9" i="2"/>
  <c r="D9" i="2"/>
  <c r="C9" i="2"/>
  <c r="B9" i="2"/>
  <c r="B8" i="5" s="1"/>
  <c r="C8" i="2"/>
  <c r="B8" i="2"/>
  <c r="D16" i="1"/>
  <c r="C42" i="4"/>
  <c r="F45" i="6"/>
  <c r="E45" i="6"/>
  <c r="D45" i="6"/>
  <c r="C45" i="6"/>
  <c r="S43" i="6"/>
  <c r="P22" i="19" s="1"/>
  <c r="R43" i="6"/>
  <c r="O22" i="19" s="1"/>
  <c r="Q43" i="6"/>
  <c r="N22" i="19" s="1"/>
  <c r="P43" i="6"/>
  <c r="M22" i="19" s="1"/>
  <c r="O43" i="6"/>
  <c r="L22" i="19" s="1"/>
  <c r="N43" i="6"/>
  <c r="K22" i="19" s="1"/>
  <c r="M43" i="6"/>
  <c r="J22" i="19" s="1"/>
  <c r="L43" i="6"/>
  <c r="I22" i="19" s="1"/>
  <c r="K43" i="6"/>
  <c r="H22" i="19" s="1"/>
  <c r="J43" i="6"/>
  <c r="G22" i="19" s="1"/>
  <c r="I43" i="6"/>
  <c r="F22" i="19" s="1"/>
  <c r="H43" i="6"/>
  <c r="E22" i="19" s="1"/>
  <c r="G43" i="6"/>
  <c r="D22" i="19" s="1"/>
  <c r="F43" i="6"/>
  <c r="E43" i="6"/>
  <c r="D43" i="6"/>
  <c r="C43" i="6"/>
  <c r="C42" i="6"/>
  <c r="F38" i="6"/>
  <c r="E38" i="6"/>
  <c r="D38" i="6"/>
  <c r="C38" i="6"/>
  <c r="C34" i="6"/>
  <c r="C36" i="6" s="1"/>
  <c r="D32" i="6" s="1"/>
  <c r="D34" i="6" s="1"/>
  <c r="D36" i="6" s="1"/>
  <c r="E32" i="6" s="1"/>
  <c r="E34" i="6" s="1"/>
  <c r="E36" i="6" s="1"/>
  <c r="F32" i="6" s="1"/>
  <c r="F34" i="6" s="1"/>
  <c r="F36" i="6" s="1"/>
  <c r="G32" i="6" s="1"/>
  <c r="G34" i="6" s="1"/>
  <c r="C27" i="6"/>
  <c r="C29" i="6" s="1"/>
  <c r="D25" i="6" s="1"/>
  <c r="D27" i="6" s="1"/>
  <c r="D29" i="6" s="1"/>
  <c r="E25" i="6" s="1"/>
  <c r="E27" i="6" s="1"/>
  <c r="E29" i="6" s="1"/>
  <c r="F25" i="6" s="1"/>
  <c r="F27" i="6" s="1"/>
  <c r="F29" i="6" s="1"/>
  <c r="G25" i="6" s="1"/>
  <c r="G27" i="6" s="1"/>
  <c r="C20" i="6"/>
  <c r="C22" i="6" s="1"/>
  <c r="D18" i="6" s="1"/>
  <c r="D20" i="6" s="1"/>
  <c r="D22" i="6" s="1"/>
  <c r="E18" i="6" s="1"/>
  <c r="E20" i="6" s="1"/>
  <c r="E22" i="6" s="1"/>
  <c r="F18" i="6" s="1"/>
  <c r="F20" i="6" s="1"/>
  <c r="F22" i="6" s="1"/>
  <c r="G18" i="6" s="1"/>
  <c r="G20" i="6" s="1"/>
  <c r="C13" i="6"/>
  <c r="Q240" i="25"/>
  <c r="O238" i="25"/>
  <c r="N238" i="25"/>
  <c r="M238" i="25"/>
  <c r="L238" i="25"/>
  <c r="K238" i="25"/>
  <c r="J238" i="25"/>
  <c r="I238" i="25"/>
  <c r="H238" i="25"/>
  <c r="G238" i="25"/>
  <c r="F238" i="25"/>
  <c r="D240" i="25"/>
  <c r="D238" i="25"/>
  <c r="C240" i="25" s="1"/>
  <c r="C238" i="25"/>
  <c r="B240" i="25" s="1"/>
  <c r="B238" i="25"/>
  <c r="D237" i="25"/>
  <c r="E9" i="5" s="1"/>
  <c r="C237" i="25"/>
  <c r="D9" i="5" s="1"/>
  <c r="B237" i="25"/>
  <c r="C9" i="5" s="1"/>
  <c r="D23" i="25"/>
  <c r="F23" i="25" s="1"/>
  <c r="B24" i="25" s="1"/>
  <c r="D24" i="25" s="1"/>
  <c r="F24" i="25" s="1"/>
  <c r="A4" i="25"/>
  <c r="A3" i="25"/>
  <c r="A2" i="25"/>
  <c r="A1" i="25"/>
  <c r="H37" i="4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H36" i="4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N116" i="24" l="1"/>
  <c r="N93" i="24"/>
  <c r="E93" i="24"/>
  <c r="E116" i="24"/>
  <c r="G116" i="24"/>
  <c r="G93" i="24"/>
  <c r="H116" i="24"/>
  <c r="H93" i="24"/>
  <c r="I93" i="24"/>
  <c r="I116" i="24"/>
  <c r="F116" i="24"/>
  <c r="F93" i="24"/>
  <c r="J116" i="24"/>
  <c r="J93" i="24"/>
  <c r="K93" i="24"/>
  <c r="K116" i="24"/>
  <c r="L116" i="24"/>
  <c r="L93" i="24"/>
  <c r="M116" i="24"/>
  <c r="M93" i="24"/>
  <c r="C15" i="6"/>
  <c r="D11" i="6" s="1"/>
  <c r="D13" i="6" s="1"/>
  <c r="D44" i="6" s="1"/>
  <c r="C44" i="6"/>
  <c r="C47" i="6" s="1"/>
  <c r="I240" i="25"/>
  <c r="J96" i="21"/>
  <c r="I42" i="24"/>
  <c r="K19" i="5"/>
  <c r="M240" i="25"/>
  <c r="M42" i="24"/>
  <c r="M68" i="24" s="1"/>
  <c r="N96" i="21"/>
  <c r="O19" i="5"/>
  <c r="O31" i="5" s="1"/>
  <c r="F240" i="25"/>
  <c r="G96" i="21"/>
  <c r="F42" i="24"/>
  <c r="H19" i="5"/>
  <c r="J240" i="25"/>
  <c r="J42" i="24"/>
  <c r="K96" i="21"/>
  <c r="L19" i="5"/>
  <c r="L31" i="5" s="1"/>
  <c r="N240" i="25"/>
  <c r="N42" i="24"/>
  <c r="N68" i="24" s="1"/>
  <c r="O96" i="21"/>
  <c r="P19" i="5"/>
  <c r="P31" i="5" s="1"/>
  <c r="G240" i="25"/>
  <c r="H96" i="21"/>
  <c r="G42" i="24"/>
  <c r="I19" i="5"/>
  <c r="K240" i="25"/>
  <c r="L96" i="21"/>
  <c r="K42" i="24"/>
  <c r="M19" i="5"/>
  <c r="M31" i="5" s="1"/>
  <c r="H240" i="25"/>
  <c r="H42" i="24"/>
  <c r="I96" i="21"/>
  <c r="J19" i="5"/>
  <c r="L240" i="25"/>
  <c r="L42" i="24"/>
  <c r="L68" i="24" s="1"/>
  <c r="M96" i="21"/>
  <c r="N19" i="5"/>
  <c r="N31" i="5" s="1"/>
  <c r="E240" i="25"/>
  <c r="E42" i="24"/>
  <c r="F96" i="21"/>
  <c r="G19" i="5"/>
  <c r="E8" i="5"/>
  <c r="C8" i="5"/>
  <c r="D8" i="5"/>
  <c r="D62" i="1"/>
  <c r="G62" i="1" s="1"/>
  <c r="H30" i="26" s="1"/>
  <c r="G28" i="6"/>
  <c r="G29" i="6" s="1"/>
  <c r="H25" i="6" s="1"/>
  <c r="H27" i="6" s="1"/>
  <c r="G35" i="6"/>
  <c r="G36" i="6" s="1"/>
  <c r="H32" i="6" s="1"/>
  <c r="H34" i="6" s="1"/>
  <c r="G21" i="6"/>
  <c r="G22" i="6" s="1"/>
  <c r="H18" i="6" s="1"/>
  <c r="H20" i="6" s="1"/>
  <c r="D42" i="6"/>
  <c r="D47" i="6"/>
  <c r="D15" i="6"/>
  <c r="E11" i="6" s="1"/>
  <c r="G23" i="25"/>
  <c r="B239" i="25"/>
  <c r="G24" i="25"/>
  <c r="B25" i="25"/>
  <c r="D25" i="25" s="1"/>
  <c r="F25" i="25" s="1"/>
  <c r="B16" i="5" l="1"/>
  <c r="B18" i="2"/>
  <c r="I30" i="26"/>
  <c r="C16" i="5"/>
  <c r="Q42" i="24"/>
  <c r="B241" i="25"/>
  <c r="C13" i="2"/>
  <c r="C34" i="2" s="1"/>
  <c r="C18" i="2"/>
  <c r="H35" i="6"/>
  <c r="H36" i="6" s="1"/>
  <c r="I32" i="6" s="1"/>
  <c r="I34" i="6" s="1"/>
  <c r="H28" i="6"/>
  <c r="H29" i="6" s="1"/>
  <c r="I25" i="6" s="1"/>
  <c r="I27" i="6" s="1"/>
  <c r="H21" i="6"/>
  <c r="H22" i="6" s="1"/>
  <c r="I18" i="6" s="1"/>
  <c r="I20" i="6" s="1"/>
  <c r="E42" i="6"/>
  <c r="E13" i="6"/>
  <c r="B26" i="25"/>
  <c r="D26" i="25" s="1"/>
  <c r="F26" i="25" s="1"/>
  <c r="G25" i="25"/>
  <c r="J30" i="26" l="1"/>
  <c r="D239" i="25"/>
  <c r="E13" i="2" s="1"/>
  <c r="D13" i="2"/>
  <c r="I35" i="6"/>
  <c r="I36" i="6" s="1"/>
  <c r="J32" i="6" s="1"/>
  <c r="J34" i="6" s="1"/>
  <c r="I28" i="6"/>
  <c r="I29" i="6" s="1"/>
  <c r="J25" i="6" s="1"/>
  <c r="J27" i="6" s="1"/>
  <c r="E44" i="6"/>
  <c r="E47" i="6" s="1"/>
  <c r="E15" i="6"/>
  <c r="F11" i="6" s="1"/>
  <c r="I21" i="6"/>
  <c r="I22" i="6" s="1"/>
  <c r="J18" i="6" s="1"/>
  <c r="J20" i="6" s="1"/>
  <c r="C241" i="25"/>
  <c r="E239" i="25"/>
  <c r="F13" i="2" s="1"/>
  <c r="D241" i="25"/>
  <c r="G26" i="25"/>
  <c r="B27" i="25"/>
  <c r="D27" i="25" s="1"/>
  <c r="F27" i="25" s="1"/>
  <c r="K26" i="25" s="1"/>
  <c r="K30" i="26" l="1"/>
  <c r="D16" i="5"/>
  <c r="D18" i="2"/>
  <c r="J21" i="6"/>
  <c r="J22" i="6" s="1"/>
  <c r="K18" i="6" s="1"/>
  <c r="K20" i="6" s="1"/>
  <c r="J35" i="6"/>
  <c r="J36" i="6" s="1"/>
  <c r="K32" i="6" s="1"/>
  <c r="K34" i="6" s="1"/>
  <c r="J28" i="6"/>
  <c r="J29" i="6" s="1"/>
  <c r="K25" i="6" s="1"/>
  <c r="K27" i="6" s="1"/>
  <c r="F42" i="6"/>
  <c r="F13" i="6"/>
  <c r="B30" i="25"/>
  <c r="D30" i="25" s="1"/>
  <c r="F30" i="25" s="1"/>
  <c r="G27" i="25"/>
  <c r="H27" i="25" s="1"/>
  <c r="B236" i="25" s="1"/>
  <c r="E241" i="25"/>
  <c r="F239" i="25"/>
  <c r="G13" i="2" s="1"/>
  <c r="L30" i="26" l="1"/>
  <c r="B242" i="25"/>
  <c r="K35" i="6"/>
  <c r="K36" i="6" s="1"/>
  <c r="L32" i="6" s="1"/>
  <c r="L34" i="6" s="1"/>
  <c r="K28" i="6"/>
  <c r="K29" i="6" s="1"/>
  <c r="L25" i="6" s="1"/>
  <c r="L27" i="6" s="1"/>
  <c r="K21" i="6"/>
  <c r="K22" i="6" s="1"/>
  <c r="L18" i="6" s="1"/>
  <c r="L20" i="6" s="1"/>
  <c r="F15" i="6"/>
  <c r="G11" i="6" s="1"/>
  <c r="F44" i="6"/>
  <c r="F47" i="6" s="1"/>
  <c r="F241" i="25"/>
  <c r="G239" i="25"/>
  <c r="H13" i="2" s="1"/>
  <c r="G30" i="25"/>
  <c r="B31" i="25"/>
  <c r="D31" i="25" s="1"/>
  <c r="F31" i="25" s="1"/>
  <c r="M30" i="26" l="1"/>
  <c r="E16" i="5"/>
  <c r="E18" i="2"/>
  <c r="L21" i="6"/>
  <c r="L22" i="6" s="1"/>
  <c r="M18" i="6" s="1"/>
  <c r="M20" i="6" s="1"/>
  <c r="L28" i="6"/>
  <c r="L29" i="6" s="1"/>
  <c r="M25" i="6" s="1"/>
  <c r="M27" i="6" s="1"/>
  <c r="L35" i="6"/>
  <c r="L36" i="6" s="1"/>
  <c r="M32" i="6" s="1"/>
  <c r="M34" i="6" s="1"/>
  <c r="G42" i="6"/>
  <c r="G13" i="6"/>
  <c r="G31" i="25"/>
  <c r="B32" i="25"/>
  <c r="D32" i="25" s="1"/>
  <c r="F32" i="25" s="1"/>
  <c r="H239" i="25"/>
  <c r="I13" i="2" s="1"/>
  <c r="G241" i="25"/>
  <c r="N30" i="26" l="1"/>
  <c r="M35" i="6"/>
  <c r="M36" i="6" s="1"/>
  <c r="N32" i="6" s="1"/>
  <c r="N34" i="6" s="1"/>
  <c r="M28" i="6"/>
  <c r="M29" i="6"/>
  <c r="N25" i="6" s="1"/>
  <c r="N27" i="6" s="1"/>
  <c r="M21" i="6"/>
  <c r="M22" i="6" s="1"/>
  <c r="N18" i="6" s="1"/>
  <c r="N20" i="6" s="1"/>
  <c r="G14" i="6"/>
  <c r="G44" i="6"/>
  <c r="I239" i="25"/>
  <c r="J13" i="2" s="1"/>
  <c r="H241" i="25"/>
  <c r="B33" i="25"/>
  <c r="D33" i="25" s="1"/>
  <c r="F33" i="25" s="1"/>
  <c r="G32" i="25"/>
  <c r="O30" i="26" l="1"/>
  <c r="N21" i="6"/>
  <c r="N22" i="6" s="1"/>
  <c r="O18" i="6" s="1"/>
  <c r="O20" i="6" s="1"/>
  <c r="N35" i="6"/>
  <c r="N36" i="6"/>
  <c r="O32" i="6" s="1"/>
  <c r="O34" i="6" s="1"/>
  <c r="N28" i="6"/>
  <c r="N29" i="6" s="1"/>
  <c r="O25" i="6" s="1"/>
  <c r="O27" i="6" s="1"/>
  <c r="G45" i="6"/>
  <c r="G38" i="6"/>
  <c r="G15" i="6"/>
  <c r="H11" i="6" s="1"/>
  <c r="B34" i="25"/>
  <c r="D34" i="25" s="1"/>
  <c r="F34" i="25" s="1"/>
  <c r="G33" i="25"/>
  <c r="I241" i="25"/>
  <c r="J239" i="25"/>
  <c r="K13" i="2" s="1"/>
  <c r="K30" i="2" s="1"/>
  <c r="G35" i="4" l="1"/>
  <c r="E92" i="21" s="1"/>
  <c r="H34" i="26"/>
  <c r="D107" i="24" s="1"/>
  <c r="P30" i="26"/>
  <c r="G47" i="6"/>
  <c r="F18" i="2" s="1"/>
  <c r="G64" i="1"/>
  <c r="O28" i="6"/>
  <c r="O29" i="6" s="1"/>
  <c r="P25" i="6" s="1"/>
  <c r="P27" i="6" s="1"/>
  <c r="O21" i="6"/>
  <c r="O22" i="6" s="1"/>
  <c r="P18" i="6" s="1"/>
  <c r="P20" i="6" s="1"/>
  <c r="H13" i="6"/>
  <c r="H42" i="6"/>
  <c r="O35" i="6"/>
  <c r="O36" i="6" s="1"/>
  <c r="P32" i="6" s="1"/>
  <c r="P34" i="6" s="1"/>
  <c r="G34" i="25"/>
  <c r="B35" i="25"/>
  <c r="D35" i="25" s="1"/>
  <c r="F35" i="25" s="1"/>
  <c r="J241" i="25"/>
  <c r="K239" i="25"/>
  <c r="L13" i="2" s="1"/>
  <c r="F11" i="5" l="1"/>
  <c r="Q30" i="26"/>
  <c r="L30" i="2"/>
  <c r="L34" i="2"/>
  <c r="P21" i="6"/>
  <c r="P22" i="6" s="1"/>
  <c r="Q18" i="6" s="1"/>
  <c r="Q20" i="6" s="1"/>
  <c r="P35" i="6"/>
  <c r="P36" i="6" s="1"/>
  <c r="Q32" i="6" s="1"/>
  <c r="Q34" i="6" s="1"/>
  <c r="H44" i="6"/>
  <c r="H14" i="6"/>
  <c r="P28" i="6"/>
  <c r="P29" i="6" s="1"/>
  <c r="Q25" i="6" s="1"/>
  <c r="Q27" i="6" s="1"/>
  <c r="G35" i="25"/>
  <c r="B36" i="25"/>
  <c r="D36" i="25" s="1"/>
  <c r="F36" i="25" s="1"/>
  <c r="L239" i="25"/>
  <c r="M13" i="2" s="1"/>
  <c r="K241" i="25"/>
  <c r="R30" i="26" l="1"/>
  <c r="M30" i="2"/>
  <c r="M34" i="2"/>
  <c r="Q35" i="6"/>
  <c r="Q36" i="6" s="1"/>
  <c r="R32" i="6" s="1"/>
  <c r="R34" i="6" s="1"/>
  <c r="Q28" i="6"/>
  <c r="Q29" i="6" s="1"/>
  <c r="R25" i="6" s="1"/>
  <c r="R27" i="6" s="1"/>
  <c r="Q21" i="6"/>
  <c r="Q22" i="6" s="1"/>
  <c r="R18" i="6" s="1"/>
  <c r="R20" i="6" s="1"/>
  <c r="H45" i="6"/>
  <c r="H47" i="6" s="1"/>
  <c r="G18" i="2" s="1"/>
  <c r="H38" i="6"/>
  <c r="H15" i="6"/>
  <c r="I11" i="6" s="1"/>
  <c r="M239" i="25"/>
  <c r="N13" i="2" s="1"/>
  <c r="L241" i="25"/>
  <c r="B37" i="25"/>
  <c r="D37" i="25" s="1"/>
  <c r="F37" i="25" s="1"/>
  <c r="G36" i="25"/>
  <c r="H35" i="4" l="1"/>
  <c r="G11" i="5" s="1"/>
  <c r="G27" i="5" s="1"/>
  <c r="I34" i="26"/>
  <c r="E107" i="24" s="1"/>
  <c r="S30" i="26"/>
  <c r="N30" i="2"/>
  <c r="N34" i="2"/>
  <c r="R21" i="6"/>
  <c r="R22" i="6" s="1"/>
  <c r="S18" i="6" s="1"/>
  <c r="S20" i="6" s="1"/>
  <c r="R35" i="6"/>
  <c r="R36" i="6" s="1"/>
  <c r="S32" i="6" s="1"/>
  <c r="S34" i="6" s="1"/>
  <c r="R28" i="6"/>
  <c r="R29" i="6" s="1"/>
  <c r="S25" i="6" s="1"/>
  <c r="S27" i="6" s="1"/>
  <c r="I42" i="6"/>
  <c r="I13" i="6"/>
  <c r="B38" i="25"/>
  <c r="D38" i="25" s="1"/>
  <c r="F38" i="25" s="1"/>
  <c r="G37" i="25"/>
  <c r="M241" i="25"/>
  <c r="N239" i="25"/>
  <c r="O13" i="2" s="1"/>
  <c r="F92" i="21" l="1"/>
  <c r="T30" i="26"/>
  <c r="O30" i="2"/>
  <c r="O34" i="2"/>
  <c r="S28" i="6"/>
  <c r="S29" i="6" s="1"/>
  <c r="S21" i="6"/>
  <c r="S22" i="6" s="1"/>
  <c r="S35" i="6"/>
  <c r="S36" i="6" s="1"/>
  <c r="I44" i="6"/>
  <c r="I14" i="6"/>
  <c r="I15" i="6" s="1"/>
  <c r="J11" i="6" s="1"/>
  <c r="G38" i="25"/>
  <c r="B39" i="25"/>
  <c r="D39" i="25" s="1"/>
  <c r="F39" i="25" s="1"/>
  <c r="O239" i="25"/>
  <c r="P13" i="2" s="1"/>
  <c r="N241" i="25"/>
  <c r="P30" i="2" l="1"/>
  <c r="P34" i="2"/>
  <c r="J42" i="6"/>
  <c r="J13" i="6"/>
  <c r="I45" i="6"/>
  <c r="I47" i="6" s="1"/>
  <c r="H18" i="2" s="1"/>
  <c r="I38" i="6"/>
  <c r="Q13" i="2"/>
  <c r="O241" i="25"/>
  <c r="G39" i="25"/>
  <c r="B40" i="25"/>
  <c r="D40" i="25" s="1"/>
  <c r="F40" i="25" s="1"/>
  <c r="I35" i="4" l="1"/>
  <c r="J34" i="26"/>
  <c r="F107" i="24" s="1"/>
  <c r="Q30" i="2"/>
  <c r="Q34" i="2"/>
  <c r="H11" i="5"/>
  <c r="H27" i="5" s="1"/>
  <c r="G92" i="21"/>
  <c r="J14" i="6"/>
  <c r="J44" i="6"/>
  <c r="B41" i="25"/>
  <c r="D41" i="25" s="1"/>
  <c r="F41" i="25" s="1"/>
  <c r="G40" i="25"/>
  <c r="Q239" i="25"/>
  <c r="P241" i="25"/>
  <c r="Q241" i="25" l="1"/>
  <c r="R13" i="2"/>
  <c r="J45" i="6"/>
  <c r="J47" i="6" s="1"/>
  <c r="I18" i="2" s="1"/>
  <c r="J38" i="6"/>
  <c r="J15" i="6"/>
  <c r="K11" i="6" s="1"/>
  <c r="B44" i="25"/>
  <c r="D44" i="25" s="1"/>
  <c r="F44" i="25" s="1"/>
  <c r="G41" i="25"/>
  <c r="H41" i="25" s="1"/>
  <c r="C236" i="25" s="1"/>
  <c r="C242" i="25" s="1"/>
  <c r="J35" i="4" l="1"/>
  <c r="K34" i="26"/>
  <c r="G107" i="24" s="1"/>
  <c r="R30" i="2"/>
  <c r="R34" i="2"/>
  <c r="I11" i="5"/>
  <c r="I27" i="5" s="1"/>
  <c r="H92" i="21"/>
  <c r="K42" i="6"/>
  <c r="K13" i="6"/>
  <c r="B45" i="25"/>
  <c r="D45" i="25" s="1"/>
  <c r="F45" i="25" s="1"/>
  <c r="G44" i="25"/>
  <c r="K14" i="6" l="1"/>
  <c r="K15" i="6" s="1"/>
  <c r="L11" i="6" s="1"/>
  <c r="K44" i="6"/>
  <c r="B46" i="25"/>
  <c r="D46" i="25" s="1"/>
  <c r="F46" i="25" s="1"/>
  <c r="G45" i="25"/>
  <c r="L13" i="6" l="1"/>
  <c r="L42" i="6"/>
  <c r="K45" i="6"/>
  <c r="K47" i="6" s="1"/>
  <c r="J18" i="2" s="1"/>
  <c r="K38" i="6"/>
  <c r="B47" i="25"/>
  <c r="D47" i="25" s="1"/>
  <c r="F47" i="25" s="1"/>
  <c r="G46" i="25"/>
  <c r="K35" i="4" l="1"/>
  <c r="J11" i="5" s="1"/>
  <c r="J27" i="5" s="1"/>
  <c r="L34" i="26"/>
  <c r="H107" i="24" s="1"/>
  <c r="L44" i="6"/>
  <c r="L14" i="6"/>
  <c r="B48" i="25"/>
  <c r="D48" i="25" s="1"/>
  <c r="F48" i="25" s="1"/>
  <c r="G47" i="25"/>
  <c r="I92" i="21" l="1"/>
  <c r="L45" i="6"/>
  <c r="L47" i="6" s="1"/>
  <c r="K18" i="2" s="1"/>
  <c r="L38" i="6"/>
  <c r="L15" i="6"/>
  <c r="M11" i="6" s="1"/>
  <c r="B49" i="25"/>
  <c r="D49" i="25" s="1"/>
  <c r="F49" i="25" s="1"/>
  <c r="G48" i="25"/>
  <c r="L35" i="4" l="1"/>
  <c r="M34" i="26"/>
  <c r="I107" i="24" s="1"/>
  <c r="K11" i="5"/>
  <c r="K27" i="5" s="1"/>
  <c r="J92" i="21"/>
  <c r="M42" i="6"/>
  <c r="M13" i="6"/>
  <c r="B50" i="25"/>
  <c r="D50" i="25" s="1"/>
  <c r="F50" i="25" s="1"/>
  <c r="G49" i="25"/>
  <c r="M44" i="6" l="1"/>
  <c r="M14" i="6"/>
  <c r="B51" i="25"/>
  <c r="D51" i="25" s="1"/>
  <c r="F51" i="25" s="1"/>
  <c r="G50" i="25"/>
  <c r="M45" i="6" l="1"/>
  <c r="M38" i="6"/>
  <c r="M15" i="6"/>
  <c r="N11" i="6" s="1"/>
  <c r="M47" i="6"/>
  <c r="L18" i="2" s="1"/>
  <c r="B52" i="25"/>
  <c r="D52" i="25" s="1"/>
  <c r="F52" i="25" s="1"/>
  <c r="G51" i="25"/>
  <c r="M35" i="4" l="1"/>
  <c r="N34" i="26"/>
  <c r="J107" i="24" s="1"/>
  <c r="K92" i="21"/>
  <c r="L11" i="5"/>
  <c r="L27" i="5" s="1"/>
  <c r="N42" i="6"/>
  <c r="N13" i="6"/>
  <c r="B53" i="25"/>
  <c r="D53" i="25" s="1"/>
  <c r="F53" i="25" s="1"/>
  <c r="G52" i="25"/>
  <c r="N14" i="6" l="1"/>
  <c r="N44" i="6"/>
  <c r="B54" i="25"/>
  <c r="D54" i="25" s="1"/>
  <c r="F54" i="25" s="1"/>
  <c r="G53" i="25"/>
  <c r="N45" i="6" l="1"/>
  <c r="N47" i="6" s="1"/>
  <c r="M18" i="2" s="1"/>
  <c r="N38" i="6"/>
  <c r="N15" i="6"/>
  <c r="O11" i="6" s="1"/>
  <c r="B55" i="25"/>
  <c r="D55" i="25" s="1"/>
  <c r="F55" i="25" s="1"/>
  <c r="G54" i="25"/>
  <c r="N35" i="4" l="1"/>
  <c r="L92" i="21" s="1"/>
  <c r="O34" i="26"/>
  <c r="K107" i="24" s="1"/>
  <c r="O42" i="6"/>
  <c r="O13" i="6"/>
  <c r="B58" i="25"/>
  <c r="D58" i="25" s="1"/>
  <c r="F58" i="25" s="1"/>
  <c r="G55" i="25"/>
  <c r="H55" i="25" s="1"/>
  <c r="D236" i="25" s="1"/>
  <c r="D242" i="25" s="1"/>
  <c r="M11" i="5" l="1"/>
  <c r="M27" i="5" s="1"/>
  <c r="O14" i="6"/>
  <c r="O44" i="6"/>
  <c r="O15" i="6"/>
  <c r="P11" i="6" s="1"/>
  <c r="G58" i="25"/>
  <c r="B59" i="25"/>
  <c r="D59" i="25" s="1"/>
  <c r="F59" i="25" s="1"/>
  <c r="P13" i="6" l="1"/>
  <c r="P42" i="6"/>
  <c r="O45" i="6"/>
  <c r="O47" i="6" s="1"/>
  <c r="N18" i="2" s="1"/>
  <c r="O38" i="6"/>
  <c r="G59" i="25"/>
  <c r="B60" i="25"/>
  <c r="D60" i="25" s="1"/>
  <c r="F60" i="25" s="1"/>
  <c r="O35" i="4" l="1"/>
  <c r="P34" i="26"/>
  <c r="L107" i="24" s="1"/>
  <c r="L21" i="19"/>
  <c r="N11" i="5"/>
  <c r="N27" i="5" s="1"/>
  <c r="M92" i="21"/>
  <c r="L31" i="24"/>
  <c r="P44" i="6"/>
  <c r="P14" i="6"/>
  <c r="P15" i="6" s="1"/>
  <c r="Q11" i="6" s="1"/>
  <c r="G60" i="25"/>
  <c r="B61" i="25"/>
  <c r="D61" i="25" s="1"/>
  <c r="F61" i="25" s="1"/>
  <c r="Q42" i="6" l="1"/>
  <c r="Q13" i="6"/>
  <c r="P45" i="6"/>
  <c r="P47" i="6" s="1"/>
  <c r="O18" i="2" s="1"/>
  <c r="P38" i="6"/>
  <c r="G61" i="25"/>
  <c r="B62" i="25"/>
  <c r="D62" i="25" s="1"/>
  <c r="F62" i="25" s="1"/>
  <c r="P35" i="4" l="1"/>
  <c r="M31" i="24" s="1"/>
  <c r="Q34" i="26"/>
  <c r="M107" i="24" s="1"/>
  <c r="Q44" i="6"/>
  <c r="Q14" i="6"/>
  <c r="G62" i="25"/>
  <c r="B63" i="25"/>
  <c r="D63" i="25" s="1"/>
  <c r="F63" i="25" s="1"/>
  <c r="N92" i="21" l="1"/>
  <c r="M21" i="19"/>
  <c r="O11" i="5"/>
  <c r="O27" i="5" s="1"/>
  <c r="Q45" i="6"/>
  <c r="Q47" i="6" s="1"/>
  <c r="P18" i="2" s="1"/>
  <c r="Q38" i="6"/>
  <c r="Q15" i="6"/>
  <c r="R11" i="6" s="1"/>
  <c r="G63" i="25"/>
  <c r="B64" i="25"/>
  <c r="D64" i="25" s="1"/>
  <c r="F64" i="25" s="1"/>
  <c r="Q35" i="4" l="1"/>
  <c r="N21" i="19" s="1"/>
  <c r="R34" i="26"/>
  <c r="N107" i="24" s="1"/>
  <c r="R42" i="6"/>
  <c r="R13" i="6"/>
  <c r="G64" i="25"/>
  <c r="B65" i="25"/>
  <c r="D65" i="25" s="1"/>
  <c r="F65" i="25" s="1"/>
  <c r="N31" i="24" l="1"/>
  <c r="O92" i="21"/>
  <c r="P11" i="5"/>
  <c r="P27" i="5" s="1"/>
  <c r="R14" i="6"/>
  <c r="R44" i="6"/>
  <c r="G65" i="25"/>
  <c r="B66" i="25"/>
  <c r="D66" i="25" s="1"/>
  <c r="F66" i="25" s="1"/>
  <c r="R45" i="6" l="1"/>
  <c r="R47" i="6" s="1"/>
  <c r="Q18" i="2" s="1"/>
  <c r="R38" i="6"/>
  <c r="R15" i="6"/>
  <c r="S11" i="6" s="1"/>
  <c r="G66" i="25"/>
  <c r="B67" i="25"/>
  <c r="D67" i="25" s="1"/>
  <c r="F67" i="25" s="1"/>
  <c r="R35" i="4" l="1"/>
  <c r="P92" i="21" s="1"/>
  <c r="S34" i="26"/>
  <c r="O107" i="24" s="1"/>
  <c r="O21" i="19"/>
  <c r="Q11" i="5"/>
  <c r="Q27" i="5" s="1"/>
  <c r="O31" i="24"/>
  <c r="S42" i="6"/>
  <c r="S13" i="6"/>
  <c r="G67" i="25"/>
  <c r="B68" i="25"/>
  <c r="D68" i="25" s="1"/>
  <c r="F68" i="25" s="1"/>
  <c r="S14" i="6" l="1"/>
  <c r="S15" i="6" s="1"/>
  <c r="S44" i="6"/>
  <c r="G68" i="25"/>
  <c r="B69" i="25"/>
  <c r="D69" i="25" s="1"/>
  <c r="F69" i="25" s="1"/>
  <c r="S45" i="6" l="1"/>
  <c r="S47" i="6" s="1"/>
  <c r="R18" i="2" s="1"/>
  <c r="P25" i="19" s="1"/>
  <c r="S38" i="6"/>
  <c r="G69" i="25"/>
  <c r="B72" i="25"/>
  <c r="D72" i="25" s="1"/>
  <c r="F72" i="25" s="1"/>
  <c r="H69" i="25" l="1"/>
  <c r="E236" i="25" s="1"/>
  <c r="S35" i="4"/>
  <c r="T34" i="26"/>
  <c r="P107" i="24" s="1"/>
  <c r="Q92" i="21"/>
  <c r="P31" i="24"/>
  <c r="R11" i="5"/>
  <c r="R27" i="5" s="1"/>
  <c r="P21" i="19"/>
  <c r="B73" i="25"/>
  <c r="D73" i="25" s="1"/>
  <c r="F73" i="25" s="1"/>
  <c r="G72" i="25"/>
  <c r="G63" i="1" l="1"/>
  <c r="H37" i="26"/>
  <c r="D106" i="24" s="1"/>
  <c r="D115" i="24" s="1"/>
  <c r="E242" i="25"/>
  <c r="G39" i="4"/>
  <c r="U34" i="26"/>
  <c r="E93" i="21"/>
  <c r="F29" i="5"/>
  <c r="E97" i="21"/>
  <c r="F32" i="5"/>
  <c r="B74" i="25"/>
  <c r="D74" i="25" s="1"/>
  <c r="F74" i="25" s="1"/>
  <c r="G73" i="25"/>
  <c r="B75" i="25" l="1"/>
  <c r="D75" i="25" s="1"/>
  <c r="F75" i="25" s="1"/>
  <c r="G74" i="25"/>
  <c r="G75" i="25" l="1"/>
  <c r="B76" i="25"/>
  <c r="D76" i="25" s="1"/>
  <c r="F76" i="25" s="1"/>
  <c r="B77" i="25" l="1"/>
  <c r="D77" i="25" s="1"/>
  <c r="F77" i="25" s="1"/>
  <c r="G76" i="25"/>
  <c r="B78" i="25" l="1"/>
  <c r="D78" i="25" s="1"/>
  <c r="F78" i="25" s="1"/>
  <c r="G77" i="25"/>
  <c r="G78" i="25" l="1"/>
  <c r="B79" i="25"/>
  <c r="D79" i="25" s="1"/>
  <c r="F79" i="25" s="1"/>
  <c r="G79" i="25" l="1"/>
  <c r="B80" i="25"/>
  <c r="D80" i="25" s="1"/>
  <c r="F80" i="25" s="1"/>
  <c r="B81" i="25" l="1"/>
  <c r="D81" i="25" s="1"/>
  <c r="F81" i="25" s="1"/>
  <c r="G80" i="25"/>
  <c r="B82" i="25" l="1"/>
  <c r="D82" i="25" s="1"/>
  <c r="F82" i="25" s="1"/>
  <c r="G81" i="25"/>
  <c r="B83" i="25" l="1"/>
  <c r="D83" i="25" s="1"/>
  <c r="F83" i="25" s="1"/>
  <c r="G82" i="25"/>
  <c r="G83" i="25" l="1"/>
  <c r="H83" i="25" s="1"/>
  <c r="F236" i="25" s="1"/>
  <c r="I37" i="26" s="1"/>
  <c r="E106" i="24" s="1"/>
  <c r="E115" i="24" s="1"/>
  <c r="B86" i="25"/>
  <c r="D86" i="25" s="1"/>
  <c r="F86" i="25" s="1"/>
  <c r="F242" i="25" l="1"/>
  <c r="H39" i="4"/>
  <c r="G86" i="25"/>
  <c r="B87" i="25"/>
  <c r="D87" i="25" s="1"/>
  <c r="F87" i="25" s="1"/>
  <c r="F93" i="21" l="1"/>
  <c r="E30" i="24"/>
  <c r="F97" i="21"/>
  <c r="G32" i="5"/>
  <c r="G29" i="5"/>
  <c r="B88" i="25"/>
  <c r="D88" i="25" s="1"/>
  <c r="F88" i="25" s="1"/>
  <c r="G87" i="25"/>
  <c r="B89" i="25" l="1"/>
  <c r="D89" i="25" s="1"/>
  <c r="F89" i="25" s="1"/>
  <c r="G88" i="25"/>
  <c r="G89" i="25" l="1"/>
  <c r="B90" i="25"/>
  <c r="D90" i="25" s="1"/>
  <c r="F90" i="25" s="1"/>
  <c r="G90" i="25" l="1"/>
  <c r="B91" i="25"/>
  <c r="D91" i="25" s="1"/>
  <c r="F91" i="25" s="1"/>
  <c r="B92" i="25" l="1"/>
  <c r="D92" i="25" s="1"/>
  <c r="F92" i="25" s="1"/>
  <c r="G91" i="25"/>
  <c r="B93" i="25" l="1"/>
  <c r="D93" i="25" s="1"/>
  <c r="F93" i="25" s="1"/>
  <c r="G92" i="25"/>
  <c r="G93" i="25" l="1"/>
  <c r="B94" i="25"/>
  <c r="D94" i="25" s="1"/>
  <c r="F94" i="25" s="1"/>
  <c r="G94" i="25" l="1"/>
  <c r="B95" i="25"/>
  <c r="D95" i="25" s="1"/>
  <c r="F95" i="25" s="1"/>
  <c r="B96" i="25" l="1"/>
  <c r="D96" i="25" s="1"/>
  <c r="F96" i="25" s="1"/>
  <c r="G95" i="25"/>
  <c r="B97" i="25" l="1"/>
  <c r="D97" i="25" s="1"/>
  <c r="F97" i="25" s="1"/>
  <c r="G96" i="25"/>
  <c r="B100" i="25" l="1"/>
  <c r="D100" i="25" s="1"/>
  <c r="F100" i="25" s="1"/>
  <c r="G97" i="25"/>
  <c r="H97" i="25" s="1"/>
  <c r="G236" i="25" s="1"/>
  <c r="J37" i="26" s="1"/>
  <c r="F106" i="24" s="1"/>
  <c r="F115" i="24" s="1"/>
  <c r="G242" i="25" l="1"/>
  <c r="I39" i="4"/>
  <c r="B101" i="25"/>
  <c r="D101" i="25" s="1"/>
  <c r="F101" i="25" s="1"/>
  <c r="G100" i="25"/>
  <c r="G93" i="21" l="1"/>
  <c r="F30" i="24"/>
  <c r="H32" i="5"/>
  <c r="H29" i="5"/>
  <c r="G97" i="21"/>
  <c r="B102" i="25"/>
  <c r="D102" i="25" s="1"/>
  <c r="F102" i="25" s="1"/>
  <c r="G101" i="25"/>
  <c r="B103" i="25" l="1"/>
  <c r="D103" i="25" s="1"/>
  <c r="F103" i="25" s="1"/>
  <c r="G102" i="25"/>
  <c r="B104" i="25" l="1"/>
  <c r="D104" i="25" s="1"/>
  <c r="F104" i="25" s="1"/>
  <c r="G103" i="25"/>
  <c r="B105" i="25" l="1"/>
  <c r="D105" i="25" s="1"/>
  <c r="F105" i="25" s="1"/>
  <c r="G104" i="25"/>
  <c r="B106" i="25" l="1"/>
  <c r="D106" i="25" s="1"/>
  <c r="F106" i="25" s="1"/>
  <c r="G105" i="25"/>
  <c r="B107" i="25" l="1"/>
  <c r="D107" i="25" s="1"/>
  <c r="F107" i="25" s="1"/>
  <c r="G106" i="25"/>
  <c r="B108" i="25" l="1"/>
  <c r="D108" i="25" s="1"/>
  <c r="F108" i="25" s="1"/>
  <c r="G107" i="25"/>
  <c r="B109" i="25" l="1"/>
  <c r="D109" i="25" s="1"/>
  <c r="F109" i="25" s="1"/>
  <c r="G108" i="25"/>
  <c r="B110" i="25" l="1"/>
  <c r="D110" i="25" s="1"/>
  <c r="F110" i="25" s="1"/>
  <c r="G109" i="25"/>
  <c r="B111" i="25" l="1"/>
  <c r="D111" i="25" s="1"/>
  <c r="F111" i="25" s="1"/>
  <c r="G110" i="25"/>
  <c r="G111" i="25" l="1"/>
  <c r="H111" i="25" s="1"/>
  <c r="H236" i="25" s="1"/>
  <c r="K37" i="26" s="1"/>
  <c r="G106" i="24" s="1"/>
  <c r="G115" i="24" s="1"/>
  <c r="B114" i="25"/>
  <c r="D114" i="25" s="1"/>
  <c r="F114" i="25" s="1"/>
  <c r="H242" i="25" l="1"/>
  <c r="J39" i="4"/>
  <c r="G114" i="25"/>
  <c r="B115" i="25"/>
  <c r="D115" i="25" s="1"/>
  <c r="F115" i="25" s="1"/>
  <c r="H93" i="21" l="1"/>
  <c r="G30" i="24"/>
  <c r="H97" i="21"/>
  <c r="I32" i="5"/>
  <c r="I29" i="5"/>
  <c r="G115" i="25"/>
  <c r="B116" i="25"/>
  <c r="D116" i="25" s="1"/>
  <c r="F116" i="25" s="1"/>
  <c r="G116" i="25" l="1"/>
  <c r="B117" i="25"/>
  <c r="D117" i="25" s="1"/>
  <c r="F117" i="25" s="1"/>
  <c r="G117" i="25" l="1"/>
  <c r="B118" i="25"/>
  <c r="D118" i="25" s="1"/>
  <c r="F118" i="25" s="1"/>
  <c r="G118" i="25" l="1"/>
  <c r="B119" i="25"/>
  <c r="D119" i="25" s="1"/>
  <c r="F119" i="25" s="1"/>
  <c r="G119" i="25" l="1"/>
  <c r="B120" i="25"/>
  <c r="D120" i="25" s="1"/>
  <c r="F120" i="25" s="1"/>
  <c r="G120" i="25" l="1"/>
  <c r="B121" i="25"/>
  <c r="D121" i="25" s="1"/>
  <c r="F121" i="25" s="1"/>
  <c r="G121" i="25" l="1"/>
  <c r="B122" i="25"/>
  <c r="D122" i="25" s="1"/>
  <c r="F122" i="25" s="1"/>
  <c r="G122" i="25" l="1"/>
  <c r="B123" i="25"/>
  <c r="D123" i="25" s="1"/>
  <c r="F123" i="25" s="1"/>
  <c r="G123" i="25" l="1"/>
  <c r="B124" i="25"/>
  <c r="D124" i="25" s="1"/>
  <c r="F124" i="25" s="1"/>
  <c r="G124" i="25" l="1"/>
  <c r="B125" i="25"/>
  <c r="D125" i="25" s="1"/>
  <c r="F125" i="25" s="1"/>
  <c r="G125" i="25" l="1"/>
  <c r="H125" i="25" s="1"/>
  <c r="I236" i="25" s="1"/>
  <c r="L37" i="26" s="1"/>
  <c r="H106" i="24" s="1"/>
  <c r="H115" i="24" s="1"/>
  <c r="B128" i="25"/>
  <c r="D128" i="25" s="1"/>
  <c r="F128" i="25" s="1"/>
  <c r="I242" i="25" l="1"/>
  <c r="K39" i="4"/>
  <c r="B129" i="25"/>
  <c r="D129" i="25" s="1"/>
  <c r="F129" i="25" s="1"/>
  <c r="G128" i="25"/>
  <c r="I93" i="21" l="1"/>
  <c r="H30" i="24"/>
  <c r="J32" i="5"/>
  <c r="J29" i="5"/>
  <c r="I97" i="21"/>
  <c r="G129" i="25"/>
  <c r="B130" i="25"/>
  <c r="D130" i="25" s="1"/>
  <c r="F130" i="25" s="1"/>
  <c r="B131" i="25" l="1"/>
  <c r="D131" i="25" s="1"/>
  <c r="F131" i="25" s="1"/>
  <c r="G130" i="25"/>
  <c r="G131" i="25" l="1"/>
  <c r="B132" i="25"/>
  <c r="D132" i="25" s="1"/>
  <c r="F132" i="25" s="1"/>
  <c r="B133" i="25" l="1"/>
  <c r="D133" i="25" s="1"/>
  <c r="F133" i="25" s="1"/>
  <c r="G132" i="25"/>
  <c r="G133" i="25" l="1"/>
  <c r="B134" i="25"/>
  <c r="D134" i="25" s="1"/>
  <c r="F134" i="25" s="1"/>
  <c r="B135" i="25" l="1"/>
  <c r="D135" i="25" s="1"/>
  <c r="F135" i="25" s="1"/>
  <c r="G134" i="25"/>
  <c r="B136" i="25" l="1"/>
  <c r="D136" i="25" s="1"/>
  <c r="F136" i="25" s="1"/>
  <c r="G135" i="25"/>
  <c r="G136" i="25" l="1"/>
  <c r="B137" i="25"/>
  <c r="D137" i="25" s="1"/>
  <c r="F137" i="25" s="1"/>
  <c r="G137" i="25" l="1"/>
  <c r="B138" i="25"/>
  <c r="D138" i="25" s="1"/>
  <c r="F138" i="25" s="1"/>
  <c r="B139" i="25" l="1"/>
  <c r="D139" i="25" s="1"/>
  <c r="F139" i="25" s="1"/>
  <c r="G138" i="25"/>
  <c r="B142" i="25" l="1"/>
  <c r="D142" i="25" s="1"/>
  <c r="F142" i="25" s="1"/>
  <c r="G139" i="25"/>
  <c r="H139" i="25" s="1"/>
  <c r="J236" i="25" s="1"/>
  <c r="M37" i="26" s="1"/>
  <c r="I106" i="24" s="1"/>
  <c r="I115" i="24" s="1"/>
  <c r="J242" i="25" l="1"/>
  <c r="L39" i="4"/>
  <c r="B143" i="25"/>
  <c r="D143" i="25" s="1"/>
  <c r="F143" i="25" s="1"/>
  <c r="G142" i="25"/>
  <c r="J93" i="21" l="1"/>
  <c r="I30" i="24"/>
  <c r="J97" i="21"/>
  <c r="K29" i="5"/>
  <c r="K32" i="5"/>
  <c r="G143" i="25"/>
  <c r="B144" i="25"/>
  <c r="D144" i="25" s="1"/>
  <c r="F144" i="25" s="1"/>
  <c r="G144" i="25" l="1"/>
  <c r="B145" i="25"/>
  <c r="D145" i="25" s="1"/>
  <c r="F145" i="25" s="1"/>
  <c r="B146" i="25" l="1"/>
  <c r="D146" i="25" s="1"/>
  <c r="F146" i="25" s="1"/>
  <c r="G145" i="25"/>
  <c r="B147" i="25" l="1"/>
  <c r="D147" i="25" s="1"/>
  <c r="F147" i="25" s="1"/>
  <c r="G146" i="25"/>
  <c r="G147" i="25" l="1"/>
  <c r="B148" i="25"/>
  <c r="D148" i="25" s="1"/>
  <c r="F148" i="25" s="1"/>
  <c r="G148" i="25" l="1"/>
  <c r="B149" i="25"/>
  <c r="D149" i="25" s="1"/>
  <c r="F149" i="25" s="1"/>
  <c r="B150" i="25" l="1"/>
  <c r="D150" i="25" s="1"/>
  <c r="F150" i="25" s="1"/>
  <c r="G149" i="25"/>
  <c r="G150" i="25" l="1"/>
  <c r="B151" i="25"/>
  <c r="D151" i="25" s="1"/>
  <c r="F151" i="25" s="1"/>
  <c r="B152" i="25" l="1"/>
  <c r="D152" i="25" s="1"/>
  <c r="F152" i="25" s="1"/>
  <c r="G151" i="25"/>
  <c r="G152" i="25" l="1"/>
  <c r="B153" i="25"/>
  <c r="D153" i="25" s="1"/>
  <c r="F153" i="25" s="1"/>
  <c r="G15" i="4"/>
  <c r="H13" i="4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B82" i="1"/>
  <c r="D19" i="1"/>
  <c r="G28" i="1" s="1"/>
  <c r="E25" i="18"/>
  <c r="E54" i="18"/>
  <c r="E53" i="18"/>
  <c r="E52" i="18"/>
  <c r="E51" i="18"/>
  <c r="E50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21" i="18"/>
  <c r="G7" i="18"/>
  <c r="G30" i="1" l="1"/>
  <c r="D23" i="1"/>
  <c r="B156" i="25"/>
  <c r="D156" i="25" s="1"/>
  <c r="F156" i="25" s="1"/>
  <c r="G153" i="25"/>
  <c r="H153" i="25" s="1"/>
  <c r="K236" i="25" s="1"/>
  <c r="N37" i="26" s="1"/>
  <c r="J106" i="24" s="1"/>
  <c r="J115" i="24" s="1"/>
  <c r="H15" i="4"/>
  <c r="I15" i="4" s="1"/>
  <c r="C91" i="1"/>
  <c r="E55" i="18"/>
  <c r="E45" i="18"/>
  <c r="J94" i="21"/>
  <c r="K94" i="21"/>
  <c r="L94" i="21"/>
  <c r="J15" i="4" l="1"/>
  <c r="K15" i="4" s="1"/>
  <c r="L15" i="4" s="1"/>
  <c r="M15" i="4" s="1"/>
  <c r="N15" i="4" s="1"/>
  <c r="O15" i="4" s="1"/>
  <c r="P15" i="4" s="1"/>
  <c r="Q15" i="4" s="1"/>
  <c r="R15" i="4" s="1"/>
  <c r="S15" i="4" s="1"/>
  <c r="G31" i="1"/>
  <c r="G21" i="4"/>
  <c r="H21" i="4" s="1"/>
  <c r="G25" i="1"/>
  <c r="G35" i="1" s="1"/>
  <c r="K242" i="25"/>
  <c r="M39" i="4"/>
  <c r="B157" i="25"/>
  <c r="D157" i="25" s="1"/>
  <c r="F157" i="25" s="1"/>
  <c r="G156" i="25"/>
  <c r="F41" i="18"/>
  <c r="F46" i="18" s="1"/>
  <c r="G30" i="4" l="1"/>
  <c r="H29" i="26"/>
  <c r="I20" i="26"/>
  <c r="H22" i="26"/>
  <c r="I21" i="4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H30" i="4"/>
  <c r="G36" i="1"/>
  <c r="G34" i="1"/>
  <c r="K93" i="21"/>
  <c r="J30" i="24"/>
  <c r="L32" i="5"/>
  <c r="L29" i="5"/>
  <c r="K97" i="21"/>
  <c r="B158" i="25"/>
  <c r="D158" i="25" s="1"/>
  <c r="F158" i="25" s="1"/>
  <c r="G157" i="25"/>
  <c r="D101" i="24" l="1"/>
  <c r="H32" i="26"/>
  <c r="I32" i="26" s="1"/>
  <c r="J32" i="26" s="1"/>
  <c r="K32" i="26" s="1"/>
  <c r="L32" i="26" s="1"/>
  <c r="M32" i="26" s="1"/>
  <c r="N32" i="26" s="1"/>
  <c r="O32" i="26" s="1"/>
  <c r="P32" i="26" s="1"/>
  <c r="Q32" i="26" s="1"/>
  <c r="R32" i="26" s="1"/>
  <c r="S32" i="26" s="1"/>
  <c r="T32" i="26" s="1"/>
  <c r="H33" i="26"/>
  <c r="H31" i="26"/>
  <c r="D105" i="24" s="1"/>
  <c r="H27" i="26"/>
  <c r="I29" i="26"/>
  <c r="J20" i="26"/>
  <c r="K20" i="26" s="1"/>
  <c r="L20" i="26" s="1"/>
  <c r="M20" i="26" s="1"/>
  <c r="N20" i="26" s="1"/>
  <c r="O20" i="26" s="1"/>
  <c r="P20" i="26" s="1"/>
  <c r="Q20" i="26" s="1"/>
  <c r="R20" i="26" s="1"/>
  <c r="S20" i="26" s="1"/>
  <c r="T20" i="26" s="1"/>
  <c r="I22" i="26"/>
  <c r="E101" i="24" s="1"/>
  <c r="I30" i="4"/>
  <c r="B159" i="25"/>
  <c r="D159" i="25" s="1"/>
  <c r="F159" i="25" s="1"/>
  <c r="G158" i="25"/>
  <c r="D104" i="24" l="1"/>
  <c r="D109" i="24" s="1"/>
  <c r="U20" i="26"/>
  <c r="H38" i="26"/>
  <c r="I33" i="26"/>
  <c r="I27" i="26"/>
  <c r="J29" i="26"/>
  <c r="J22" i="26"/>
  <c r="F101" i="24" s="1"/>
  <c r="I31" i="26"/>
  <c r="E105" i="24" s="1"/>
  <c r="J30" i="4"/>
  <c r="B160" i="25"/>
  <c r="D160" i="25" s="1"/>
  <c r="F160" i="25" s="1"/>
  <c r="G159" i="25"/>
  <c r="D111" i="24" l="1"/>
  <c r="D112" i="24" s="1"/>
  <c r="D113" i="24" s="1"/>
  <c r="H39" i="26"/>
  <c r="E104" i="24"/>
  <c r="E109" i="24" s="1"/>
  <c r="E111" i="24" s="1"/>
  <c r="E113" i="24" s="1"/>
  <c r="E114" i="24" s="1"/>
  <c r="J31" i="26"/>
  <c r="J27" i="26"/>
  <c r="J33" i="26"/>
  <c r="K29" i="26"/>
  <c r="K22" i="26"/>
  <c r="I38" i="26"/>
  <c r="I39" i="26" s="1"/>
  <c r="H41" i="26"/>
  <c r="K30" i="4"/>
  <c r="B161" i="25"/>
  <c r="D161" i="25" s="1"/>
  <c r="F161" i="25" s="1"/>
  <c r="G160" i="25"/>
  <c r="O17" i="9"/>
  <c r="M15" i="9"/>
  <c r="M17" i="9" s="1"/>
  <c r="G101" i="24" l="1"/>
  <c r="D114" i="24"/>
  <c r="F104" i="24"/>
  <c r="F105" i="24"/>
  <c r="L29" i="26"/>
  <c r="L22" i="26"/>
  <c r="H101" i="24" s="1"/>
  <c r="K33" i="26"/>
  <c r="K27" i="26"/>
  <c r="J38" i="26"/>
  <c r="J39" i="26" s="1"/>
  <c r="I41" i="26"/>
  <c r="K31" i="26"/>
  <c r="G105" i="24" s="1"/>
  <c r="L30" i="4"/>
  <c r="B162" i="25"/>
  <c r="D162" i="25" s="1"/>
  <c r="F162" i="25" s="1"/>
  <c r="G161" i="25"/>
  <c r="F109" i="24" l="1"/>
  <c r="G104" i="24"/>
  <c r="G109" i="24" s="1"/>
  <c r="G111" i="24" s="1"/>
  <c r="G113" i="24" s="1"/>
  <c r="G114" i="24" s="1"/>
  <c r="L31" i="26"/>
  <c r="K38" i="26"/>
  <c r="K39" i="26" s="1"/>
  <c r="J41" i="26"/>
  <c r="L33" i="26"/>
  <c r="L27" i="26"/>
  <c r="M29" i="26"/>
  <c r="M22" i="26"/>
  <c r="I101" i="24" s="1"/>
  <c r="M30" i="4"/>
  <c r="B163" i="25"/>
  <c r="D163" i="25" s="1"/>
  <c r="F163" i="25" s="1"/>
  <c r="G162" i="25"/>
  <c r="I32" i="24"/>
  <c r="J32" i="24"/>
  <c r="K32" i="24"/>
  <c r="F111" i="24" l="1"/>
  <c r="H104" i="24"/>
  <c r="H105" i="24"/>
  <c r="M33" i="26"/>
  <c r="M27" i="26"/>
  <c r="N29" i="26"/>
  <c r="N22" i="26"/>
  <c r="J101" i="24" s="1"/>
  <c r="K41" i="26"/>
  <c r="L38" i="26"/>
  <c r="L39" i="26" s="1"/>
  <c r="M31" i="26"/>
  <c r="N30" i="4"/>
  <c r="B164" i="25"/>
  <c r="D164" i="25" s="1"/>
  <c r="F164" i="25" s="1"/>
  <c r="G163" i="25"/>
  <c r="D5" i="24"/>
  <c r="H109" i="24" l="1"/>
  <c r="H111" i="24" s="1"/>
  <c r="F113" i="24"/>
  <c r="I105" i="24"/>
  <c r="H113" i="24"/>
  <c r="H114" i="24" s="1"/>
  <c r="I104" i="24"/>
  <c r="L41" i="26"/>
  <c r="N27" i="26"/>
  <c r="N33" i="26"/>
  <c r="N31" i="26"/>
  <c r="O29" i="26"/>
  <c r="O22" i="26"/>
  <c r="K101" i="24" s="1"/>
  <c r="M38" i="26"/>
  <c r="M39" i="26" s="1"/>
  <c r="O30" i="4"/>
  <c r="B165" i="25"/>
  <c r="D165" i="25" s="1"/>
  <c r="F165" i="25" s="1"/>
  <c r="G164" i="25"/>
  <c r="I109" i="24" l="1"/>
  <c r="F114" i="24"/>
  <c r="J104" i="24"/>
  <c r="J105" i="24"/>
  <c r="M41" i="26"/>
  <c r="P29" i="26"/>
  <c r="P22" i="26"/>
  <c r="L101" i="24" s="1"/>
  <c r="N38" i="26"/>
  <c r="N39" i="26" s="1"/>
  <c r="N40" i="26" s="1"/>
  <c r="O33" i="26"/>
  <c r="O27" i="26"/>
  <c r="O31" i="26"/>
  <c r="P30" i="4"/>
  <c r="B166" i="25"/>
  <c r="D166" i="25" s="1"/>
  <c r="F166" i="25" s="1"/>
  <c r="G165" i="25"/>
  <c r="B27" i="2"/>
  <c r="J109" i="24" l="1"/>
  <c r="J111" i="24" s="1"/>
  <c r="I111" i="24"/>
  <c r="J113" i="24" s="1"/>
  <c r="J114" i="24" s="1"/>
  <c r="K104" i="24"/>
  <c r="K105" i="24"/>
  <c r="N41" i="26"/>
  <c r="P31" i="26"/>
  <c r="Q29" i="26"/>
  <c r="Q22" i="26"/>
  <c r="M101" i="24" s="1"/>
  <c r="P33" i="26"/>
  <c r="P27" i="26"/>
  <c r="L104" i="24" s="1"/>
  <c r="Q30" i="4"/>
  <c r="B167" i="25"/>
  <c r="D167" i="25" s="1"/>
  <c r="F167" i="25" s="1"/>
  <c r="G166" i="25"/>
  <c r="I113" i="24" l="1"/>
  <c r="L105" i="24"/>
  <c r="Q31" i="26"/>
  <c r="R29" i="26"/>
  <c r="R22" i="26"/>
  <c r="N101" i="24" s="1"/>
  <c r="Q33" i="26"/>
  <c r="Q27" i="26"/>
  <c r="S30" i="4"/>
  <c r="R30" i="4"/>
  <c r="G167" i="25"/>
  <c r="H167" i="25" s="1"/>
  <c r="L236" i="25" s="1"/>
  <c r="O37" i="26" s="1"/>
  <c r="K106" i="24" s="1"/>
  <c r="K115" i="24" s="1"/>
  <c r="B170" i="25"/>
  <c r="D170" i="25" s="1"/>
  <c r="F170" i="25" s="1"/>
  <c r="G94" i="21"/>
  <c r="F32" i="24"/>
  <c r="F94" i="21"/>
  <c r="E32" i="24"/>
  <c r="E94" i="21"/>
  <c r="D32" i="24"/>
  <c r="I94" i="21"/>
  <c r="H32" i="24"/>
  <c r="H94" i="21"/>
  <c r="G32" i="24"/>
  <c r="J68" i="24"/>
  <c r="J117" i="24" s="1"/>
  <c r="K68" i="24"/>
  <c r="I68" i="24"/>
  <c r="H68" i="24"/>
  <c r="H117" i="24" s="1"/>
  <c r="G68" i="24"/>
  <c r="G117" i="24" s="1"/>
  <c r="F68" i="24"/>
  <c r="F117" i="24" s="1"/>
  <c r="E68" i="24"/>
  <c r="E117" i="24" s="1"/>
  <c r="I114" i="24" l="1"/>
  <c r="I117" i="24" s="1"/>
  <c r="M104" i="24"/>
  <c r="M105" i="24"/>
  <c r="K109" i="24"/>
  <c r="K111" i="24" s="1"/>
  <c r="O38" i="26"/>
  <c r="O39" i="26" s="1"/>
  <c r="O40" i="26" s="1"/>
  <c r="R27" i="26"/>
  <c r="R33" i="26"/>
  <c r="S29" i="26"/>
  <c r="S22" i="26"/>
  <c r="O101" i="24" s="1"/>
  <c r="R31" i="26"/>
  <c r="L242" i="25"/>
  <c r="N39" i="4"/>
  <c r="G170" i="25"/>
  <c r="B171" i="25"/>
  <c r="D171" i="25" s="1"/>
  <c r="F171" i="25" s="1"/>
  <c r="D68" i="24"/>
  <c r="Q68" i="24" s="1"/>
  <c r="K113" i="24" l="1"/>
  <c r="N105" i="24"/>
  <c r="N104" i="24"/>
  <c r="S31" i="26"/>
  <c r="S27" i="26"/>
  <c r="S33" i="26"/>
  <c r="T29" i="26"/>
  <c r="T22" i="26"/>
  <c r="O41" i="26"/>
  <c r="L93" i="21"/>
  <c r="K30" i="24"/>
  <c r="M29" i="5"/>
  <c r="M32" i="5"/>
  <c r="L97" i="21"/>
  <c r="G171" i="25"/>
  <c r="B172" i="25"/>
  <c r="D172" i="25" s="1"/>
  <c r="F172" i="25" s="1"/>
  <c r="P101" i="24" l="1"/>
  <c r="Q101" i="24" s="1"/>
  <c r="U22" i="26"/>
  <c r="K114" i="24"/>
  <c r="K117" i="24" s="1"/>
  <c r="O104" i="24"/>
  <c r="O105" i="24"/>
  <c r="Q93" i="24"/>
  <c r="T33" i="26"/>
  <c r="T27" i="26"/>
  <c r="T31" i="26"/>
  <c r="G172" i="25"/>
  <c r="B173" i="25"/>
  <c r="D173" i="25" s="1"/>
  <c r="F173" i="25" s="1"/>
  <c r="D41" i="24"/>
  <c r="D30" i="24"/>
  <c r="P104" i="24" l="1"/>
  <c r="P105" i="24"/>
  <c r="Q116" i="24"/>
  <c r="D117" i="24"/>
  <c r="G173" i="25"/>
  <c r="B174" i="25"/>
  <c r="D174" i="25" s="1"/>
  <c r="F174" i="25" s="1"/>
  <c r="D67" i="24"/>
  <c r="H16" i="22"/>
  <c r="H15" i="22"/>
  <c r="D10" i="22"/>
  <c r="E10" i="22" s="1"/>
  <c r="F10" i="22" s="1"/>
  <c r="G10" i="22" s="1"/>
  <c r="H10" i="22" s="1"/>
  <c r="I10" i="22" s="1"/>
  <c r="J10" i="22" s="1"/>
  <c r="K10" i="22" s="1"/>
  <c r="L10" i="22" s="1"/>
  <c r="M10" i="22" s="1"/>
  <c r="N10" i="22" s="1"/>
  <c r="O10" i="22" s="1"/>
  <c r="P10" i="22" s="1"/>
  <c r="Q10" i="22" s="1"/>
  <c r="R10" i="22" s="1"/>
  <c r="S10" i="22" s="1"/>
  <c r="T10" i="22" s="1"/>
  <c r="U10" i="22" s="1"/>
  <c r="V10" i="22" s="1"/>
  <c r="W10" i="22" s="1"/>
  <c r="X10" i="22" s="1"/>
  <c r="Y10" i="22" s="1"/>
  <c r="Z10" i="22" s="1"/>
  <c r="AA10" i="22" s="1"/>
  <c r="AB10" i="22" s="1"/>
  <c r="AC10" i="22" s="1"/>
  <c r="AD10" i="22" s="1"/>
  <c r="AE10" i="22" s="1"/>
  <c r="AF10" i="22" s="1"/>
  <c r="AG10" i="22" s="1"/>
  <c r="AH10" i="22" s="1"/>
  <c r="AI10" i="22" s="1"/>
  <c r="D81" i="24" l="1"/>
  <c r="D92" i="24" s="1"/>
  <c r="G174" i="25"/>
  <c r="B175" i="25"/>
  <c r="D175" i="25" s="1"/>
  <c r="F175" i="25" s="1"/>
  <c r="G175" i="25" l="1"/>
  <c r="B176" i="25"/>
  <c r="D176" i="25" s="1"/>
  <c r="F176" i="25" s="1"/>
  <c r="B10" i="5"/>
  <c r="C10" i="5" s="1"/>
  <c r="B14" i="2"/>
  <c r="G176" i="25" l="1"/>
  <c r="B177" i="25"/>
  <c r="D177" i="25" s="1"/>
  <c r="F177" i="25" s="1"/>
  <c r="E41" i="24"/>
  <c r="G177" i="25" l="1"/>
  <c r="B178" i="25"/>
  <c r="D178" i="25" s="1"/>
  <c r="F178" i="25" s="1"/>
  <c r="E67" i="24"/>
  <c r="E81" i="24" l="1"/>
  <c r="E92" i="24" s="1"/>
  <c r="G178" i="25"/>
  <c r="B179" i="25"/>
  <c r="D179" i="25" s="1"/>
  <c r="F179" i="25" s="1"/>
  <c r="G7" i="22"/>
  <c r="F5" i="22"/>
  <c r="D32" i="19"/>
  <c r="E32" i="19"/>
  <c r="F32" i="19"/>
  <c r="G32" i="19"/>
  <c r="H32" i="19"/>
  <c r="I32" i="19"/>
  <c r="J32" i="19"/>
  <c r="K32" i="19"/>
  <c r="C32" i="19"/>
  <c r="B32" i="19"/>
  <c r="F4" i="21"/>
  <c r="G4" i="21"/>
  <c r="H4" i="21"/>
  <c r="I4" i="21"/>
  <c r="J4" i="21"/>
  <c r="K4" i="21"/>
  <c r="L4" i="21"/>
  <c r="E4" i="21"/>
  <c r="B100" i="21"/>
  <c r="B99" i="21"/>
  <c r="B98" i="21"/>
  <c r="B95" i="21"/>
  <c r="B13" i="21"/>
  <c r="G179" i="25" l="1"/>
  <c r="B180" i="25"/>
  <c r="D180" i="25" s="1"/>
  <c r="F180" i="25" s="1"/>
  <c r="E90" i="21"/>
  <c r="G180" i="25" l="1"/>
  <c r="B181" i="25"/>
  <c r="D181" i="25" s="1"/>
  <c r="F181" i="25" s="1"/>
  <c r="F90" i="21"/>
  <c r="G181" i="25" l="1"/>
  <c r="H181" i="25" s="1"/>
  <c r="M236" i="25" s="1"/>
  <c r="P37" i="26" s="1"/>
  <c r="L106" i="24" s="1"/>
  <c r="B184" i="25"/>
  <c r="D184" i="25" s="1"/>
  <c r="F184" i="25" s="1"/>
  <c r="G90" i="21"/>
  <c r="L115" i="24" l="1"/>
  <c r="L109" i="24"/>
  <c r="L111" i="24" s="1"/>
  <c r="L112" i="24" s="1"/>
  <c r="L113" i="24" s="1"/>
  <c r="P38" i="26"/>
  <c r="P39" i="26" s="1"/>
  <c r="P40" i="26" s="1"/>
  <c r="M242" i="25"/>
  <c r="O39" i="4"/>
  <c r="G184" i="25"/>
  <c r="B185" i="25"/>
  <c r="D185" i="25" s="1"/>
  <c r="F185" i="25" s="1"/>
  <c r="H90" i="21"/>
  <c r="L114" i="24" l="1"/>
  <c r="L117" i="24"/>
  <c r="P41" i="26"/>
  <c r="M93" i="21"/>
  <c r="L30" i="24"/>
  <c r="L41" i="24"/>
  <c r="L67" i="24" s="1"/>
  <c r="L81" i="24" s="1"/>
  <c r="L92" i="24" s="1"/>
  <c r="N29" i="5"/>
  <c r="M97" i="21"/>
  <c r="M98" i="21" s="1"/>
  <c r="N32" i="5"/>
  <c r="G185" i="25"/>
  <c r="B186" i="25"/>
  <c r="D186" i="25" s="1"/>
  <c r="F186" i="25" s="1"/>
  <c r="I90" i="21"/>
  <c r="G186" i="25" l="1"/>
  <c r="B187" i="25"/>
  <c r="D187" i="25" s="1"/>
  <c r="F187" i="25" s="1"/>
  <c r="J90" i="21"/>
  <c r="B188" i="25" l="1"/>
  <c r="D188" i="25" s="1"/>
  <c r="F188" i="25" s="1"/>
  <c r="G187" i="25"/>
  <c r="K90" i="21"/>
  <c r="L90" i="21"/>
  <c r="G188" i="25" l="1"/>
  <c r="B189" i="25"/>
  <c r="D189" i="25" s="1"/>
  <c r="F189" i="25" s="1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D81" i="20"/>
  <c r="D82" i="20"/>
  <c r="D83" i="20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07" i="20"/>
  <c r="C108" i="20"/>
  <c r="C10" i="20"/>
  <c r="B190" i="25" l="1"/>
  <c r="D190" i="25" s="1"/>
  <c r="F190" i="25" s="1"/>
  <c r="G189" i="25"/>
  <c r="C11" i="9"/>
  <c r="G190" i="25" l="1"/>
  <c r="B191" i="25"/>
  <c r="D191" i="25" s="1"/>
  <c r="F191" i="25" s="1"/>
  <c r="D5" i="22"/>
  <c r="D7" i="22" s="1"/>
  <c r="I12" i="22" s="1"/>
  <c r="E64" i="18"/>
  <c r="C19" i="9" s="1"/>
  <c r="F19" i="9" l="1"/>
  <c r="B192" i="25"/>
  <c r="D192" i="25" s="1"/>
  <c r="F192" i="25" s="1"/>
  <c r="G191" i="25"/>
  <c r="N12" i="22"/>
  <c r="R12" i="22"/>
  <c r="V12" i="22"/>
  <c r="Z12" i="22"/>
  <c r="AD12" i="22"/>
  <c r="AH12" i="22"/>
  <c r="L12" i="22"/>
  <c r="P12" i="22"/>
  <c r="T12" i="22"/>
  <c r="X12" i="22"/>
  <c r="AB12" i="22"/>
  <c r="AF12" i="22"/>
  <c r="J12" i="22"/>
  <c r="M12" i="22"/>
  <c r="Q12" i="22"/>
  <c r="U12" i="22"/>
  <c r="Y12" i="22"/>
  <c r="AC12" i="22"/>
  <c r="AG12" i="22"/>
  <c r="K12" i="22"/>
  <c r="O12" i="22"/>
  <c r="S12" i="22"/>
  <c r="W12" i="22"/>
  <c r="AA12" i="22"/>
  <c r="AE12" i="22"/>
  <c r="AI12" i="22"/>
  <c r="C11" i="22"/>
  <c r="C13" i="22" s="1"/>
  <c r="E7" i="22"/>
  <c r="D11" i="22"/>
  <c r="C31" i="5"/>
  <c r="C22" i="2"/>
  <c r="C21" i="2"/>
  <c r="G6" i="4"/>
  <c r="G8" i="4" s="1"/>
  <c r="G9" i="4" s="1"/>
  <c r="G20" i="4" l="1"/>
  <c r="G192" i="25"/>
  <c r="B193" i="25"/>
  <c r="D193" i="25" s="1"/>
  <c r="F193" i="25" s="1"/>
  <c r="H6" i="4"/>
  <c r="I6" i="4" s="1"/>
  <c r="J6" i="4" s="1"/>
  <c r="K6" i="4" s="1"/>
  <c r="L6" i="4" s="1"/>
  <c r="M6" i="4" s="1"/>
  <c r="N6" i="4" s="1"/>
  <c r="O6" i="4" s="1"/>
  <c r="C25" i="2"/>
  <c r="AI16" i="22"/>
  <c r="L16" i="22"/>
  <c r="T16" i="22"/>
  <c r="AF16" i="22"/>
  <c r="P16" i="22"/>
  <c r="AB16" i="22"/>
  <c r="X16" i="22"/>
  <c r="D13" i="22"/>
  <c r="C14" i="22"/>
  <c r="D14" i="22"/>
  <c r="E11" i="22" s="1"/>
  <c r="G29" i="4" l="1"/>
  <c r="G18" i="4"/>
  <c r="P6" i="4"/>
  <c r="O8" i="4"/>
  <c r="G193" i="25"/>
  <c r="B194" i="25"/>
  <c r="D194" i="25" s="1"/>
  <c r="F194" i="25" s="1"/>
  <c r="E13" i="22"/>
  <c r="E14" i="22"/>
  <c r="F11" i="22" s="1"/>
  <c r="F13" i="22" s="1"/>
  <c r="G27" i="4" l="1"/>
  <c r="Q6" i="4"/>
  <c r="P8" i="4"/>
  <c r="G194" i="25"/>
  <c r="B195" i="25"/>
  <c r="D195" i="25" s="1"/>
  <c r="F195" i="25" s="1"/>
  <c r="F14" i="22"/>
  <c r="G11" i="22" s="1"/>
  <c r="R6" i="4" l="1"/>
  <c r="Q8" i="4"/>
  <c r="B198" i="25"/>
  <c r="D198" i="25" s="1"/>
  <c r="F198" i="25" s="1"/>
  <c r="G195" i="25"/>
  <c r="H195" i="25" s="1"/>
  <c r="N236" i="25" s="1"/>
  <c r="Q37" i="26" s="1"/>
  <c r="M106" i="24" s="1"/>
  <c r="G14" i="22"/>
  <c r="H11" i="22" s="1"/>
  <c r="H13" i="22" s="1"/>
  <c r="G13" i="22"/>
  <c r="C30" i="9"/>
  <c r="M115" i="24" l="1"/>
  <c r="M109" i="24"/>
  <c r="M111" i="24" s="1"/>
  <c r="Q38" i="26"/>
  <c r="Q39" i="26" s="1"/>
  <c r="Q40" i="26" s="1"/>
  <c r="N242" i="25"/>
  <c r="P39" i="4"/>
  <c r="S6" i="4"/>
  <c r="S8" i="4" s="1"/>
  <c r="R8" i="4"/>
  <c r="B199" i="25"/>
  <c r="D199" i="25" s="1"/>
  <c r="F199" i="25" s="1"/>
  <c r="G198" i="25"/>
  <c r="H14" i="22"/>
  <c r="I11" i="22" s="1"/>
  <c r="I14" i="22" s="1"/>
  <c r="J11" i="22" s="1"/>
  <c r="C7" i="5"/>
  <c r="M112" i="24" l="1"/>
  <c r="M113" i="24"/>
  <c r="M114" i="24" s="1"/>
  <c r="Q41" i="26"/>
  <c r="N93" i="21"/>
  <c r="M30" i="24"/>
  <c r="M41" i="24"/>
  <c r="M67" i="24" s="1"/>
  <c r="M81" i="24" s="1"/>
  <c r="M92" i="24" s="1"/>
  <c r="N97" i="21"/>
  <c r="N98" i="21" s="1"/>
  <c r="O29" i="5"/>
  <c r="O32" i="5"/>
  <c r="B200" i="25"/>
  <c r="D200" i="25" s="1"/>
  <c r="F200" i="25" s="1"/>
  <c r="G199" i="25"/>
  <c r="I13" i="22"/>
  <c r="J13" i="22"/>
  <c r="J14" i="22"/>
  <c r="K11" i="22" s="1"/>
  <c r="H8" i="4"/>
  <c r="I8" i="4"/>
  <c r="J8" i="4"/>
  <c r="K8" i="4"/>
  <c r="L8" i="4"/>
  <c r="M8" i="4"/>
  <c r="N8" i="4"/>
  <c r="M117" i="24" l="1"/>
  <c r="B201" i="25"/>
  <c r="D201" i="25" s="1"/>
  <c r="F201" i="25" s="1"/>
  <c r="G200" i="25"/>
  <c r="K14" i="22"/>
  <c r="L11" i="22" s="1"/>
  <c r="K13" i="22"/>
  <c r="O3" i="4"/>
  <c r="B202" i="25" l="1"/>
  <c r="D202" i="25" s="1"/>
  <c r="F202" i="25" s="1"/>
  <c r="G201" i="25"/>
  <c r="L13" i="22"/>
  <c r="L15" i="22" s="1"/>
  <c r="B203" i="25" l="1"/>
  <c r="D203" i="25" s="1"/>
  <c r="F203" i="25" s="1"/>
  <c r="G202" i="25"/>
  <c r="L14" i="22"/>
  <c r="M11" i="22" s="1"/>
  <c r="G12" i="4"/>
  <c r="G17" i="4" s="1"/>
  <c r="G26" i="4" l="1"/>
  <c r="G25" i="4"/>
  <c r="B204" i="25"/>
  <c r="D204" i="25" s="1"/>
  <c r="F204" i="25" s="1"/>
  <c r="G203" i="25"/>
  <c r="H12" i="4"/>
  <c r="M13" i="22"/>
  <c r="M14" i="22"/>
  <c r="N11" i="22" s="1"/>
  <c r="H20" i="4"/>
  <c r="H29" i="4" l="1"/>
  <c r="I12" i="4"/>
  <c r="H17" i="4"/>
  <c r="B205" i="25"/>
  <c r="D205" i="25" s="1"/>
  <c r="F205" i="25" s="1"/>
  <c r="G204" i="25"/>
  <c r="N13" i="22"/>
  <c r="N14" i="22"/>
  <c r="O11" i="22" s="1"/>
  <c r="I20" i="4"/>
  <c r="I29" i="4" s="1"/>
  <c r="B62" i="1"/>
  <c r="H25" i="4" l="1"/>
  <c r="H26" i="4"/>
  <c r="I17" i="4"/>
  <c r="J12" i="4"/>
  <c r="B206" i="25"/>
  <c r="D206" i="25" s="1"/>
  <c r="F206" i="25" s="1"/>
  <c r="G205" i="25"/>
  <c r="O13" i="22"/>
  <c r="O14" i="22"/>
  <c r="P11" i="22" s="1"/>
  <c r="J20" i="4"/>
  <c r="G14" i="4"/>
  <c r="G19" i="4" s="1"/>
  <c r="J29" i="4" l="1"/>
  <c r="I26" i="4"/>
  <c r="I25" i="4"/>
  <c r="J17" i="4"/>
  <c r="K12" i="4"/>
  <c r="L12" i="4" s="1"/>
  <c r="M12" i="4" s="1"/>
  <c r="N12" i="4" s="1"/>
  <c r="O12" i="4" s="1"/>
  <c r="B207" i="25"/>
  <c r="D207" i="25" s="1"/>
  <c r="F207" i="25" s="1"/>
  <c r="G206" i="25"/>
  <c r="P14" i="22"/>
  <c r="Q11" i="22" s="1"/>
  <c r="P13" i="22"/>
  <c r="P15" i="22" s="1"/>
  <c r="K20" i="4"/>
  <c r="K29" i="4" s="1"/>
  <c r="H14" i="4"/>
  <c r="H19" i="4" s="1"/>
  <c r="A2" i="1"/>
  <c r="A2" i="18"/>
  <c r="A2" i="4" l="1"/>
  <c r="A2" i="2" s="1"/>
  <c r="A2" i="26"/>
  <c r="J26" i="4"/>
  <c r="J25" i="4"/>
  <c r="P12" i="4"/>
  <c r="O17" i="4"/>
  <c r="B208" i="25"/>
  <c r="D208" i="25" s="1"/>
  <c r="F208" i="25" s="1"/>
  <c r="G207" i="25"/>
  <c r="Q13" i="22"/>
  <c r="Q14" i="22"/>
  <c r="R11" i="22" s="1"/>
  <c r="I14" i="4"/>
  <c r="K17" i="4"/>
  <c r="L20" i="4"/>
  <c r="E56" i="18"/>
  <c r="L29" i="4" l="1"/>
  <c r="K25" i="4"/>
  <c r="K26" i="4"/>
  <c r="O25" i="4"/>
  <c r="O26" i="4"/>
  <c r="Q12" i="4"/>
  <c r="P17" i="4"/>
  <c r="J14" i="4"/>
  <c r="I19" i="4"/>
  <c r="B209" i="25"/>
  <c r="D209" i="25" s="1"/>
  <c r="F209" i="25" s="1"/>
  <c r="G208" i="25"/>
  <c r="R14" i="22"/>
  <c r="S11" i="22" s="1"/>
  <c r="R13" i="22"/>
  <c r="M20" i="4"/>
  <c r="M29" i="4" s="1"/>
  <c r="L17" i="4"/>
  <c r="L25" i="4" l="1"/>
  <c r="L26" i="4"/>
  <c r="P25" i="4"/>
  <c r="P26" i="4"/>
  <c r="R12" i="4"/>
  <c r="Q17" i="4"/>
  <c r="J19" i="4"/>
  <c r="K14" i="4"/>
  <c r="L14" i="4" s="1"/>
  <c r="M14" i="4" s="1"/>
  <c r="N14" i="4" s="1"/>
  <c r="O14" i="4" s="1"/>
  <c r="B212" i="25"/>
  <c r="D212" i="25" s="1"/>
  <c r="F212" i="25" s="1"/>
  <c r="G209" i="25"/>
  <c r="H209" i="25" s="1"/>
  <c r="O236" i="25" s="1"/>
  <c r="R37" i="26" s="1"/>
  <c r="N106" i="24" s="1"/>
  <c r="S13" i="22"/>
  <c r="S14" i="22"/>
  <c r="T11" i="22" s="1"/>
  <c r="N20" i="4"/>
  <c r="N29" i="4" s="1"/>
  <c r="N17" i="4"/>
  <c r="M17" i="4"/>
  <c r="N115" i="24" l="1"/>
  <c r="N109" i="24"/>
  <c r="N111" i="24" s="1"/>
  <c r="N112" i="24" s="1"/>
  <c r="N113" i="24" s="1"/>
  <c r="N114" i="24" s="1"/>
  <c r="R38" i="26"/>
  <c r="R39" i="26" s="1"/>
  <c r="R40" i="26" s="1"/>
  <c r="M26" i="4"/>
  <c r="M25" i="4"/>
  <c r="Q26" i="4"/>
  <c r="Q25" i="4"/>
  <c r="N26" i="4"/>
  <c r="N25" i="4"/>
  <c r="O242" i="25"/>
  <c r="Q39" i="4"/>
  <c r="P14" i="4"/>
  <c r="O19" i="4"/>
  <c r="O20" i="4"/>
  <c r="O29" i="4" s="1"/>
  <c r="S12" i="4"/>
  <c r="S17" i="4" s="1"/>
  <c r="R17" i="4"/>
  <c r="K19" i="4"/>
  <c r="B213" i="25"/>
  <c r="D213" i="25" s="1"/>
  <c r="F213" i="25" s="1"/>
  <c r="G212" i="25"/>
  <c r="L19" i="4"/>
  <c r="T14" i="22"/>
  <c r="U11" i="22" s="1"/>
  <c r="T13" i="22"/>
  <c r="T15" i="22" s="1"/>
  <c r="C13" i="9"/>
  <c r="N117" i="24" l="1"/>
  <c r="F13" i="9"/>
  <c r="G13" i="9" s="1"/>
  <c r="R41" i="26"/>
  <c r="S25" i="4"/>
  <c r="S26" i="4"/>
  <c r="R26" i="4"/>
  <c r="R25" i="4"/>
  <c r="O93" i="21"/>
  <c r="N41" i="24"/>
  <c r="N67" i="24" s="1"/>
  <c r="N81" i="24" s="1"/>
  <c r="N92" i="24" s="1"/>
  <c r="N30" i="24"/>
  <c r="O97" i="21"/>
  <c r="O98" i="21" s="1"/>
  <c r="P29" i="5"/>
  <c r="P32" i="5"/>
  <c r="Q14" i="4"/>
  <c r="P19" i="4"/>
  <c r="P20" i="4"/>
  <c r="P29" i="4" s="1"/>
  <c r="B214" i="25"/>
  <c r="D214" i="25" s="1"/>
  <c r="F214" i="25" s="1"/>
  <c r="G213" i="25"/>
  <c r="M19" i="4"/>
  <c r="U13" i="22"/>
  <c r="U14" i="22"/>
  <c r="V11" i="22" s="1"/>
  <c r="G19" i="9"/>
  <c r="A1" i="18"/>
  <c r="R14" i="4" l="1"/>
  <c r="Q19" i="4"/>
  <c r="Q20" i="4"/>
  <c r="Q29" i="4" s="1"/>
  <c r="B215" i="25"/>
  <c r="D215" i="25" s="1"/>
  <c r="F215" i="25" s="1"/>
  <c r="G214" i="25"/>
  <c r="N19" i="4"/>
  <c r="G32" i="1"/>
  <c r="G65" i="1" s="1"/>
  <c r="V14" i="22"/>
  <c r="W11" i="22" s="1"/>
  <c r="V13" i="22"/>
  <c r="H13" i="9"/>
  <c r="C17" i="9"/>
  <c r="F17" i="9" l="1"/>
  <c r="G17" i="9" s="1"/>
  <c r="H17" i="9" s="1"/>
  <c r="S14" i="4"/>
  <c r="S19" i="4" s="1"/>
  <c r="R19" i="4"/>
  <c r="R20" i="4"/>
  <c r="R29" i="4" s="1"/>
  <c r="B216" i="25"/>
  <c r="D216" i="25" s="1"/>
  <c r="F216" i="25" s="1"/>
  <c r="G215" i="25"/>
  <c r="W13" i="22"/>
  <c r="W14" i="22"/>
  <c r="X11" i="22" s="1"/>
  <c r="A1" i="1"/>
  <c r="A1" i="5" l="1"/>
  <c r="A1" i="6" s="1"/>
  <c r="A1" i="26"/>
  <c r="S20" i="4"/>
  <c r="B217" i="25"/>
  <c r="D217" i="25" s="1"/>
  <c r="F217" i="25" s="1"/>
  <c r="G216" i="25"/>
  <c r="X14" i="22"/>
  <c r="Y11" i="22" s="1"/>
  <c r="X13" i="22"/>
  <c r="X15" i="22" s="1"/>
  <c r="S29" i="4" l="1"/>
  <c r="B218" i="25"/>
  <c r="D218" i="25" s="1"/>
  <c r="F218" i="25" s="1"/>
  <c r="G217" i="25"/>
  <c r="Y13" i="22"/>
  <c r="Y14" i="22"/>
  <c r="Z11" i="22" s="1"/>
  <c r="B33" i="5"/>
  <c r="B24" i="5"/>
  <c r="C22" i="5" l="1"/>
  <c r="B23" i="2"/>
  <c r="B219" i="25"/>
  <c r="D219" i="25" s="1"/>
  <c r="F219" i="25" s="1"/>
  <c r="G218" i="25"/>
  <c r="B34" i="2"/>
  <c r="Z14" i="22"/>
  <c r="AA11" i="22" s="1"/>
  <c r="Z13" i="22"/>
  <c r="A1" i="4"/>
  <c r="A2" i="5" s="1"/>
  <c r="B220" i="25" l="1"/>
  <c r="D220" i="25" s="1"/>
  <c r="F220" i="25" s="1"/>
  <c r="G219" i="25"/>
  <c r="AA13" i="22"/>
  <c r="AA14" i="22"/>
  <c r="AB11" i="22" s="1"/>
  <c r="B21" i="2"/>
  <c r="B25" i="2" s="1"/>
  <c r="B221" i="25" l="1"/>
  <c r="D221" i="25" s="1"/>
  <c r="F221" i="25" s="1"/>
  <c r="G220" i="25"/>
  <c r="B26" i="2"/>
  <c r="B28" i="2" s="1"/>
  <c r="AB14" i="22"/>
  <c r="AC11" i="22" s="1"/>
  <c r="AB13" i="22"/>
  <c r="AB15" i="22" s="1"/>
  <c r="B30" i="2"/>
  <c r="B222" i="25" l="1"/>
  <c r="D222" i="25" s="1"/>
  <c r="F222" i="25" s="1"/>
  <c r="G221" i="25"/>
  <c r="AC13" i="22"/>
  <c r="AC14" i="22"/>
  <c r="AD11" i="22" s="1"/>
  <c r="C30" i="2"/>
  <c r="A68" i="1"/>
  <c r="B223" i="25" l="1"/>
  <c r="D223" i="25" s="1"/>
  <c r="F223" i="25" s="1"/>
  <c r="G222" i="25"/>
  <c r="AD14" i="22"/>
  <c r="AE11" i="22" s="1"/>
  <c r="AD13" i="22"/>
  <c r="C29" i="5"/>
  <c r="C32" i="5"/>
  <c r="G31" i="5"/>
  <c r="F31" i="5"/>
  <c r="E31" i="5"/>
  <c r="D31" i="5"/>
  <c r="J31" i="5"/>
  <c r="I31" i="5"/>
  <c r="H31" i="5"/>
  <c r="G223" i="25" l="1"/>
  <c r="H223" i="25" s="1"/>
  <c r="P236" i="25" s="1"/>
  <c r="S37" i="26" s="1"/>
  <c r="O106" i="24" s="1"/>
  <c r="B226" i="25"/>
  <c r="D226" i="25" s="1"/>
  <c r="F226" i="25" s="1"/>
  <c r="AE13" i="22"/>
  <c r="AE14" i="22"/>
  <c r="AF11" i="22" s="1"/>
  <c r="C33" i="5"/>
  <c r="O115" i="24" l="1"/>
  <c r="O109" i="24"/>
  <c r="S38" i="26"/>
  <c r="S39" i="26" s="1"/>
  <c r="S40" i="26" s="1"/>
  <c r="P242" i="25"/>
  <c r="R39" i="4"/>
  <c r="G226" i="25"/>
  <c r="B227" i="25"/>
  <c r="D227" i="25" s="1"/>
  <c r="F227" i="25" s="1"/>
  <c r="AF14" i="22"/>
  <c r="AG11" i="22" s="1"/>
  <c r="AF13" i="22"/>
  <c r="AF15" i="22" s="1"/>
  <c r="O111" i="24" l="1"/>
  <c r="O112" i="24" s="1"/>
  <c r="O113" i="24" s="1"/>
  <c r="O114" i="24" s="1"/>
  <c r="O117" i="24" s="1"/>
  <c r="S41" i="26"/>
  <c r="P93" i="21"/>
  <c r="O41" i="24"/>
  <c r="O67" i="24" s="1"/>
  <c r="O81" i="24" s="1"/>
  <c r="O92" i="24" s="1"/>
  <c r="O30" i="24"/>
  <c r="Q32" i="5"/>
  <c r="P97" i="21"/>
  <c r="P98" i="21" s="1"/>
  <c r="Q29" i="5"/>
  <c r="G227" i="25"/>
  <c r="B228" i="25"/>
  <c r="D228" i="25" s="1"/>
  <c r="F228" i="25" s="1"/>
  <c r="AG13" i="22"/>
  <c r="AG14" i="22"/>
  <c r="AH11" i="22" s="1"/>
  <c r="G228" i="25" l="1"/>
  <c r="B229" i="25"/>
  <c r="D229" i="25" s="1"/>
  <c r="F229" i="25" s="1"/>
  <c r="AH14" i="22"/>
  <c r="AI11" i="22" s="1"/>
  <c r="AH13" i="22"/>
  <c r="G229" i="25" l="1"/>
  <c r="B230" i="25"/>
  <c r="D230" i="25" s="1"/>
  <c r="F230" i="25" s="1"/>
  <c r="AI13" i="22"/>
  <c r="AI15" i="22" s="1"/>
  <c r="AI14" i="22"/>
  <c r="G230" i="25" l="1"/>
  <c r="B231" i="25"/>
  <c r="D231" i="25" s="1"/>
  <c r="F231" i="25" s="1"/>
  <c r="G231" i="25" l="1"/>
  <c r="B232" i="25"/>
  <c r="D232" i="25" s="1"/>
  <c r="F232" i="25" s="1"/>
  <c r="G232" i="25" s="1"/>
  <c r="H232" i="25" l="1"/>
  <c r="Q236" i="25" s="1"/>
  <c r="B10" i="2"/>
  <c r="B7" i="5"/>
  <c r="B14" i="5" s="1"/>
  <c r="Q242" i="25" l="1"/>
  <c r="T37" i="26"/>
  <c r="P106" i="24" s="1"/>
  <c r="S39" i="4"/>
  <c r="Q93" i="21" s="1"/>
  <c r="B12" i="2"/>
  <c r="B35" i="2" s="1"/>
  <c r="B36" i="2" s="1"/>
  <c r="C7" i="2"/>
  <c r="C10" i="2" s="1"/>
  <c r="E28" i="1"/>
  <c r="E20" i="1"/>
  <c r="E25" i="1" s="1"/>
  <c r="E32" i="1" s="1"/>
  <c r="P115" i="24" l="1"/>
  <c r="Q115" i="24" s="1"/>
  <c r="P109" i="24"/>
  <c r="U37" i="26"/>
  <c r="T38" i="26"/>
  <c r="U38" i="26" s="1"/>
  <c r="R32" i="5"/>
  <c r="P41" i="24"/>
  <c r="P67" i="24" s="1"/>
  <c r="P81" i="24" s="1"/>
  <c r="P92" i="24" s="1"/>
  <c r="P30" i="24"/>
  <c r="Q97" i="21"/>
  <c r="Q98" i="21" s="1"/>
  <c r="R29" i="5"/>
  <c r="B16" i="2"/>
  <c r="B31" i="2"/>
  <c r="B32" i="2" s="1"/>
  <c r="C12" i="2"/>
  <c r="D7" i="2"/>
  <c r="C27" i="5"/>
  <c r="E29" i="1"/>
  <c r="E65" i="1" s="1"/>
  <c r="Q109" i="24" l="1"/>
  <c r="P111" i="24"/>
  <c r="Q111" i="24" s="1"/>
  <c r="T39" i="26"/>
  <c r="T40" i="26" s="1"/>
  <c r="U39" i="26"/>
  <c r="G31" i="4"/>
  <c r="P112" i="24" l="1"/>
  <c r="P113" i="24" s="1"/>
  <c r="P114" i="24" s="1"/>
  <c r="T41" i="26"/>
  <c r="U41" i="26" s="1"/>
  <c r="C15" i="2"/>
  <c r="C16" i="2" s="1"/>
  <c r="H31" i="4"/>
  <c r="P117" i="24" l="1"/>
  <c r="Q114" i="24"/>
  <c r="D118" i="24" s="1"/>
  <c r="Q113" i="24"/>
  <c r="D34" i="2"/>
  <c r="C13" i="5"/>
  <c r="C14" i="5" s="1"/>
  <c r="C27" i="2"/>
  <c r="I31" i="4"/>
  <c r="D30" i="2"/>
  <c r="E34" i="2" l="1"/>
  <c r="C26" i="5"/>
  <c r="C30" i="5" s="1"/>
  <c r="E30" i="2"/>
  <c r="J31" i="4"/>
  <c r="C33" i="19" l="1"/>
  <c r="C36" i="19" s="1"/>
  <c r="D33" i="5"/>
  <c r="E98" i="21"/>
  <c r="K31" i="4"/>
  <c r="C35" i="2" l="1"/>
  <c r="C36" i="2" s="1"/>
  <c r="C31" i="2"/>
  <c r="C32" i="2" s="1"/>
  <c r="E33" i="5"/>
  <c r="F98" i="21"/>
  <c r="L31" i="4"/>
  <c r="F41" i="24" l="1"/>
  <c r="F34" i="2"/>
  <c r="M31" i="4"/>
  <c r="F30" i="2"/>
  <c r="F67" i="24" l="1"/>
  <c r="N31" i="4"/>
  <c r="O31" i="4" s="1"/>
  <c r="P31" i="4" s="1"/>
  <c r="Q31" i="4" s="1"/>
  <c r="R31" i="4" s="1"/>
  <c r="S31" i="4" s="1"/>
  <c r="F81" i="24" l="1"/>
  <c r="F92" i="24" s="1"/>
  <c r="G41" i="24"/>
  <c r="G34" i="2"/>
  <c r="G30" i="2"/>
  <c r="G67" i="24" l="1"/>
  <c r="H41" i="24"/>
  <c r="H67" i="24" s="1"/>
  <c r="H81" i="24" s="1"/>
  <c r="H34" i="2"/>
  <c r="H30" i="2"/>
  <c r="G81" i="24" l="1"/>
  <c r="G92" i="24" s="1"/>
  <c r="I34" i="2"/>
  <c r="I30" i="2"/>
  <c r="K31" i="5"/>
  <c r="H92" i="24" l="1"/>
  <c r="I41" i="24"/>
  <c r="I67" i="24" s="1"/>
  <c r="J41" i="24"/>
  <c r="J67" i="24" s="1"/>
  <c r="J81" i="24" s="1"/>
  <c r="I81" i="24" l="1"/>
  <c r="I92" i="24" s="1"/>
  <c r="J34" i="2"/>
  <c r="J30" i="2"/>
  <c r="J92" i="24" l="1"/>
  <c r="K41" i="24"/>
  <c r="Q41" i="24" s="1"/>
  <c r="K67" i="24" l="1"/>
  <c r="K34" i="2"/>
  <c r="K81" i="24" l="1"/>
  <c r="K92" i="24" s="1"/>
  <c r="Q92" i="24" s="1"/>
  <c r="Q67" i="24"/>
  <c r="G46" i="18" l="1"/>
  <c r="C15" i="9"/>
  <c r="F15" i="9" l="1"/>
  <c r="C21" i="9"/>
  <c r="K15" i="9"/>
  <c r="K16" i="9" s="1"/>
  <c r="F21" i="9"/>
  <c r="D30" i="9" l="1"/>
  <c r="C37" i="9"/>
  <c r="G15" i="9"/>
  <c r="D10" i="19"/>
  <c r="C22" i="19"/>
  <c r="C24" i="19" s="1"/>
  <c r="C26" i="19" s="1"/>
  <c r="H15" i="9" l="1"/>
  <c r="G21" i="9"/>
  <c r="B33" i="19"/>
  <c r="B36" i="19" s="1"/>
  <c r="B37" i="19" s="1"/>
  <c r="B38" i="19" s="1"/>
  <c r="B21" i="5" l="1"/>
  <c r="B24" i="2"/>
  <c r="D27" i="5"/>
  <c r="C21" i="5"/>
  <c r="D30" i="5" l="1"/>
  <c r="C23" i="5"/>
  <c r="C24" i="5" s="1"/>
  <c r="G66" i="1"/>
  <c r="E27" i="5"/>
  <c r="D21" i="19"/>
  <c r="D31" i="24"/>
  <c r="D22" i="5" l="1"/>
  <c r="C23" i="2"/>
  <c r="E30" i="5"/>
  <c r="E21" i="19"/>
  <c r="E31" i="24"/>
  <c r="F27" i="5"/>
  <c r="C26" i="2" l="1"/>
  <c r="C28" i="2" s="1"/>
  <c r="C24" i="2"/>
  <c r="F21" i="19"/>
  <c r="F31" i="24"/>
  <c r="D82" i="24"/>
  <c r="G21" i="19" l="1"/>
  <c r="G31" i="24"/>
  <c r="E82" i="24"/>
  <c r="F82" i="24" l="1"/>
  <c r="H21" i="19"/>
  <c r="H31" i="24"/>
  <c r="G82" i="24" l="1"/>
  <c r="H82" i="24" l="1"/>
  <c r="I31" i="24"/>
  <c r="I21" i="19"/>
  <c r="J21" i="19" l="1"/>
  <c r="J31" i="24"/>
  <c r="I82" i="24" l="1"/>
  <c r="J82" i="24" l="1"/>
  <c r="K21" i="19"/>
  <c r="K31" i="24"/>
  <c r="K82" i="24" l="1"/>
  <c r="R9" i="4" l="1"/>
  <c r="R18" i="4" s="1"/>
  <c r="R27" i="4" s="1"/>
  <c r="Q9" i="4"/>
  <c r="Q18" i="4" s="1"/>
  <c r="Q27" i="4" s="1"/>
  <c r="P9" i="4"/>
  <c r="P18" i="4" s="1"/>
  <c r="P27" i="4" s="1"/>
  <c r="S9" i="4"/>
  <c r="S18" i="4" s="1"/>
  <c r="S27" i="4" s="1"/>
  <c r="O9" i="4"/>
  <c r="O18" i="4" s="1"/>
  <c r="O27" i="4" s="1"/>
  <c r="I9" i="4"/>
  <c r="H9" i="4"/>
  <c r="H18" i="4" s="1"/>
  <c r="J9" i="4"/>
  <c r="K9" i="4"/>
  <c r="M9" i="4"/>
  <c r="L9" i="4"/>
  <c r="N9" i="4"/>
  <c r="N18" i="4" s="1"/>
  <c r="H27" i="4" l="1"/>
  <c r="N23" i="4"/>
  <c r="M21" i="2" s="1"/>
  <c r="N27" i="4"/>
  <c r="S23" i="4"/>
  <c r="P25" i="24"/>
  <c r="P23" i="4"/>
  <c r="M25" i="24"/>
  <c r="Q23" i="4"/>
  <c r="N25" i="24"/>
  <c r="O23" i="4"/>
  <c r="L25" i="24"/>
  <c r="R23" i="4"/>
  <c r="O25" i="24"/>
  <c r="H23" i="4"/>
  <c r="L18" i="4"/>
  <c r="M18" i="4"/>
  <c r="K25" i="24"/>
  <c r="K18" i="4"/>
  <c r="J18" i="4"/>
  <c r="I18" i="4"/>
  <c r="E25" i="24"/>
  <c r="K23" i="4" l="1"/>
  <c r="K27" i="4"/>
  <c r="L23" i="4"/>
  <c r="J6" i="21" s="1"/>
  <c r="J13" i="21" s="1"/>
  <c r="L27" i="4"/>
  <c r="K22" i="2" s="1"/>
  <c r="O51" i="24"/>
  <c r="O76" i="24" s="1"/>
  <c r="R34" i="4"/>
  <c r="R28" i="4"/>
  <c r="N51" i="24"/>
  <c r="N76" i="24" s="1"/>
  <c r="Q34" i="4"/>
  <c r="Q28" i="4"/>
  <c r="P4" i="24"/>
  <c r="S34" i="4"/>
  <c r="S28" i="4"/>
  <c r="R22" i="2"/>
  <c r="J23" i="4"/>
  <c r="J27" i="4"/>
  <c r="I22" i="2" s="1"/>
  <c r="I23" i="4"/>
  <c r="H21" i="2" s="1"/>
  <c r="I27" i="4"/>
  <c r="H22" i="2" s="1"/>
  <c r="M23" i="4"/>
  <c r="M27" i="4"/>
  <c r="L22" i="2" s="1"/>
  <c r="H34" i="4"/>
  <c r="H28" i="4"/>
  <c r="O34" i="4"/>
  <c r="O28" i="4"/>
  <c r="P34" i="4"/>
  <c r="P28" i="4"/>
  <c r="K4" i="24"/>
  <c r="N34" i="4"/>
  <c r="N28" i="4"/>
  <c r="Q22" i="2"/>
  <c r="N22" i="2"/>
  <c r="G22" i="2"/>
  <c r="M22" i="2"/>
  <c r="M25" i="2" s="1"/>
  <c r="P22" i="2"/>
  <c r="F6" i="21"/>
  <c r="F13" i="21" s="1"/>
  <c r="O22" i="2"/>
  <c r="P51" i="24"/>
  <c r="P76" i="24" s="1"/>
  <c r="O4" i="24"/>
  <c r="L51" i="24"/>
  <c r="L76" i="24" s="1"/>
  <c r="M51" i="24"/>
  <c r="M76" i="24" s="1"/>
  <c r="N4" i="24"/>
  <c r="E51" i="24"/>
  <c r="E76" i="24" s="1"/>
  <c r="L4" i="24"/>
  <c r="M4" i="24"/>
  <c r="G21" i="2"/>
  <c r="E4" i="24"/>
  <c r="D25" i="24"/>
  <c r="G23" i="4"/>
  <c r="E6" i="21" s="1"/>
  <c r="E13" i="21" s="1"/>
  <c r="I25" i="24"/>
  <c r="M6" i="21"/>
  <c r="M13" i="21" s="1"/>
  <c r="N21" i="2"/>
  <c r="N6" i="21"/>
  <c r="N13" i="21" s="1"/>
  <c r="O21" i="2"/>
  <c r="F22" i="2"/>
  <c r="P6" i="21"/>
  <c r="P13" i="21" s="1"/>
  <c r="Q21" i="2"/>
  <c r="Q25" i="2" s="1"/>
  <c r="O6" i="21"/>
  <c r="O13" i="21" s="1"/>
  <c r="P21" i="2"/>
  <c r="P25" i="2" s="1"/>
  <c r="Q6" i="21"/>
  <c r="Q13" i="21" s="1"/>
  <c r="R21" i="2"/>
  <c r="E25" i="2"/>
  <c r="F25" i="24"/>
  <c r="G25" i="24"/>
  <c r="J25" i="24"/>
  <c r="J22" i="2"/>
  <c r="H25" i="24"/>
  <c r="J21" i="2"/>
  <c r="D25" i="2"/>
  <c r="L6" i="21"/>
  <c r="L13" i="21" s="1"/>
  <c r="K51" i="24"/>
  <c r="R25" i="2" l="1"/>
  <c r="I51" i="24"/>
  <c r="K21" i="2"/>
  <c r="I4" i="24"/>
  <c r="L34" i="4"/>
  <c r="L28" i="4"/>
  <c r="G4" i="24"/>
  <c r="J34" i="4"/>
  <c r="J28" i="4"/>
  <c r="F4" i="24"/>
  <c r="I34" i="4"/>
  <c r="I28" i="4"/>
  <c r="J4" i="24"/>
  <c r="M34" i="4"/>
  <c r="M28" i="4"/>
  <c r="L21" i="2"/>
  <c r="L25" i="2" s="1"/>
  <c r="I21" i="2"/>
  <c r="I25" i="2" s="1"/>
  <c r="G34" i="4"/>
  <c r="G28" i="4"/>
  <c r="G32" i="4"/>
  <c r="G33" i="4"/>
  <c r="H33" i="4" s="1"/>
  <c r="I33" i="4" s="1"/>
  <c r="J33" i="4" s="1"/>
  <c r="K33" i="4" s="1"/>
  <c r="L33" i="4" s="1"/>
  <c r="M33" i="4" s="1"/>
  <c r="N33" i="4" s="1"/>
  <c r="O33" i="4" s="1"/>
  <c r="P33" i="4" s="1"/>
  <c r="Q33" i="4" s="1"/>
  <c r="R33" i="4" s="1"/>
  <c r="S33" i="4" s="1"/>
  <c r="H4" i="24"/>
  <c r="K34" i="4"/>
  <c r="K28" i="4"/>
  <c r="N25" i="2"/>
  <c r="N21" i="5" s="1"/>
  <c r="O25" i="2"/>
  <c r="P21" i="5" s="1"/>
  <c r="F21" i="2"/>
  <c r="F25" i="2" s="1"/>
  <c r="N14" i="21"/>
  <c r="M14" i="21"/>
  <c r="D4" i="24"/>
  <c r="I76" i="24"/>
  <c r="K25" i="2"/>
  <c r="R21" i="5"/>
  <c r="D18" i="5"/>
  <c r="D21" i="5" s="1"/>
  <c r="D51" i="24"/>
  <c r="P14" i="21"/>
  <c r="O14" i="21"/>
  <c r="Q14" i="21"/>
  <c r="E18" i="5"/>
  <c r="E21" i="5" s="1"/>
  <c r="Q21" i="5"/>
  <c r="F14" i="21"/>
  <c r="J25" i="2"/>
  <c r="H25" i="2"/>
  <c r="H6" i="21"/>
  <c r="H13" i="21" s="1"/>
  <c r="G51" i="24"/>
  <c r="I6" i="21"/>
  <c r="I13" i="21" s="1"/>
  <c r="H51" i="24"/>
  <c r="K6" i="21"/>
  <c r="K13" i="21" s="1"/>
  <c r="K14" i="21" s="1"/>
  <c r="J51" i="24"/>
  <c r="K76" i="24"/>
  <c r="G25" i="2"/>
  <c r="G6" i="21"/>
  <c r="G13" i="21" s="1"/>
  <c r="G14" i="21" s="1"/>
  <c r="F51" i="24"/>
  <c r="G40" i="4" l="1"/>
  <c r="F15" i="2" s="1"/>
  <c r="D29" i="24"/>
  <c r="D55" i="24" s="1"/>
  <c r="D80" i="24" s="1"/>
  <c r="O21" i="5"/>
  <c r="M21" i="5"/>
  <c r="H32" i="4"/>
  <c r="E11" i="24" s="1"/>
  <c r="D11" i="24"/>
  <c r="D7" i="24"/>
  <c r="D8" i="24" s="1"/>
  <c r="D12" i="24" s="1"/>
  <c r="L21" i="5"/>
  <c r="D28" i="24"/>
  <c r="D33" i="24" s="1"/>
  <c r="D37" i="24" s="1"/>
  <c r="D76" i="24"/>
  <c r="E29" i="24"/>
  <c r="E55" i="24" s="1"/>
  <c r="E80" i="24" s="1"/>
  <c r="J21" i="5"/>
  <c r="F21" i="5"/>
  <c r="G21" i="5"/>
  <c r="K21" i="5"/>
  <c r="H21" i="5"/>
  <c r="I21" i="5"/>
  <c r="L14" i="21"/>
  <c r="J76" i="24"/>
  <c r="H76" i="24"/>
  <c r="H14" i="21"/>
  <c r="F76" i="24"/>
  <c r="I14" i="21"/>
  <c r="J14" i="21"/>
  <c r="G76" i="24"/>
  <c r="I32" i="4" l="1"/>
  <c r="I40" i="4" s="1"/>
  <c r="E7" i="24"/>
  <c r="E8" i="24" s="1"/>
  <c r="E12" i="24" s="1"/>
  <c r="E13" i="24" s="1"/>
  <c r="E14" i="24" s="1"/>
  <c r="H40" i="4"/>
  <c r="G15" i="2" s="1"/>
  <c r="G13" i="5" s="1"/>
  <c r="E28" i="24"/>
  <c r="E54" i="24" s="1"/>
  <c r="E59" i="24" s="1"/>
  <c r="E63" i="24" s="1"/>
  <c r="G41" i="4"/>
  <c r="D13" i="24"/>
  <c r="D14" i="24" s="1"/>
  <c r="D79" i="24"/>
  <c r="D84" i="24" s="1"/>
  <c r="D88" i="24" s="1"/>
  <c r="D89" i="24" s="1"/>
  <c r="D90" i="24" s="1"/>
  <c r="D91" i="24" s="1"/>
  <c r="D54" i="24"/>
  <c r="D59" i="24" s="1"/>
  <c r="D63" i="24" s="1"/>
  <c r="D65" i="24" s="1"/>
  <c r="D66" i="24" s="1"/>
  <c r="D69" i="24" s="1"/>
  <c r="D9" i="24"/>
  <c r="F29" i="24"/>
  <c r="F55" i="24" s="1"/>
  <c r="F80" i="24" s="1"/>
  <c r="F7" i="24"/>
  <c r="F8" i="24" s="1"/>
  <c r="F28" i="24"/>
  <c r="F11" i="24"/>
  <c r="D38" i="24"/>
  <c r="D39" i="24" s="1"/>
  <c r="D40" i="24" s="1"/>
  <c r="E19" i="21"/>
  <c r="D13" i="5"/>
  <c r="D14" i="5" s="1"/>
  <c r="D23" i="5" s="1"/>
  <c r="D27" i="2"/>
  <c r="J32" i="4"/>
  <c r="E9" i="21" l="1"/>
  <c r="D18" i="19" s="1"/>
  <c r="D20" i="19" s="1"/>
  <c r="E9" i="24"/>
  <c r="H41" i="4"/>
  <c r="H44" i="4" s="1"/>
  <c r="E33" i="24"/>
  <c r="E37" i="24" s="1"/>
  <c r="E79" i="24"/>
  <c r="E84" i="24" s="1"/>
  <c r="E88" i="24" s="1"/>
  <c r="E90" i="24" s="1"/>
  <c r="E91" i="24" s="1"/>
  <c r="G44" i="4"/>
  <c r="G43" i="4"/>
  <c r="E7" i="21"/>
  <c r="E8" i="21" s="1"/>
  <c r="E65" i="24"/>
  <c r="E66" i="24" s="1"/>
  <c r="E69" i="24" s="1"/>
  <c r="F54" i="24"/>
  <c r="F59" i="24" s="1"/>
  <c r="F63" i="24" s="1"/>
  <c r="F79" i="24"/>
  <c r="F84" i="24" s="1"/>
  <c r="F88" i="24" s="1"/>
  <c r="F33" i="24"/>
  <c r="F37" i="24" s="1"/>
  <c r="F38" i="24" s="1"/>
  <c r="F12" i="24"/>
  <c r="F13" i="24" s="1"/>
  <c r="F14" i="24" s="1"/>
  <c r="F9" i="24"/>
  <c r="D94" i="24"/>
  <c r="G29" i="24"/>
  <c r="G55" i="24" s="1"/>
  <c r="G80" i="24" s="1"/>
  <c r="G28" i="24"/>
  <c r="G7" i="24"/>
  <c r="G8" i="24" s="1"/>
  <c r="G11" i="24"/>
  <c r="I41" i="4"/>
  <c r="H15" i="2"/>
  <c r="H13" i="5" s="1"/>
  <c r="F33" i="5"/>
  <c r="G98" i="21"/>
  <c r="D24" i="5"/>
  <c r="F27" i="2"/>
  <c r="F39" i="2" s="1"/>
  <c r="F40" i="2" s="1"/>
  <c r="D23" i="19" s="1"/>
  <c r="K32" i="4"/>
  <c r="J40" i="4"/>
  <c r="I15" i="2" s="1"/>
  <c r="F7" i="21"/>
  <c r="F8" i="21" s="1"/>
  <c r="E27" i="2"/>
  <c r="E13" i="5"/>
  <c r="E14" i="5" s="1"/>
  <c r="E23" i="5" s="1"/>
  <c r="F13" i="5"/>
  <c r="E10" i="21" l="1"/>
  <c r="E39" i="24"/>
  <c r="F9" i="21"/>
  <c r="E18" i="19" s="1"/>
  <c r="E91" i="21"/>
  <c r="D24" i="19"/>
  <c r="D26" i="19" s="1"/>
  <c r="G9" i="21"/>
  <c r="F18" i="19" s="1"/>
  <c r="G7" i="21"/>
  <c r="G8" i="21" s="1"/>
  <c r="F90" i="24"/>
  <c r="F91" i="24" s="1"/>
  <c r="F94" i="24" s="1"/>
  <c r="I44" i="4"/>
  <c r="E94" i="24"/>
  <c r="I13" i="5"/>
  <c r="H29" i="24"/>
  <c r="H55" i="24" s="1"/>
  <c r="H80" i="24" s="1"/>
  <c r="H28" i="24"/>
  <c r="H7" i="24"/>
  <c r="H8" i="24" s="1"/>
  <c r="H11" i="24"/>
  <c r="G79" i="24"/>
  <c r="G84" i="24" s="1"/>
  <c r="G88" i="24" s="1"/>
  <c r="G90" i="24" s="1"/>
  <c r="G91" i="24" s="1"/>
  <c r="G54" i="24"/>
  <c r="G59" i="24" s="1"/>
  <c r="G63" i="24" s="1"/>
  <c r="G65" i="24" s="1"/>
  <c r="G66" i="24" s="1"/>
  <c r="G69" i="24" s="1"/>
  <c r="G33" i="24"/>
  <c r="G37" i="24" s="1"/>
  <c r="D43" i="24"/>
  <c r="G12" i="24"/>
  <c r="G13" i="24" s="1"/>
  <c r="G14" i="24" s="1"/>
  <c r="G9" i="24"/>
  <c r="F65" i="24"/>
  <c r="F66" i="24" s="1"/>
  <c r="E40" i="24"/>
  <c r="F26" i="5"/>
  <c r="F30" i="5" s="1"/>
  <c r="F34" i="5" s="1"/>
  <c r="F9" i="2"/>
  <c r="F38" i="2" s="1"/>
  <c r="H33" i="5"/>
  <c r="I98" i="21"/>
  <c r="G33" i="5"/>
  <c r="H98" i="21"/>
  <c r="E22" i="5"/>
  <c r="D23" i="2"/>
  <c r="H43" i="4"/>
  <c r="I43" i="4"/>
  <c r="J41" i="4"/>
  <c r="L32" i="4"/>
  <c r="K40" i="4"/>
  <c r="J15" i="2" s="1"/>
  <c r="J13" i="5" s="1"/>
  <c r="E11" i="21"/>
  <c r="E12" i="21" s="1"/>
  <c r="E19" i="19" l="1"/>
  <c r="E20" i="19"/>
  <c r="F19" i="19"/>
  <c r="F20" i="19" s="1"/>
  <c r="F10" i="21"/>
  <c r="G10" i="21"/>
  <c r="G91" i="21"/>
  <c r="G95" i="21" s="1"/>
  <c r="G99" i="21" s="1"/>
  <c r="G94" i="24"/>
  <c r="F69" i="24"/>
  <c r="I29" i="24"/>
  <c r="I55" i="24" s="1"/>
  <c r="I28" i="24"/>
  <c r="I7" i="24"/>
  <c r="I8" i="24" s="1"/>
  <c r="I11" i="24"/>
  <c r="H12" i="24"/>
  <c r="H13" i="24" s="1"/>
  <c r="H14" i="24" s="1"/>
  <c r="H9" i="24"/>
  <c r="H54" i="24"/>
  <c r="H59" i="24" s="1"/>
  <c r="H63" i="24" s="1"/>
  <c r="H79" i="24"/>
  <c r="H84" i="24" s="1"/>
  <c r="H88" i="24" s="1"/>
  <c r="H90" i="24" s="1"/>
  <c r="H91" i="24" s="1"/>
  <c r="H33" i="24"/>
  <c r="H37" i="24" s="1"/>
  <c r="G40" i="24"/>
  <c r="F40" i="24"/>
  <c r="E43" i="24"/>
  <c r="F8" i="5"/>
  <c r="F14" i="5" s="1"/>
  <c r="F23" i="5" s="1"/>
  <c r="F11" i="21"/>
  <c r="F12" i="21" s="1"/>
  <c r="F91" i="21"/>
  <c r="F95" i="21" s="1"/>
  <c r="F99" i="21" s="1"/>
  <c r="E24" i="5"/>
  <c r="F22" i="5" s="1"/>
  <c r="H26" i="5"/>
  <c r="H30" i="5" s="1"/>
  <c r="H34" i="5" s="1"/>
  <c r="H9" i="2"/>
  <c r="H38" i="2" s="1"/>
  <c r="G26" i="5"/>
  <c r="G30" i="5" s="1"/>
  <c r="G34" i="5" s="1"/>
  <c r="G9" i="2"/>
  <c r="G38" i="2" s="1"/>
  <c r="D24" i="2"/>
  <c r="D26" i="2"/>
  <c r="D28" i="2" s="1"/>
  <c r="G11" i="21"/>
  <c r="G12" i="21" s="1"/>
  <c r="E95" i="21"/>
  <c r="J44" i="4"/>
  <c r="H7" i="21"/>
  <c r="H8" i="21" s="1"/>
  <c r="H9" i="21"/>
  <c r="G18" i="19" s="1"/>
  <c r="D33" i="19"/>
  <c r="D36" i="19" s="1"/>
  <c r="G27" i="2"/>
  <c r="G39" i="2" s="1"/>
  <c r="G40" i="2" s="1"/>
  <c r="E23" i="19" s="1"/>
  <c r="K41" i="4"/>
  <c r="K42" i="4" s="1"/>
  <c r="D10" i="2"/>
  <c r="M32" i="4"/>
  <c r="L40" i="4"/>
  <c r="K15" i="2" s="1"/>
  <c r="K13" i="5" s="1"/>
  <c r="E24" i="19" l="1"/>
  <c r="E26" i="19" s="1"/>
  <c r="G19" i="19"/>
  <c r="G20" i="19" s="1"/>
  <c r="H64" i="24"/>
  <c r="H65" i="24" s="1"/>
  <c r="H66" i="24" s="1"/>
  <c r="H69" i="24" s="1"/>
  <c r="F24" i="5"/>
  <c r="G22" i="5" s="1"/>
  <c r="E33" i="19"/>
  <c r="E36" i="19" s="1"/>
  <c r="H94" i="24"/>
  <c r="F43" i="24"/>
  <c r="I12" i="24"/>
  <c r="I13" i="24" s="1"/>
  <c r="I14" i="24" s="1"/>
  <c r="I9" i="24"/>
  <c r="I79" i="24"/>
  <c r="I54" i="24"/>
  <c r="I59" i="24" s="1"/>
  <c r="I63" i="24" s="1"/>
  <c r="I33" i="24"/>
  <c r="I37" i="24" s="1"/>
  <c r="I38" i="24" s="1"/>
  <c r="J29" i="24"/>
  <c r="J55" i="24" s="1"/>
  <c r="J80" i="24" s="1"/>
  <c r="J28" i="24"/>
  <c r="J7" i="24"/>
  <c r="J8" i="24" s="1"/>
  <c r="J11" i="24"/>
  <c r="I80" i="24"/>
  <c r="H39" i="24"/>
  <c r="H40" i="24" s="1"/>
  <c r="G43" i="24"/>
  <c r="G8" i="5"/>
  <c r="G14" i="5" s="1"/>
  <c r="G23" i="5" s="1"/>
  <c r="H8" i="5"/>
  <c r="H14" i="5" s="1"/>
  <c r="E23" i="2"/>
  <c r="E26" i="2" s="1"/>
  <c r="E28" i="2" s="1"/>
  <c r="I33" i="5"/>
  <c r="J98" i="21"/>
  <c r="D12" i="2"/>
  <c r="D16" i="2" s="1"/>
  <c r="E7" i="2"/>
  <c r="E10" i="2" s="1"/>
  <c r="L41" i="4"/>
  <c r="L42" i="4" s="1"/>
  <c r="N32" i="4"/>
  <c r="M40" i="4"/>
  <c r="H10" i="21"/>
  <c r="K44" i="4"/>
  <c r="I7" i="21"/>
  <c r="I8" i="21" s="1"/>
  <c r="I9" i="21"/>
  <c r="H18" i="19" s="1"/>
  <c r="H27" i="2"/>
  <c r="J43" i="4"/>
  <c r="E99" i="21"/>
  <c r="H19" i="19" l="1"/>
  <c r="H20" i="19" s="1"/>
  <c r="I64" i="24"/>
  <c r="I65" i="24" s="1"/>
  <c r="I66" i="24" s="1"/>
  <c r="I69" i="24" s="1"/>
  <c r="E24" i="2"/>
  <c r="G24" i="5"/>
  <c r="H22" i="5" s="1"/>
  <c r="F23" i="2"/>
  <c r="F26" i="2" s="1"/>
  <c r="H91" i="21"/>
  <c r="H39" i="2"/>
  <c r="H40" i="2" s="1"/>
  <c r="F23" i="19" s="1"/>
  <c r="F24" i="19" s="1"/>
  <c r="F26" i="19" s="1"/>
  <c r="I84" i="24"/>
  <c r="I88" i="24" s="1"/>
  <c r="J54" i="24"/>
  <c r="J59" i="24" s="1"/>
  <c r="J63" i="24" s="1"/>
  <c r="J79" i="24"/>
  <c r="J84" i="24" s="1"/>
  <c r="J88" i="24" s="1"/>
  <c r="J33" i="24"/>
  <c r="J37" i="24" s="1"/>
  <c r="J38" i="24" s="1"/>
  <c r="O32" i="4"/>
  <c r="P32" i="4" s="1"/>
  <c r="K29" i="24"/>
  <c r="K55" i="24" s="1"/>
  <c r="K80" i="24" s="1"/>
  <c r="K7" i="24"/>
  <c r="K8" i="24" s="1"/>
  <c r="K28" i="24"/>
  <c r="K11" i="24"/>
  <c r="J12" i="24"/>
  <c r="J13" i="24" s="1"/>
  <c r="J14" i="24" s="1"/>
  <c r="J9" i="24"/>
  <c r="H43" i="24"/>
  <c r="I39" i="24"/>
  <c r="I40" i="24" s="1"/>
  <c r="L27" i="2"/>
  <c r="L13" i="5"/>
  <c r="J33" i="5"/>
  <c r="K98" i="21"/>
  <c r="I26" i="5"/>
  <c r="I30" i="5" s="1"/>
  <c r="I34" i="5" s="1"/>
  <c r="I9" i="2"/>
  <c r="I38" i="2" s="1"/>
  <c r="H23" i="5"/>
  <c r="D31" i="2"/>
  <c r="D35" i="2"/>
  <c r="D36" i="2" s="1"/>
  <c r="E12" i="2"/>
  <c r="E16" i="2" s="1"/>
  <c r="F7" i="2"/>
  <c r="F10" i="2" s="1"/>
  <c r="G7" i="2" s="1"/>
  <c r="K43" i="4"/>
  <c r="N40" i="4"/>
  <c r="M15" i="2" s="1"/>
  <c r="L44" i="4"/>
  <c r="J7" i="21"/>
  <c r="J8" i="21" s="1"/>
  <c r="J9" i="21"/>
  <c r="I18" i="19" s="1"/>
  <c r="H11" i="21"/>
  <c r="H12" i="21" s="1"/>
  <c r="I10" i="21"/>
  <c r="M41" i="4"/>
  <c r="I27" i="2"/>
  <c r="L39" i="2" l="1"/>
  <c r="K140" i="21"/>
  <c r="K133" i="21"/>
  <c r="K123" i="21"/>
  <c r="I19" i="19"/>
  <c r="I20" i="19" s="1"/>
  <c r="J89" i="24"/>
  <c r="J90" i="24" s="1"/>
  <c r="J91" i="24" s="1"/>
  <c r="J94" i="24" s="1"/>
  <c r="I89" i="24"/>
  <c r="I90" i="24" s="1"/>
  <c r="I91" i="24" s="1"/>
  <c r="I94" i="24" s="1"/>
  <c r="F24" i="2"/>
  <c r="G23" i="2"/>
  <c r="G26" i="2" s="1"/>
  <c r="G29" i="2" s="1"/>
  <c r="F28" i="2"/>
  <c r="F33" i="19"/>
  <c r="F36" i="19" s="1"/>
  <c r="I91" i="21"/>
  <c r="I95" i="21" s="1"/>
  <c r="I99" i="21" s="1"/>
  <c r="I39" i="2"/>
  <c r="I40" i="2" s="1"/>
  <c r="G23" i="19" s="1"/>
  <c r="G24" i="19" s="1"/>
  <c r="J39" i="24"/>
  <c r="J40" i="24" s="1"/>
  <c r="J43" i="24" s="1"/>
  <c r="O40" i="4"/>
  <c r="M29" i="24"/>
  <c r="M55" i="24" s="1"/>
  <c r="M28" i="24"/>
  <c r="M7" i="24"/>
  <c r="M8" i="24" s="1"/>
  <c r="M11" i="24"/>
  <c r="K79" i="24"/>
  <c r="K84" i="24" s="1"/>
  <c r="K88" i="24" s="1"/>
  <c r="K89" i="24" s="1"/>
  <c r="K90" i="24" s="1"/>
  <c r="K91" i="24" s="1"/>
  <c r="K54" i="24"/>
  <c r="K59" i="24" s="1"/>
  <c r="K63" i="24" s="1"/>
  <c r="K64" i="24" s="1"/>
  <c r="K65" i="24" s="1"/>
  <c r="K66" i="24" s="1"/>
  <c r="K69" i="24" s="1"/>
  <c r="K33" i="24"/>
  <c r="K37" i="24" s="1"/>
  <c r="K38" i="24" s="1"/>
  <c r="K12" i="24"/>
  <c r="K13" i="24" s="1"/>
  <c r="K14" i="24" s="1"/>
  <c r="K9" i="24"/>
  <c r="L29" i="24"/>
  <c r="L55" i="24" s="1"/>
  <c r="L80" i="24" s="1"/>
  <c r="L28" i="24"/>
  <c r="L7" i="24"/>
  <c r="L8" i="24" s="1"/>
  <c r="L11" i="24"/>
  <c r="I43" i="24"/>
  <c r="I8" i="5"/>
  <c r="I14" i="5" s="1"/>
  <c r="I23" i="5" s="1"/>
  <c r="E35" i="2"/>
  <c r="E36" i="2" s="1"/>
  <c r="E31" i="2"/>
  <c r="E32" i="2" s="1"/>
  <c r="H24" i="5"/>
  <c r="H23" i="2" s="1"/>
  <c r="K33" i="5"/>
  <c r="L98" i="21"/>
  <c r="R98" i="21" s="1"/>
  <c r="J26" i="5"/>
  <c r="J30" i="5" s="1"/>
  <c r="J34" i="5" s="1"/>
  <c r="J9" i="2"/>
  <c r="J38" i="2" s="1"/>
  <c r="M27" i="2"/>
  <c r="M39" i="2" s="1"/>
  <c r="M40" i="2" s="1"/>
  <c r="K23" i="19" s="1"/>
  <c r="M13" i="5"/>
  <c r="Q32" i="4"/>
  <c r="P40" i="4"/>
  <c r="P41" i="4" s="1"/>
  <c r="F12" i="2"/>
  <c r="F16" i="2" s="1"/>
  <c r="G10" i="2"/>
  <c r="H7" i="2" s="1"/>
  <c r="I11" i="21"/>
  <c r="I12" i="21" s="1"/>
  <c r="L43" i="4"/>
  <c r="M44" i="4"/>
  <c r="K7" i="21"/>
  <c r="K8" i="21" s="1"/>
  <c r="M42" i="4"/>
  <c r="L33" i="5" s="1"/>
  <c r="K9" i="21"/>
  <c r="J18" i="19" s="1"/>
  <c r="J64" i="24"/>
  <c r="J65" i="24" s="1"/>
  <c r="J66" i="24" s="1"/>
  <c r="J27" i="2"/>
  <c r="J39" i="2" s="1"/>
  <c r="N41" i="4"/>
  <c r="H95" i="21"/>
  <c r="J10" i="21"/>
  <c r="G33" i="19" l="1"/>
  <c r="G36" i="19" s="1"/>
  <c r="G26" i="19"/>
  <c r="J19" i="19"/>
  <c r="J20" i="19" s="1"/>
  <c r="G24" i="2"/>
  <c r="J91" i="21"/>
  <c r="J95" i="21" s="1"/>
  <c r="J99" i="21" s="1"/>
  <c r="N15" i="2"/>
  <c r="N13" i="5" s="1"/>
  <c r="O41" i="4"/>
  <c r="O44" i="4" s="1"/>
  <c r="I22" i="5"/>
  <c r="I24" i="5" s="1"/>
  <c r="J22" i="5" s="1"/>
  <c r="K94" i="24"/>
  <c r="L54" i="24"/>
  <c r="L59" i="24" s="1"/>
  <c r="L63" i="24" s="1"/>
  <c r="L79" i="24"/>
  <c r="L84" i="24" s="1"/>
  <c r="L88" i="24" s="1"/>
  <c r="L33" i="24"/>
  <c r="L37" i="24" s="1"/>
  <c r="L38" i="24" s="1"/>
  <c r="M12" i="24"/>
  <c r="M13" i="24" s="1"/>
  <c r="M14" i="24" s="1"/>
  <c r="M9" i="24"/>
  <c r="N29" i="24"/>
  <c r="N55" i="24" s="1"/>
  <c r="N28" i="24"/>
  <c r="N7" i="24"/>
  <c r="N8" i="24" s="1"/>
  <c r="N11" i="24"/>
  <c r="M79" i="24"/>
  <c r="M54" i="24"/>
  <c r="M59" i="24" s="1"/>
  <c r="M63" i="24" s="1"/>
  <c r="M33" i="24"/>
  <c r="M37" i="24" s="1"/>
  <c r="M38" i="24" s="1"/>
  <c r="L12" i="24"/>
  <c r="L13" i="24" s="1"/>
  <c r="L14" i="24" s="1"/>
  <c r="L9" i="24"/>
  <c r="M80" i="24"/>
  <c r="J69" i="24"/>
  <c r="K39" i="24"/>
  <c r="K40" i="24" s="1"/>
  <c r="J40" i="2"/>
  <c r="H23" i="19" s="1"/>
  <c r="H24" i="19" s="1"/>
  <c r="J8" i="5"/>
  <c r="J14" i="5" s="1"/>
  <c r="J23" i="5" s="1"/>
  <c r="J11" i="21"/>
  <c r="J12" i="21" s="1"/>
  <c r="K26" i="5"/>
  <c r="K30" i="5" s="1"/>
  <c r="K34" i="5" s="1"/>
  <c r="K9" i="2"/>
  <c r="K38" i="2" s="1"/>
  <c r="O15" i="2"/>
  <c r="F31" i="2"/>
  <c r="F32" i="2" s="1"/>
  <c r="R32" i="4"/>
  <c r="Q40" i="4"/>
  <c r="Q41" i="4" s="1"/>
  <c r="F35" i="2"/>
  <c r="F36" i="2" s="1"/>
  <c r="G28" i="2"/>
  <c r="H24" i="2"/>
  <c r="H26" i="2"/>
  <c r="H29" i="2" s="1"/>
  <c r="H99" i="21"/>
  <c r="G12" i="2"/>
  <c r="H10" i="2"/>
  <c r="I7" i="2" s="1"/>
  <c r="M43" i="4"/>
  <c r="K10" i="21"/>
  <c r="K27" i="2"/>
  <c r="N44" i="4"/>
  <c r="L7" i="21"/>
  <c r="L8" i="21" s="1"/>
  <c r="N42" i="4"/>
  <c r="M33" i="5" s="1"/>
  <c r="L9" i="21"/>
  <c r="K18" i="19" s="1"/>
  <c r="H33" i="19" l="1"/>
  <c r="H36" i="19" s="1"/>
  <c r="H26" i="19"/>
  <c r="K19" i="19"/>
  <c r="K20" i="19" s="1"/>
  <c r="N27" i="2"/>
  <c r="N39" i="2" s="1"/>
  <c r="N40" i="2" s="1"/>
  <c r="L23" i="19" s="1"/>
  <c r="O42" i="4"/>
  <c r="O43" i="4" s="1"/>
  <c r="M7" i="21"/>
  <c r="M8" i="21" s="1"/>
  <c r="M9" i="21"/>
  <c r="L18" i="19" s="1"/>
  <c r="K39" i="2"/>
  <c r="L40" i="2" s="1"/>
  <c r="J23" i="19" s="1"/>
  <c r="K91" i="21"/>
  <c r="K95" i="21" s="1"/>
  <c r="K99" i="21" s="1"/>
  <c r="M84" i="24"/>
  <c r="M88" i="24" s="1"/>
  <c r="M89" i="24" s="1"/>
  <c r="M90" i="24" s="1"/>
  <c r="M91" i="24" s="1"/>
  <c r="M94" i="24" s="1"/>
  <c r="O29" i="24"/>
  <c r="O55" i="24" s="1"/>
  <c r="O80" i="24" s="1"/>
  <c r="O7" i="24"/>
  <c r="O8" i="24" s="1"/>
  <c r="O28" i="24"/>
  <c r="O11" i="24"/>
  <c r="N79" i="24"/>
  <c r="N54" i="24"/>
  <c r="N59" i="24" s="1"/>
  <c r="N63" i="24" s="1"/>
  <c r="N33" i="24"/>
  <c r="N37" i="24" s="1"/>
  <c r="N80" i="24"/>
  <c r="L39" i="24"/>
  <c r="L40" i="24" s="1"/>
  <c r="L43" i="24" s="1"/>
  <c r="M39" i="24"/>
  <c r="M40" i="24" s="1"/>
  <c r="M43" i="24" s="1"/>
  <c r="L89" i="24"/>
  <c r="L90" i="24" s="1"/>
  <c r="L91" i="24" s="1"/>
  <c r="L94" i="24" s="1"/>
  <c r="M64" i="24"/>
  <c r="M65" i="24" s="1"/>
  <c r="M66" i="24" s="1"/>
  <c r="M69" i="24" s="1"/>
  <c r="N12" i="24"/>
  <c r="N13" i="24" s="1"/>
  <c r="N14" i="24" s="1"/>
  <c r="N9" i="24"/>
  <c r="L64" i="24"/>
  <c r="L65" i="24" s="1"/>
  <c r="L66" i="24" s="1"/>
  <c r="L69" i="24" s="1"/>
  <c r="K43" i="24"/>
  <c r="K11" i="21"/>
  <c r="K12" i="21" s="1"/>
  <c r="K8" i="5"/>
  <c r="K14" i="5" s="1"/>
  <c r="K23" i="5" s="1"/>
  <c r="N9" i="21"/>
  <c r="N7" i="21"/>
  <c r="N8" i="21" s="1"/>
  <c r="I23" i="2"/>
  <c r="I24" i="2" s="1"/>
  <c r="S32" i="4"/>
  <c r="R40" i="4"/>
  <c r="R41" i="4" s="1"/>
  <c r="P44" i="4"/>
  <c r="P42" i="4"/>
  <c r="P15" i="2"/>
  <c r="L26" i="5"/>
  <c r="L30" i="5" s="1"/>
  <c r="L34" i="5" s="1"/>
  <c r="L9" i="2"/>
  <c r="G31" i="2"/>
  <c r="G32" i="2" s="1"/>
  <c r="O27" i="2"/>
  <c r="O39" i="2" s="1"/>
  <c r="O13" i="5"/>
  <c r="G35" i="2"/>
  <c r="G36" i="2" s="1"/>
  <c r="N33" i="5"/>
  <c r="J24" i="5"/>
  <c r="K22" i="5" s="1"/>
  <c r="H28" i="2"/>
  <c r="H12" i="2"/>
  <c r="H16" i="2" s="1"/>
  <c r="I10" i="2"/>
  <c r="J7" i="2" s="1"/>
  <c r="N43" i="4"/>
  <c r="L10" i="21"/>
  <c r="L19" i="19" l="1"/>
  <c r="L20" i="19" s="1"/>
  <c r="L24" i="19" s="1"/>
  <c r="L26" i="19" s="1"/>
  <c r="O40" i="2"/>
  <c r="M23" i="19" s="1"/>
  <c r="J24" i="19"/>
  <c r="M10" i="21"/>
  <c r="L8" i="5"/>
  <c r="L14" i="5" s="1"/>
  <c r="L23" i="5" s="1"/>
  <c r="L38" i="2"/>
  <c r="N10" i="21"/>
  <c r="M18" i="19"/>
  <c r="K40" i="2"/>
  <c r="I23" i="19" s="1"/>
  <c r="I24" i="19" s="1"/>
  <c r="L91" i="21"/>
  <c r="L95" i="21" s="1"/>
  <c r="L99" i="21" s="1"/>
  <c r="K24" i="19"/>
  <c r="N84" i="24"/>
  <c r="N88" i="24" s="1"/>
  <c r="N89" i="24" s="1"/>
  <c r="N90" i="24" s="1"/>
  <c r="N91" i="24" s="1"/>
  <c r="N94" i="24" s="1"/>
  <c r="S40" i="4"/>
  <c r="P29" i="24"/>
  <c r="P55" i="24" s="1"/>
  <c r="P80" i="24" s="1"/>
  <c r="P28" i="24"/>
  <c r="P7" i="24"/>
  <c r="P8" i="24" s="1"/>
  <c r="P11" i="24"/>
  <c r="O79" i="24"/>
  <c r="O84" i="24" s="1"/>
  <c r="O88" i="24" s="1"/>
  <c r="O54" i="24"/>
  <c r="O59" i="24" s="1"/>
  <c r="O63" i="24" s="1"/>
  <c r="O33" i="24"/>
  <c r="O37" i="24" s="1"/>
  <c r="N64" i="24"/>
  <c r="N65" i="24" s="1"/>
  <c r="N66" i="24" s="1"/>
  <c r="N69" i="24" s="1"/>
  <c r="O12" i="24"/>
  <c r="O13" i="24" s="1"/>
  <c r="O14" i="24" s="1"/>
  <c r="O9" i="24"/>
  <c r="N38" i="24"/>
  <c r="N39" i="24" s="1"/>
  <c r="N40" i="24" s="1"/>
  <c r="N43" i="24" s="1"/>
  <c r="I26" i="2"/>
  <c r="I29" i="2" s="1"/>
  <c r="M91" i="21"/>
  <c r="M95" i="21" s="1"/>
  <c r="M99" i="21" s="1"/>
  <c r="M11" i="21"/>
  <c r="M12" i="21" s="1"/>
  <c r="O9" i="21"/>
  <c r="O7" i="21"/>
  <c r="O8" i="21" s="1"/>
  <c r="L11" i="21"/>
  <c r="L12" i="21" s="1"/>
  <c r="M26" i="5"/>
  <c r="M30" i="5" s="1"/>
  <c r="M34" i="5" s="1"/>
  <c r="M9" i="2"/>
  <c r="N9" i="2"/>
  <c r="N26" i="5"/>
  <c r="N30" i="5" s="1"/>
  <c r="N34" i="5" s="1"/>
  <c r="Q42" i="4"/>
  <c r="Q44" i="4"/>
  <c r="Q15" i="2"/>
  <c r="P43" i="4"/>
  <c r="O33" i="5"/>
  <c r="P27" i="2"/>
  <c r="P39" i="2" s="1"/>
  <c r="P40" i="2" s="1"/>
  <c r="N23" i="19" s="1"/>
  <c r="P13" i="5"/>
  <c r="K24" i="5"/>
  <c r="K23" i="2" s="1"/>
  <c r="K26" i="2" s="1"/>
  <c r="K29" i="2" s="1"/>
  <c r="J23" i="2"/>
  <c r="J26" i="2" s="1"/>
  <c r="J29" i="2" s="1"/>
  <c r="H31" i="2"/>
  <c r="H32" i="2" s="1"/>
  <c r="H35" i="2"/>
  <c r="H36" i="2" s="1"/>
  <c r="I12" i="2"/>
  <c r="I16" i="2" s="1"/>
  <c r="J10" i="2"/>
  <c r="K7" i="2" s="1"/>
  <c r="K33" i="19" l="1"/>
  <c r="K26" i="19"/>
  <c r="J33" i="19"/>
  <c r="J36" i="19" s="1"/>
  <c r="J26" i="19"/>
  <c r="S41" i="4"/>
  <c r="D6" i="19" s="1"/>
  <c r="D8" i="19" s="1"/>
  <c r="D12" i="19" s="1"/>
  <c r="I33" i="19"/>
  <c r="I36" i="19" s="1"/>
  <c r="I26" i="19"/>
  <c r="M19" i="19"/>
  <c r="M20" i="19" s="1"/>
  <c r="M24" i="19" s="1"/>
  <c r="M26" i="19" s="1"/>
  <c r="R15" i="2"/>
  <c r="R27" i="2" s="1"/>
  <c r="R39" i="2" s="1"/>
  <c r="N8" i="5"/>
  <c r="N14" i="5" s="1"/>
  <c r="N23" i="5" s="1"/>
  <c r="N38" i="2"/>
  <c r="M8" i="5"/>
  <c r="M14" i="5" s="1"/>
  <c r="M23" i="5" s="1"/>
  <c r="M38" i="2"/>
  <c r="O10" i="21"/>
  <c r="N18" i="19"/>
  <c r="I28" i="2"/>
  <c r="P12" i="24"/>
  <c r="P13" i="24" s="1"/>
  <c r="P14" i="24" s="1"/>
  <c r="P9" i="24"/>
  <c r="O38" i="24"/>
  <c r="O39" i="24" s="1"/>
  <c r="O40" i="24" s="1"/>
  <c r="O43" i="24" s="1"/>
  <c r="P54" i="24"/>
  <c r="P59" i="24" s="1"/>
  <c r="P63" i="24" s="1"/>
  <c r="P79" i="24"/>
  <c r="P84" i="24" s="1"/>
  <c r="P88" i="24" s="1"/>
  <c r="P33" i="24"/>
  <c r="P37" i="24" s="1"/>
  <c r="P38" i="24" s="1"/>
  <c r="P39" i="24" s="1"/>
  <c r="P40" i="24" s="1"/>
  <c r="O64" i="24"/>
  <c r="O65" i="24" s="1"/>
  <c r="O66" i="24" s="1"/>
  <c r="O69" i="24" s="1"/>
  <c r="O89" i="24"/>
  <c r="O90" i="24" s="1"/>
  <c r="O91" i="24" s="1"/>
  <c r="O94" i="24" s="1"/>
  <c r="P7" i="21"/>
  <c r="P8" i="21" s="1"/>
  <c r="P9" i="21"/>
  <c r="N91" i="21"/>
  <c r="N95" i="21" s="1"/>
  <c r="N99" i="21" s="1"/>
  <c r="N11" i="21"/>
  <c r="N12" i="21" s="1"/>
  <c r="S44" i="4"/>
  <c r="Q9" i="21"/>
  <c r="Q7" i="21"/>
  <c r="Q8" i="21" s="1"/>
  <c r="S42" i="4"/>
  <c r="R33" i="5" s="1"/>
  <c r="Q27" i="2"/>
  <c r="Q39" i="2" s="1"/>
  <c r="Q40" i="2" s="1"/>
  <c r="O23" i="19" s="1"/>
  <c r="Q13" i="5"/>
  <c r="O9" i="2"/>
  <c r="O26" i="5"/>
  <c r="O30" i="5" s="1"/>
  <c r="O34" i="5" s="1"/>
  <c r="Q43" i="4"/>
  <c r="P33" i="5"/>
  <c r="R44" i="4"/>
  <c r="R42" i="4"/>
  <c r="L22" i="5"/>
  <c r="L24" i="5" s="1"/>
  <c r="M22" i="5" s="1"/>
  <c r="J24" i="2"/>
  <c r="J28" i="2"/>
  <c r="K24" i="2"/>
  <c r="I35" i="2"/>
  <c r="I36" i="2" s="1"/>
  <c r="I31" i="2"/>
  <c r="I32" i="2" s="1"/>
  <c r="J12" i="2"/>
  <c r="J16" i="2" s="1"/>
  <c r="K10" i="2"/>
  <c r="L7" i="2" s="1"/>
  <c r="K34" i="19"/>
  <c r="K35" i="19" s="1"/>
  <c r="K36" i="19" s="1"/>
  <c r="N19" i="19" l="1"/>
  <c r="N20" i="19" s="1"/>
  <c r="N24" i="19" s="1"/>
  <c r="N26" i="19" s="1"/>
  <c r="R13" i="5"/>
  <c r="M24" i="5"/>
  <c r="N22" i="5" s="1"/>
  <c r="N24" i="5" s="1"/>
  <c r="R40" i="2"/>
  <c r="P23" i="19" s="1"/>
  <c r="O8" i="5"/>
  <c r="O14" i="5" s="1"/>
  <c r="O23" i="5" s="1"/>
  <c r="O38" i="2"/>
  <c r="Q10" i="21"/>
  <c r="P18" i="19"/>
  <c r="P10" i="21"/>
  <c r="O18" i="19"/>
  <c r="P43" i="24"/>
  <c r="Q40" i="24"/>
  <c r="D44" i="24" s="1"/>
  <c r="P89" i="24"/>
  <c r="P90" i="24" s="1"/>
  <c r="P91" i="24" s="1"/>
  <c r="P64" i="24"/>
  <c r="P65" i="24" s="1"/>
  <c r="P66" i="24" s="1"/>
  <c r="E16" i="21"/>
  <c r="O91" i="21"/>
  <c r="O95" i="21" s="1"/>
  <c r="O11" i="21"/>
  <c r="O12" i="21" s="1"/>
  <c r="S43" i="4"/>
  <c r="P9" i="2"/>
  <c r="P26" i="5"/>
  <c r="P30" i="5" s="1"/>
  <c r="P34" i="5" s="1"/>
  <c r="R43" i="4"/>
  <c r="Q33" i="5"/>
  <c r="L23" i="2"/>
  <c r="K28" i="2"/>
  <c r="J31" i="2"/>
  <c r="J32" i="2" s="1"/>
  <c r="J35" i="2"/>
  <c r="J36" i="2" s="1"/>
  <c r="K12" i="2"/>
  <c r="K16" i="2" s="1"/>
  <c r="L24" i="2" l="1"/>
  <c r="K122" i="21" s="1"/>
  <c r="K124" i="21" s="1"/>
  <c r="K126" i="21" s="1"/>
  <c r="K139" i="21"/>
  <c r="K141" i="21" s="1"/>
  <c r="O19" i="19"/>
  <c r="O20" i="19" s="1"/>
  <c r="O24" i="19" s="1"/>
  <c r="O26" i="19" s="1"/>
  <c r="P19" i="19"/>
  <c r="P20" i="19" s="1"/>
  <c r="P24" i="19" s="1"/>
  <c r="P26" i="19" s="1"/>
  <c r="B27" i="19" s="1"/>
  <c r="M23" i="2"/>
  <c r="E17" i="21"/>
  <c r="P8" i="5"/>
  <c r="P14" i="5" s="1"/>
  <c r="P23" i="5" s="1"/>
  <c r="P38" i="2"/>
  <c r="P69" i="24"/>
  <c r="Q66" i="24"/>
  <c r="D70" i="24" s="1"/>
  <c r="P94" i="24"/>
  <c r="Q91" i="24"/>
  <c r="D95" i="24" s="1"/>
  <c r="R9" i="2"/>
  <c r="Q91" i="21"/>
  <c r="Q95" i="21" s="1"/>
  <c r="Q99" i="21" s="1"/>
  <c r="Q11" i="21"/>
  <c r="Q12" i="21" s="1"/>
  <c r="P91" i="21"/>
  <c r="P95" i="21" s="1"/>
  <c r="P11" i="21"/>
  <c r="P12" i="21" s="1"/>
  <c r="O99" i="21"/>
  <c r="R26" i="5"/>
  <c r="R30" i="5" s="1"/>
  <c r="L26" i="2"/>
  <c r="Q9" i="2"/>
  <c r="Q26" i="5"/>
  <c r="Q30" i="5" s="1"/>
  <c r="Q34" i="5" s="1"/>
  <c r="O22" i="5"/>
  <c r="O24" i="5" s="1"/>
  <c r="N23" i="2"/>
  <c r="M139" i="21" s="1"/>
  <c r="M141" i="21" s="1"/>
  <c r="K31" i="2"/>
  <c r="K32" i="2" s="1"/>
  <c r="E33" i="2" s="1"/>
  <c r="K35" i="2"/>
  <c r="K36" i="2" s="1"/>
  <c r="L10" i="2"/>
  <c r="M7" i="2" s="1"/>
  <c r="L28" i="2" l="1"/>
  <c r="K132" i="21"/>
  <c r="M24" i="2"/>
  <c r="L139" i="21"/>
  <c r="L141" i="21" s="1"/>
  <c r="M26" i="2"/>
  <c r="Q8" i="5"/>
  <c r="Q14" i="5" s="1"/>
  <c r="Q23" i="5" s="1"/>
  <c r="Q38" i="2"/>
  <c r="R8" i="5"/>
  <c r="R14" i="5" s="1"/>
  <c r="R23" i="5" s="1"/>
  <c r="R38" i="2"/>
  <c r="E18" i="21"/>
  <c r="R34" i="5"/>
  <c r="B35" i="5"/>
  <c r="L29" i="2"/>
  <c r="R95" i="21"/>
  <c r="D100" i="21" s="1"/>
  <c r="P99" i="21"/>
  <c r="N24" i="2"/>
  <c r="N26" i="2"/>
  <c r="M132" i="21" s="1"/>
  <c r="P22" i="5"/>
  <c r="P24" i="5" s="1"/>
  <c r="O23" i="2"/>
  <c r="N139" i="21" s="1"/>
  <c r="N141" i="21" s="1"/>
  <c r="L12" i="2"/>
  <c r="L35" i="2" s="1"/>
  <c r="L36" i="2" s="1"/>
  <c r="M10" i="2"/>
  <c r="N7" i="2" s="1"/>
  <c r="L122" i="21" l="1"/>
  <c r="L124" i="21" s="1"/>
  <c r="L126" i="21" s="1"/>
  <c r="M17" i="2"/>
  <c r="M122" i="21"/>
  <c r="M124" i="21" s="1"/>
  <c r="M126" i="21" s="1"/>
  <c r="N17" i="2"/>
  <c r="M28" i="2"/>
  <c r="L132" i="21"/>
  <c r="M29" i="2"/>
  <c r="L16" i="2"/>
  <c r="L17" i="2" s="1"/>
  <c r="L31" i="2"/>
  <c r="L32" i="2" s="1"/>
  <c r="O24" i="2"/>
  <c r="O26" i="2"/>
  <c r="N132" i="21" s="1"/>
  <c r="N29" i="2"/>
  <c r="N28" i="2"/>
  <c r="Q22" i="5"/>
  <c r="Q24" i="5" s="1"/>
  <c r="P23" i="2"/>
  <c r="O139" i="21" s="1"/>
  <c r="O141" i="21" s="1"/>
  <c r="N10" i="2"/>
  <c r="O7" i="2" s="1"/>
  <c r="M12" i="2"/>
  <c r="M35" i="2" s="1"/>
  <c r="M36" i="2" s="1"/>
  <c r="N122" i="21" l="1"/>
  <c r="N124" i="21" s="1"/>
  <c r="N126" i="21" s="1"/>
  <c r="O17" i="2"/>
  <c r="M16" i="2"/>
  <c r="M31" i="2"/>
  <c r="M32" i="2" s="1"/>
  <c r="P24" i="2"/>
  <c r="P26" i="2"/>
  <c r="O132" i="21" s="1"/>
  <c r="O29" i="2"/>
  <c r="O28" i="2"/>
  <c r="R22" i="5"/>
  <c r="R24" i="5" s="1"/>
  <c r="R23" i="2" s="1"/>
  <c r="Q139" i="21" s="1"/>
  <c r="Q141" i="21" s="1"/>
  <c r="Q23" i="2"/>
  <c r="P139" i="21" s="1"/>
  <c r="P141" i="21" s="1"/>
  <c r="O10" i="2"/>
  <c r="P7" i="2" s="1"/>
  <c r="N12" i="2"/>
  <c r="N35" i="2" s="1"/>
  <c r="N36" i="2" s="1"/>
  <c r="O122" i="21" l="1"/>
  <c r="O124" i="21" s="1"/>
  <c r="O126" i="21" s="1"/>
  <c r="P17" i="2"/>
  <c r="N16" i="2"/>
  <c r="N31" i="2"/>
  <c r="N32" i="2" s="1"/>
  <c r="Q24" i="2"/>
  <c r="Q26" i="2"/>
  <c r="P132" i="21" s="1"/>
  <c r="P28" i="2"/>
  <c r="P29" i="2"/>
  <c r="R24" i="2"/>
  <c r="R26" i="2"/>
  <c r="Q132" i="21" s="1"/>
  <c r="P10" i="2"/>
  <c r="Q7" i="2" s="1"/>
  <c r="O12" i="2"/>
  <c r="O35" i="2" s="1"/>
  <c r="O36" i="2" s="1"/>
  <c r="Q122" i="21" l="1"/>
  <c r="Q124" i="21" s="1"/>
  <c r="R17" i="2"/>
  <c r="P122" i="21"/>
  <c r="P124" i="21" s="1"/>
  <c r="P126" i="21" s="1"/>
  <c r="Q17" i="2"/>
  <c r="O16" i="2"/>
  <c r="O31" i="2"/>
  <c r="O32" i="2" s="1"/>
  <c r="R29" i="2"/>
  <c r="R28" i="2"/>
  <c r="Q29" i="2"/>
  <c r="Q28" i="2"/>
  <c r="P12" i="2"/>
  <c r="P35" i="2" s="1"/>
  <c r="P36" i="2" s="1"/>
  <c r="Q10" i="2"/>
  <c r="R7" i="2" s="1"/>
  <c r="P16" i="2" l="1"/>
  <c r="P31" i="2"/>
  <c r="P32" i="2" s="1"/>
  <c r="R10" i="2"/>
  <c r="R12" i="2" s="1"/>
  <c r="R35" i="2" s="1"/>
  <c r="R36" i="2" s="1"/>
  <c r="Q12" i="2"/>
  <c r="Q35" i="2" s="1"/>
  <c r="Q36" i="2" s="1"/>
  <c r="Q16" i="2" l="1"/>
  <c r="Q31" i="2"/>
  <c r="Q32" i="2" s="1"/>
  <c r="R16" i="2"/>
  <c r="R31" i="2"/>
  <c r="R32" i="2" s="1"/>
</calcChain>
</file>

<file path=xl/sharedStrings.xml><?xml version="1.0" encoding="utf-8"?>
<sst xmlns="http://schemas.openxmlformats.org/spreadsheetml/2006/main" count="1094" uniqueCount="478">
  <si>
    <t xml:space="preserve"> </t>
  </si>
  <si>
    <t>Amount</t>
  </si>
  <si>
    <t>Average for first year</t>
  </si>
  <si>
    <t>Particular</t>
  </si>
  <si>
    <t xml:space="preserve">Estimated Revenue </t>
  </si>
  <si>
    <t>Cost of Services</t>
  </si>
  <si>
    <t>Designation</t>
  </si>
  <si>
    <t>No. of Persons</t>
  </si>
  <si>
    <t>Salary &amp; Wages</t>
  </si>
  <si>
    <t>Power &amp; Fuel</t>
  </si>
  <si>
    <t>Rs. In Lakhs</t>
  </si>
  <si>
    <t>Total</t>
  </si>
  <si>
    <t>Year</t>
  </si>
  <si>
    <t>Income</t>
  </si>
  <si>
    <t>Expenditure</t>
  </si>
  <si>
    <t>Depreciation</t>
  </si>
  <si>
    <t>Profit after Tax</t>
  </si>
  <si>
    <t>Application of Funds</t>
  </si>
  <si>
    <t>Cash &amp; Bank Balance</t>
  </si>
  <si>
    <t xml:space="preserve">Sources of Funds </t>
  </si>
  <si>
    <t>Increase in Current Liabilites</t>
  </si>
  <si>
    <t>Capital Expenditure</t>
  </si>
  <si>
    <t>Increase in Current Assets</t>
  </si>
  <si>
    <t>Taxation</t>
  </si>
  <si>
    <t>Opening Balance</t>
  </si>
  <si>
    <t>Surplus</t>
  </si>
  <si>
    <t>Closing Balance</t>
  </si>
  <si>
    <t>Addition</t>
  </si>
  <si>
    <t>Interest on Term Loan</t>
  </si>
  <si>
    <t xml:space="preserve">Depreciation </t>
  </si>
  <si>
    <t xml:space="preserve">TOTAL </t>
  </si>
  <si>
    <t>Particulars</t>
  </si>
  <si>
    <t xml:space="preserve">Profit after tax </t>
  </si>
  <si>
    <t xml:space="preserve">Add: Depreciation for the year </t>
  </si>
  <si>
    <t>Add: Interest on Term Loan</t>
  </si>
  <si>
    <t xml:space="preserve">Total  ( A ) </t>
  </si>
  <si>
    <t>Repayment of Term Loan</t>
  </si>
  <si>
    <t>Total ( B )</t>
  </si>
  <si>
    <t>Misc. Income [ Net ]</t>
  </si>
  <si>
    <t>Current Assets other than cash &amp; bank</t>
  </si>
  <si>
    <t>Years</t>
  </si>
  <si>
    <t>Total       -          A</t>
  </si>
  <si>
    <t>Total      -     B</t>
  </si>
  <si>
    <t xml:space="preserve">Term Loan </t>
  </si>
  <si>
    <t>CALCULATION OF DEBT S.COVERAGE RATIO</t>
  </si>
  <si>
    <t>Projected</t>
  </si>
  <si>
    <t xml:space="preserve">Term Loan Interest </t>
  </si>
  <si>
    <t xml:space="preserve">Income Tax </t>
  </si>
  <si>
    <t>Total Current Assets  = A</t>
  </si>
  <si>
    <t>Current Liabilities = B</t>
  </si>
  <si>
    <t>Net Working Capital=[ A - B ]</t>
  </si>
  <si>
    <t>Current Ratio = [ A / B ]</t>
  </si>
  <si>
    <t>Furniture &amp; Fixtures</t>
  </si>
  <si>
    <t xml:space="preserve">Application of  funds : </t>
  </si>
  <si>
    <t>SOURCES OF FUNDS</t>
  </si>
  <si>
    <t>Average Debt Equity Ratio for projected period</t>
  </si>
  <si>
    <t>Room Sale</t>
  </si>
  <si>
    <t>Term Loan</t>
  </si>
  <si>
    <t>Rs.in Lakhs</t>
  </si>
  <si>
    <t xml:space="preserve">Food &amp; Beverage sale per person per day </t>
  </si>
  <si>
    <t xml:space="preserve">Total </t>
  </si>
  <si>
    <t xml:space="preserve">Building </t>
  </si>
  <si>
    <t>Total Salary Paid</t>
  </si>
  <si>
    <t>Salary</t>
  </si>
  <si>
    <t>Salary p.m.</t>
  </si>
  <si>
    <t>Max.Room Nights [ No. of Rooms * 365]</t>
  </si>
  <si>
    <t xml:space="preserve">Amount </t>
  </si>
  <si>
    <t>Total of Expenses</t>
  </si>
  <si>
    <t>Depreciation as per Income Tax Act</t>
  </si>
  <si>
    <t>YEARS</t>
  </si>
  <si>
    <t xml:space="preserve">Addition </t>
  </si>
  <si>
    <t>Debt [ Term Loan ] = C</t>
  </si>
  <si>
    <t>S.No.</t>
  </si>
  <si>
    <t>Description of each building</t>
  </si>
  <si>
    <t>S.No</t>
  </si>
  <si>
    <t>TOTAL</t>
  </si>
  <si>
    <t>Description</t>
  </si>
  <si>
    <t xml:space="preserve">No. of days hotel is in operation </t>
  </si>
  <si>
    <t xml:space="preserve">At a capicity utilisation of </t>
  </si>
  <si>
    <t xml:space="preserve">Sales &amp; Marketing Exp. as % of Total Sales  </t>
  </si>
  <si>
    <t xml:space="preserve">Power &amp; Fuel @ per month average </t>
  </si>
  <si>
    <t>Capacity Utilised</t>
  </si>
  <si>
    <t xml:space="preserve">Sales &amp; Marketing Exp. (% of Total Sales) </t>
  </si>
  <si>
    <t>Equipments</t>
  </si>
  <si>
    <t>Max. Room Nights [ No. of Rooms * 365]</t>
  </si>
  <si>
    <t>Location</t>
  </si>
  <si>
    <t xml:space="preserve"> 2. COST OF CONSTRUCTION</t>
  </si>
  <si>
    <t>S. No.</t>
  </si>
  <si>
    <t>Current Liabilities[=30day exp.,other than dep.&amp; int on term loan]</t>
  </si>
  <si>
    <t>Rs.In Lakhs</t>
  </si>
  <si>
    <t>Balance Sheet</t>
  </si>
  <si>
    <t>Rs. In lakhs</t>
  </si>
  <si>
    <t>Profit after tax</t>
  </si>
  <si>
    <t>Profit before tax</t>
  </si>
  <si>
    <t>Profitability Statement</t>
  </si>
  <si>
    <t>Net Profit after tax transferred to Capital a/c</t>
  </si>
  <si>
    <t>Owned</t>
  </si>
  <si>
    <t>QTY</t>
  </si>
  <si>
    <t>Rate</t>
  </si>
  <si>
    <t>Qty</t>
  </si>
  <si>
    <t xml:space="preserve"> Estimated Cost </t>
  </si>
  <si>
    <t xml:space="preserve">Estimated Cost </t>
  </si>
  <si>
    <t xml:space="preserve">Deposit &amp; Advances </t>
  </si>
  <si>
    <t>No. of Rooms</t>
  </si>
  <si>
    <t>Construction Period</t>
  </si>
  <si>
    <t xml:space="preserve">Area in sq ft </t>
  </si>
  <si>
    <t xml:space="preserve">Rate per sq ft </t>
  </si>
  <si>
    <t xml:space="preserve">Whether owned or Leased </t>
  </si>
  <si>
    <t>Rooms Category</t>
  </si>
  <si>
    <t>Rooms</t>
  </si>
  <si>
    <t>Room Rent</t>
  </si>
  <si>
    <t>Front Office Manager</t>
  </si>
  <si>
    <t>General Manager</t>
  </si>
  <si>
    <t>Net Capital a/c</t>
  </si>
  <si>
    <t>Share Capital a/c</t>
  </si>
  <si>
    <t>Land</t>
  </si>
  <si>
    <t>Unsecured Loan</t>
  </si>
  <si>
    <t>Land [owned]</t>
  </si>
  <si>
    <t>Area ( In Sq Mtr )</t>
  </si>
  <si>
    <t xml:space="preserve">Details of Equipments and Plant &amp; Machinery:                              </t>
  </si>
  <si>
    <t>Details of Furniture &amp; Furnishing [Rs. In lakhs]</t>
  </si>
  <si>
    <t>Cost of Land including Regsitation &amp; Stamp duty (Rs. In lakhs)</t>
  </si>
  <si>
    <t xml:space="preserve">Calculation of ARR </t>
  </si>
  <si>
    <t>No. of years</t>
  </si>
  <si>
    <t>Total Net profit</t>
  </si>
  <si>
    <t>Average profit</t>
  </si>
  <si>
    <t>Initial cost</t>
  </si>
  <si>
    <t>ARR %</t>
  </si>
  <si>
    <t>Less: Dividends</t>
  </si>
  <si>
    <t xml:space="preserve">Average Interest Coverage Ratio </t>
  </si>
  <si>
    <t xml:space="preserve">Total Outside Liabilites </t>
  </si>
  <si>
    <t>DCCO</t>
  </si>
  <si>
    <t>26-27</t>
  </si>
  <si>
    <t>27-28</t>
  </si>
  <si>
    <t>28-29</t>
  </si>
  <si>
    <t>29-30</t>
  </si>
  <si>
    <t>30-31</t>
  </si>
  <si>
    <t>31-32</t>
  </si>
  <si>
    <t>32-33</t>
  </si>
  <si>
    <t>33-34</t>
  </si>
  <si>
    <t xml:space="preserve"> Tie-up / Franchise Fees [ Rs. In Lakhs]</t>
  </si>
  <si>
    <t>Sub total</t>
  </si>
  <si>
    <t>Cost as per audited balance sheet</t>
  </si>
  <si>
    <t>2026-27</t>
  </si>
  <si>
    <t xml:space="preserve">Interest Service Ratio = EBIDT/Interest </t>
  </si>
  <si>
    <t>Share Capital + Unsecured loan = Equity =D</t>
  </si>
  <si>
    <t>Unsecured Loan from Directors/Relatives</t>
  </si>
  <si>
    <t>Profit before tax but after Interest &amp; depreciation</t>
  </si>
  <si>
    <t>Unsecured Loan from Directors/ Relatives</t>
  </si>
  <si>
    <t>Annual Interest rate</t>
  </si>
  <si>
    <t>Loan Term(In Years)</t>
  </si>
  <si>
    <t>Payment per year</t>
  </si>
  <si>
    <t>Loan Amount</t>
  </si>
  <si>
    <t>Principal Amount</t>
  </si>
  <si>
    <t>Repayment Amount</t>
  </si>
  <si>
    <t>Interest Amount</t>
  </si>
  <si>
    <t>Closing balance</t>
  </si>
  <si>
    <t>Ratio Analysis</t>
  </si>
  <si>
    <t xml:space="preserve">Revenue </t>
  </si>
  <si>
    <t xml:space="preserve">EBITDA  </t>
  </si>
  <si>
    <t>EBITDA Margin %</t>
  </si>
  <si>
    <t>EBIT</t>
  </si>
  <si>
    <t>EBIT Margin %</t>
  </si>
  <si>
    <t xml:space="preserve">Net profit  </t>
  </si>
  <si>
    <t>Net Profit Margin %</t>
  </si>
  <si>
    <t>Revenue Growth Rate %</t>
  </si>
  <si>
    <t>Average EBITDA Margin</t>
  </si>
  <si>
    <t>Average EBIT Margin</t>
  </si>
  <si>
    <t>Average Net Profit Margin</t>
  </si>
  <si>
    <t>Avergae Revenue Growth Rate</t>
  </si>
  <si>
    <t>DSCR</t>
  </si>
  <si>
    <t>Cash Accrual</t>
  </si>
  <si>
    <t>NOPAT</t>
  </si>
  <si>
    <t>CAPEX</t>
  </si>
  <si>
    <t>Investment in WC</t>
  </si>
  <si>
    <t>FCFF</t>
  </si>
  <si>
    <t>IRR</t>
  </si>
  <si>
    <t>Discount rate</t>
  </si>
  <si>
    <t>(10-year average return of Nifty-50)</t>
  </si>
  <si>
    <t>Expected growth rate(Terminal)</t>
  </si>
  <si>
    <t>Period</t>
  </si>
  <si>
    <t>Discount Factor</t>
  </si>
  <si>
    <t>PV of FCF</t>
  </si>
  <si>
    <t>Terminal Value</t>
  </si>
  <si>
    <t>PV of Terminal Value</t>
  </si>
  <si>
    <t>FCF+Terminal Value</t>
  </si>
  <si>
    <t>NPV</t>
  </si>
  <si>
    <t>Net Working Capital</t>
  </si>
  <si>
    <t>Change in New Working Capital</t>
  </si>
  <si>
    <t>In Lakhs</t>
  </si>
  <si>
    <t>In Crores</t>
  </si>
  <si>
    <t>Debt Schedule</t>
  </si>
  <si>
    <t>Units</t>
  </si>
  <si>
    <t>Outstanding Amount</t>
  </si>
  <si>
    <t>Interest Rate</t>
  </si>
  <si>
    <t>Tenure 
( Quarter )</t>
  </si>
  <si>
    <t>Tenure 
( Years )</t>
  </si>
  <si>
    <t>Long-term Debt</t>
  </si>
  <si>
    <t>INR Crore</t>
  </si>
  <si>
    <t>Opening balance</t>
  </si>
  <si>
    <t>Principal Repayment</t>
  </si>
  <si>
    <t>Interest Expense</t>
  </si>
  <si>
    <t>Moraratium Period</t>
  </si>
  <si>
    <t>INR Lakhs</t>
  </si>
  <si>
    <t xml:space="preserve">Activity </t>
  </si>
  <si>
    <t xml:space="preserve">Bench mark dates </t>
  </si>
  <si>
    <t>Financial Closure [ Loan sanction by Bank ]</t>
  </si>
  <si>
    <t xml:space="preserve">First Disbursement </t>
  </si>
  <si>
    <t>March’24</t>
  </si>
  <si>
    <t xml:space="preserve">Date of Commencement of Commercial Operations </t>
  </si>
  <si>
    <t xml:space="preserve">Moratorium </t>
  </si>
  <si>
    <t xml:space="preserve">Repayment of loan to start in </t>
  </si>
  <si>
    <t xml:space="preserve">Last instalment to be paid in </t>
  </si>
  <si>
    <t>As a rule of thumb, a healthy EBITDA should not be less than 1/3 of Total Hotel Revenues combined.</t>
  </si>
  <si>
    <t>There are hotels that make more than 50% EBITDA, if they are luxurious and located in developing countries where the expenses for labor are low and the ROOM Rates are high… Thailand, Philippines, Vietnam, Indonesia, China, India…</t>
  </si>
  <si>
    <t xml:space="preserve">Two year </t>
  </si>
  <si>
    <r>
      <t>1</t>
    </r>
    <r>
      <rPr>
        <vertAlign val="superscript"/>
        <sz val="11"/>
        <rFont val="Cambria"/>
        <family val="1"/>
      </rPr>
      <t>st</t>
    </r>
    <r>
      <rPr>
        <sz val="11"/>
        <rFont val="Cambria"/>
        <family val="1"/>
      </rPr>
      <t xml:space="preserve"> April26</t>
    </r>
  </si>
  <si>
    <t>March’34</t>
  </si>
  <si>
    <t>Margin</t>
  </si>
  <si>
    <t>Loan Component</t>
  </si>
  <si>
    <t>DER Component</t>
  </si>
  <si>
    <t>Project ADER</t>
  </si>
  <si>
    <t>Repayment</t>
  </si>
  <si>
    <t>Interest</t>
  </si>
  <si>
    <t>Yearly Interest</t>
  </si>
  <si>
    <t>Yearly Repayment</t>
  </si>
  <si>
    <t>2 year</t>
  </si>
  <si>
    <t>Annual Interest Rate</t>
  </si>
  <si>
    <t>Equity &amp; Liability</t>
  </si>
  <si>
    <t>Assets</t>
  </si>
  <si>
    <t>2027-28</t>
  </si>
  <si>
    <t>2028-29</t>
  </si>
  <si>
    <t>2029-30</t>
  </si>
  <si>
    <t>2030-31</t>
  </si>
  <si>
    <t>2031-32</t>
  </si>
  <si>
    <t>2032-33</t>
  </si>
  <si>
    <t>2033-34</t>
  </si>
  <si>
    <t>2023-24</t>
  </si>
  <si>
    <t>2024-25</t>
  </si>
  <si>
    <t>2025-26</t>
  </si>
  <si>
    <t>Months</t>
  </si>
  <si>
    <t>Add: Pre Operating Expenses Written Off</t>
  </si>
  <si>
    <t>Pre- Operative Expenses Not Written Off</t>
  </si>
  <si>
    <t>Preliminary Expenses Written Off</t>
  </si>
  <si>
    <t>Fixed Assets[ Net ]/ CWIP</t>
  </si>
  <si>
    <t>Moratorium including Implementation</t>
  </si>
  <si>
    <t>Implementation Period</t>
  </si>
  <si>
    <t>Adjusted Debt / Equity Ratio =[ C / D ]</t>
  </si>
  <si>
    <t>TOL/ATNW</t>
  </si>
  <si>
    <t>Total Adjusted Networth [ share capital + unsecured loans]</t>
  </si>
  <si>
    <t>24-25</t>
  </si>
  <si>
    <t>25-26</t>
  </si>
  <si>
    <t>Depreciation + Prem Write off</t>
  </si>
  <si>
    <t>Break Even Analysis</t>
  </si>
  <si>
    <t>Sales</t>
  </si>
  <si>
    <t>Capacity Utilisation</t>
  </si>
  <si>
    <t>Variable Cost</t>
  </si>
  <si>
    <t>Total Variable Cost</t>
  </si>
  <si>
    <t>Contribution</t>
  </si>
  <si>
    <t>Contribution Margin</t>
  </si>
  <si>
    <t>Fixed Cost</t>
  </si>
  <si>
    <t>Total Fixed Cost</t>
  </si>
  <si>
    <t>PV Ratio</t>
  </si>
  <si>
    <t>Break Even Point  Sales</t>
  </si>
  <si>
    <t>Break even Point % of Sales</t>
  </si>
  <si>
    <t>PARTICULARS</t>
  </si>
  <si>
    <t>INCOME</t>
  </si>
  <si>
    <t>EXPENDITURE</t>
  </si>
  <si>
    <t>Finance Expenses</t>
  </si>
  <si>
    <t>Preliminary Expenses</t>
  </si>
  <si>
    <t>Total Expenditure</t>
  </si>
  <si>
    <t>Income before Tax</t>
  </si>
  <si>
    <t>Income after Tax</t>
  </si>
  <si>
    <t>Cash Accruals</t>
  </si>
  <si>
    <t>Interest on T/L</t>
  </si>
  <si>
    <t>Installment of T/L</t>
  </si>
  <si>
    <t>Net Sales</t>
  </si>
  <si>
    <t>Occupancy Rate</t>
  </si>
  <si>
    <t>Average DSCR</t>
  </si>
  <si>
    <t>Profit Volume (PV) Ratio</t>
  </si>
  <si>
    <r>
      <t xml:space="preserve">                      Sensitivity Analysis when there is decrease in room rent by 0</t>
    </r>
    <r>
      <rPr>
        <sz val="12"/>
        <color theme="0"/>
        <rFont val="Arial"/>
        <family val="2"/>
      </rPr>
      <t>5%</t>
    </r>
    <r>
      <rPr>
        <b/>
        <sz val="12"/>
        <color theme="0"/>
        <rFont val="Arial"/>
        <family val="2"/>
      </rPr>
      <t xml:space="preserve"> </t>
    </r>
  </si>
  <si>
    <r>
      <t xml:space="preserve">                      Sensitivity Analysis when there is increase in Variable Cost by </t>
    </r>
    <r>
      <rPr>
        <sz val="12"/>
        <rFont val="Arial"/>
        <family val="2"/>
      </rPr>
      <t>05%</t>
    </r>
    <r>
      <rPr>
        <b/>
        <sz val="12"/>
        <rFont val="Arial"/>
        <family val="2"/>
      </rPr>
      <t xml:space="preserve"> </t>
    </r>
  </si>
  <si>
    <t>Running Expenses Variable</t>
  </si>
  <si>
    <t>Running Expenses Fixed</t>
  </si>
  <si>
    <r>
      <t xml:space="preserve">                      Sensitivity Analysis when there is increase in Interest Rate by </t>
    </r>
    <r>
      <rPr>
        <sz val="12"/>
        <rFont val="Arial"/>
        <family val="2"/>
      </rPr>
      <t>1.00%</t>
    </r>
    <r>
      <rPr>
        <b/>
        <sz val="12"/>
        <rFont val="Arial"/>
        <family val="2"/>
      </rPr>
      <t xml:space="preserve"> </t>
    </r>
  </si>
  <si>
    <t>Interest during construction</t>
  </si>
  <si>
    <t>Equity (Share Capital + Securities Premium)</t>
  </si>
  <si>
    <t>Foundation</t>
  </si>
  <si>
    <t>One Room Villa (12)</t>
  </si>
  <si>
    <t>Two Room Villa (3)</t>
  </si>
  <si>
    <t>Reception Block</t>
  </si>
  <si>
    <t>Spa and Gym</t>
  </si>
  <si>
    <t>Restaurant &amp; Bar Block</t>
  </si>
  <si>
    <t>BOH</t>
  </si>
  <si>
    <t xml:space="preserve">Staff Area </t>
  </si>
  <si>
    <t>Landscaping</t>
  </si>
  <si>
    <t>Miscellaneous</t>
  </si>
  <si>
    <t>GST 18%</t>
  </si>
  <si>
    <t>Air Conditions</t>
  </si>
  <si>
    <t>DG Set</t>
  </si>
  <si>
    <t>Transformer</t>
  </si>
  <si>
    <t>CCTV</t>
  </si>
  <si>
    <t>Television Sets</t>
  </si>
  <si>
    <t>Sewerage Treatment Plant</t>
  </si>
  <si>
    <t>WATER SOFTNER PLANT</t>
  </si>
  <si>
    <t>Air Source Heat Pump Water Heater</t>
  </si>
  <si>
    <t>Swimming Pool Equipments</t>
  </si>
  <si>
    <t>Refrigerator &amp; Heater</t>
  </si>
  <si>
    <t>KITCHEN EQUIPMENTS</t>
  </si>
  <si>
    <t>COMPUTER SYSTEM</t>
  </si>
  <si>
    <t>EPABX SYSTEM, TELEPHONE SETS AND TELEPHONE LINES</t>
  </si>
  <si>
    <t xml:space="preserve">Considerable </t>
  </si>
  <si>
    <t>ROOMS/VILLA'S FURNITURE</t>
  </si>
  <si>
    <t>RESTAURANT FURNITURE</t>
  </si>
  <si>
    <t>RECEPTION FURNITURE</t>
  </si>
  <si>
    <t>BANQUET FURNITURE</t>
  </si>
  <si>
    <t>OTHER AREA FURNITURE</t>
  </si>
  <si>
    <t>GST@18%</t>
  </si>
  <si>
    <t>Round OFF</t>
  </si>
  <si>
    <t>Preopening exp</t>
  </si>
  <si>
    <t>LAND IS SITUATED AT KHASARA NO. 579/546, REVENUE VILLAGE-SENA, TEHSIL-BALI, DISTRICT-PALI, RAJASTHAN, HAVING TOTAL AREA OF 32800 SQUARE METERS.</t>
  </si>
  <si>
    <t>Vaayu Suites</t>
  </si>
  <si>
    <t xml:space="preserve">COST OF PROJECT OF HOTEL OF 15 Villas </t>
  </si>
  <si>
    <t>Basis of Estimation ( For the full year of operations i.e FY 2027-28 )</t>
  </si>
  <si>
    <t>12 One room Villas</t>
  </si>
  <si>
    <t>3 Two room Villa</t>
  </si>
  <si>
    <t>Revenue Fom Spa</t>
  </si>
  <si>
    <t>Safari Income</t>
  </si>
  <si>
    <t>GOP FROM NON STAYING GUESTS</t>
  </si>
  <si>
    <t>TOTALS/AVERAGE</t>
  </si>
  <si>
    <t>(Figures in Lakhs)</t>
  </si>
  <si>
    <t>FORECAST OF INCOME &amp; EXPENSES</t>
  </si>
  <si>
    <t>No.of Events</t>
  </si>
  <si>
    <t>Average No. of Non Staying Guests per Event</t>
  </si>
  <si>
    <t>Average No. of Days per Event</t>
  </si>
  <si>
    <t>Average No. of Meals per Day</t>
  </si>
  <si>
    <t>Average Rate per person including Venue Rent (Selling Price)</t>
  </si>
  <si>
    <t>GROSS REVENUE FROM NON STAYING GUESTS</t>
  </si>
  <si>
    <t>Safari Income per visit</t>
  </si>
  <si>
    <t xml:space="preserve">Event Inome </t>
  </si>
  <si>
    <t>Max. No. of Guests[ Room nights * 3 ]</t>
  </si>
  <si>
    <t>Extra Food &amp; Beverages (Room)</t>
  </si>
  <si>
    <t>23-24</t>
  </si>
  <si>
    <t xml:space="preserve">SPA income per person per day </t>
  </si>
  <si>
    <t>Revenue Fom Spa per person</t>
  </si>
  <si>
    <t>SPA income</t>
  </si>
  <si>
    <t xml:space="preserve">Event Income </t>
  </si>
  <si>
    <t xml:space="preserve">Extra Food &amp; Beverage sale per person per day </t>
  </si>
  <si>
    <t>Extra Food &amp; Beverage sale</t>
  </si>
  <si>
    <t>Food Expenses (Including In Room) (% of Room revenue ) (Breakfast-Dinner)</t>
  </si>
  <si>
    <t>Extra Food &amp; Beverage (% on Sale of Extra Food and Beverages)</t>
  </si>
  <si>
    <t>Event Expenses (% of Event Sale)</t>
  </si>
  <si>
    <t>Safari Exp. (per Visit Rs.1000)</t>
  </si>
  <si>
    <t>Accountant cum Cashier</t>
  </si>
  <si>
    <t>Store Keeper</t>
  </si>
  <si>
    <t>Sales &amp; Marketing Offline</t>
  </si>
  <si>
    <t>Sales &amp; Marketing Online</t>
  </si>
  <si>
    <t>Maintenance Team</t>
  </si>
  <si>
    <t>Security Team</t>
  </si>
  <si>
    <t>Gardeners &amp; Pest Control</t>
  </si>
  <si>
    <t>Front Office Associates</t>
  </si>
  <si>
    <t>Executive Housekeeper</t>
  </si>
  <si>
    <t>Housekeeping Room Attendants</t>
  </si>
  <si>
    <t>Manager</t>
  </si>
  <si>
    <t>Executive Chef</t>
  </si>
  <si>
    <t>Kitchen Seniors</t>
  </si>
  <si>
    <t>Kitchen Juniors</t>
  </si>
  <si>
    <t>F&amp;B Supervisors</t>
  </si>
  <si>
    <t>F&amp;B Stewards</t>
  </si>
  <si>
    <t>Masseuse</t>
  </si>
  <si>
    <t xml:space="preserve">Operating Exp.(% of Room Sale) </t>
  </si>
  <si>
    <t xml:space="preserve">Operating Exp. As % of Room Sale </t>
  </si>
  <si>
    <t>Admin. Exp.</t>
  </si>
  <si>
    <t>Property &amp; Maintenance</t>
  </si>
  <si>
    <t>License, Government Fee</t>
  </si>
  <si>
    <t>Other Miscellaneous</t>
  </si>
  <si>
    <t>34-35</t>
  </si>
  <si>
    <t>35-36</t>
  </si>
  <si>
    <t>36-37</t>
  </si>
  <si>
    <t>37-38</t>
  </si>
  <si>
    <t>38-39</t>
  </si>
  <si>
    <t>REPAYMENT SCHEDULE</t>
  </si>
  <si>
    <t xml:space="preserve">Interest @ </t>
  </si>
  <si>
    <t>(Rs. in lacs)</t>
  </si>
  <si>
    <t>Opening</t>
  </si>
  <si>
    <t>Received</t>
  </si>
  <si>
    <t>Repaid</t>
  </si>
  <si>
    <t>Closing</t>
  </si>
  <si>
    <t>2034-35</t>
  </si>
  <si>
    <t>2035-36</t>
  </si>
  <si>
    <t>2036-37</t>
  </si>
  <si>
    <t>2037-38</t>
  </si>
  <si>
    <t>2038-39</t>
  </si>
  <si>
    <t>2039-40</t>
  </si>
  <si>
    <t>Principal</t>
  </si>
  <si>
    <t>Outstanding</t>
  </si>
  <si>
    <t>Current Maturity</t>
  </si>
  <si>
    <t>Long Term Maturity</t>
  </si>
  <si>
    <t>EMI</t>
  </si>
  <si>
    <t xml:space="preserve">Monthly </t>
  </si>
  <si>
    <t>36 Months</t>
  </si>
  <si>
    <t xml:space="preserve">Loan Sanctioned </t>
  </si>
  <si>
    <t>first Disbursment</t>
  </si>
  <si>
    <t>01-4-2025 to 31.03.2027</t>
  </si>
  <si>
    <t xml:space="preserve">Repayment of loan to start in Month ending </t>
  </si>
  <si>
    <t>Last instalment to be paid in Month Ending</t>
  </si>
  <si>
    <t xml:space="preserve">144 Monthly </t>
  </si>
  <si>
    <t xml:space="preserve">No of InStallment </t>
  </si>
  <si>
    <t>Installment</t>
  </si>
  <si>
    <t xml:space="preserve">Calculation of Depreciation as per Income Tax </t>
  </si>
  <si>
    <t>(Rs. in Lakhs)</t>
  </si>
  <si>
    <t>Building</t>
  </si>
  <si>
    <t>WDV (Beg.)</t>
  </si>
  <si>
    <t xml:space="preserve">Additions </t>
  </si>
  <si>
    <t>Current Dep.</t>
  </si>
  <si>
    <t>WDV (End of Year)</t>
  </si>
  <si>
    <t>Plant &amp; Machinery</t>
  </si>
  <si>
    <t>Computers &amp; Softwares</t>
  </si>
  <si>
    <t>Furniture &amp; Fixture</t>
  </si>
  <si>
    <t>Total Current Dep.</t>
  </si>
  <si>
    <t>YEAR</t>
  </si>
  <si>
    <t>Gross Block</t>
  </si>
  <si>
    <t>Less: Dep</t>
  </si>
  <si>
    <t>Net Block</t>
  </si>
  <si>
    <t xml:space="preserve">REG. ADDRESS : -LOBBY LEVEL, INSIDE HOTEL VISHNUPRIYA, 9, GULAB BAGH ROAD, UDAIPUR, RAJASTHAN, 313001 </t>
  </si>
  <si>
    <t>UNIT ADDRESS : -KHASARA NO. 579/546, REVENUE VILLAGE-SENA, TEHSIL-BALI, DISTRICT-PALI, RAJASTHAN</t>
  </si>
  <si>
    <t>39-40</t>
  </si>
  <si>
    <t>Rooms Rent</t>
  </si>
  <si>
    <t>Average Room Income</t>
  </si>
  <si>
    <t>01/04/2027</t>
  </si>
  <si>
    <t>Complementary Food Cost (4 Person @400*2)</t>
  </si>
  <si>
    <t>capital Inttruduced</t>
  </si>
  <si>
    <t>Sundry Debtors[=1 months Total revenue]</t>
  </si>
  <si>
    <t>Construction period</t>
  </si>
  <si>
    <t>Investment and Deposit</t>
  </si>
  <si>
    <t>Add:Preliminary/pre-operative Expenses Written off (13.08 in 05 years)</t>
  </si>
  <si>
    <t>Cash Flow Statement  (Rs.In Lakhs)</t>
  </si>
  <si>
    <t xml:space="preserve">DSCR </t>
  </si>
  <si>
    <t>Max. No. of Guests[ Room nights * 4 ]</t>
  </si>
  <si>
    <t>Stock (1 Month of food sale)</t>
  </si>
  <si>
    <t>VAAYU SUITES</t>
  </si>
  <si>
    <t>averge dcr -1.77</t>
  </si>
  <si>
    <t>Debt equity  max 2.75</t>
  </si>
  <si>
    <t xml:space="preserve">minimum reqiured </t>
  </si>
  <si>
    <t>upt0 november</t>
  </si>
  <si>
    <t xml:space="preserve">ROI 10% </t>
  </si>
  <si>
    <t>Pre operating exp 20 lac capitalized</t>
  </si>
  <si>
    <t xml:space="preserve">Extra food and bevarges Exp % of Sale of the same  </t>
  </si>
  <si>
    <t>Complementory Foods (Breakfast and Dinner) % of Room Revenue</t>
  </si>
  <si>
    <t>Event, Banquet Expenses % of Banquet Sale</t>
  </si>
  <si>
    <t>Property &amp; Maintenance % total revenue</t>
  </si>
  <si>
    <t>Safari exp (50% of Safari income)</t>
  </si>
  <si>
    <t>Interest Capitalisation &amp; Other Soft cost</t>
  </si>
  <si>
    <t>1st Year</t>
  </si>
  <si>
    <t>IInd Year</t>
  </si>
  <si>
    <t>IIIrd Year</t>
  </si>
  <si>
    <t>Bank Margin</t>
  </si>
  <si>
    <t>Loan</t>
  </si>
  <si>
    <t>Asset</t>
  </si>
  <si>
    <t>Soft cost</t>
  </si>
  <si>
    <t>Total Asset</t>
  </si>
  <si>
    <t>repayment</t>
  </si>
  <si>
    <r>
      <t xml:space="preserve">                      Sensitivity Analysis when there is decrease in occupancy Rate by 5</t>
    </r>
    <r>
      <rPr>
        <sz val="12"/>
        <rFont val="Arial"/>
        <family val="2"/>
      </rPr>
      <t>.00%</t>
    </r>
    <r>
      <rPr>
        <b/>
        <sz val="12"/>
        <rFont val="Arial"/>
        <family val="2"/>
      </rPr>
      <t xml:space="preserve"> </t>
    </r>
  </si>
  <si>
    <t>Taxes</t>
  </si>
  <si>
    <t>5% Decline in Occupancy</t>
  </si>
  <si>
    <t>Asset Coverage ratio</t>
  </si>
  <si>
    <t>Total Assets</t>
  </si>
  <si>
    <t>Current liabilities</t>
  </si>
  <si>
    <t>Total Assets-Current liabilities</t>
  </si>
  <si>
    <t>Total Debt</t>
  </si>
  <si>
    <t>Asset Coverage Ratio</t>
  </si>
  <si>
    <t>Current Assets</t>
  </si>
  <si>
    <t>Current Liabilities</t>
  </si>
  <si>
    <t>Current Ratio</t>
  </si>
  <si>
    <t>Cash Ratio</t>
  </si>
  <si>
    <t>Cash &amp; Cash Equivelent</t>
  </si>
  <si>
    <t>Debt Equity Ratio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</si>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</sst>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₹&quot;\ #,##0.00;[Red]&quot;₹&quot;\ \-#,##0.00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&quot;FY&quot;\ 0"/>
    <numFmt numFmtId="168" formatCode="0_)"/>
    <numFmt numFmtId="169" formatCode="0.0"/>
    <numFmt numFmtId="170" formatCode="[$₹-4009]\ #,##0.00"/>
    <numFmt numFmtId="171" formatCode="0.00_)"/>
    <numFmt numFmtId="172" formatCode="_(* #,##0.00_);_(* \(#,##0.00\);_(* \-??_);_(@_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name val="Cambria"/>
      <family val="1"/>
    </font>
    <font>
      <vertAlign val="superscript"/>
      <sz val="11"/>
      <name val="Cambria"/>
      <family val="1"/>
    </font>
    <font>
      <sz val="9"/>
      <color rgb="FF282829"/>
      <name val="Segoe UI"/>
      <family val="2"/>
    </font>
    <font>
      <b/>
      <u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theme="1"/>
      <name val="Cambria"/>
      <family val="1"/>
      <scheme val="major"/>
    </font>
    <font>
      <sz val="11"/>
      <name val="Calibri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72" fontId="4" fillId="0" borderId="0" applyFill="0" applyBorder="0" applyAlignment="0" applyProtection="0"/>
  </cellStyleXfs>
  <cellXfs count="463">
    <xf numFmtId="0" fontId="0" fillId="0" borderId="0" xfId="0"/>
    <xf numFmtId="0" fontId="4" fillId="0" borderId="0" xfId="0" applyFont="1"/>
    <xf numFmtId="9" fontId="0" fillId="0" borderId="0" xfId="0" applyNumberFormat="1"/>
    <xf numFmtId="3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8" fontId="0" fillId="0" borderId="0" xfId="0" applyNumberFormat="1"/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168" fontId="12" fillId="0" borderId="0" xfId="0" applyNumberFormat="1" applyFont="1"/>
    <xf numFmtId="0" fontId="13" fillId="0" borderId="0" xfId="0" applyFont="1"/>
    <xf numFmtId="0" fontId="13" fillId="0" borderId="22" xfId="0" applyFont="1" applyBorder="1"/>
    <xf numFmtId="0" fontId="12" fillId="0" borderId="23" xfId="0" applyFont="1" applyBorder="1"/>
    <xf numFmtId="0" fontId="12" fillId="0" borderId="23" xfId="0" applyFont="1" applyBorder="1" applyAlignment="1">
      <alignment horizontal="center" vertical="center"/>
    </xf>
    <xf numFmtId="0" fontId="13" fillId="0" borderId="24" xfId="0" applyFont="1" applyBorder="1"/>
    <xf numFmtId="0" fontId="13" fillId="0" borderId="25" xfId="0" applyFont="1" applyBorder="1"/>
    <xf numFmtId="0" fontId="12" fillId="0" borderId="26" xfId="0" applyFont="1" applyBorder="1"/>
    <xf numFmtId="0" fontId="12" fillId="0" borderId="26" xfId="0" applyFont="1" applyBorder="1" applyAlignment="1">
      <alignment horizontal="center" vertical="center"/>
    </xf>
    <xf numFmtId="164" fontId="13" fillId="0" borderId="0" xfId="1" applyFont="1" applyAlignment="1">
      <alignment horizontal="center" vertical="center"/>
    </xf>
    <xf numFmtId="9" fontId="12" fillId="0" borderId="0" xfId="0" applyNumberFormat="1" applyFont="1"/>
    <xf numFmtId="0" fontId="13" fillId="0" borderId="8" xfId="1" applyNumberFormat="1" applyFont="1" applyBorder="1" applyAlignment="1">
      <alignment horizontal="center"/>
    </xf>
    <xf numFmtId="0" fontId="15" fillId="0" borderId="0" xfId="0" applyFont="1"/>
    <xf numFmtId="164" fontId="12" fillId="0" borderId="8" xfId="1" applyFont="1" applyBorder="1" applyAlignment="1">
      <alignment horizontal="left"/>
    </xf>
    <xf numFmtId="164" fontId="12" fillId="0" borderId="11" xfId="1" applyFont="1" applyBorder="1" applyAlignment="1">
      <alignment horizontal="left"/>
    </xf>
    <xf numFmtId="164" fontId="12" fillId="0" borderId="0" xfId="1" applyFont="1"/>
    <xf numFmtId="9" fontId="12" fillId="0" borderId="0" xfId="3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8" xfId="0" applyFont="1" applyBorder="1"/>
    <xf numFmtId="2" fontId="12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2" fillId="0" borderId="1" xfId="0" applyFont="1" applyBorder="1"/>
    <xf numFmtId="2" fontId="12" fillId="0" borderId="6" xfId="0" applyNumberFormat="1" applyFont="1" applyBorder="1"/>
    <xf numFmtId="0" fontId="13" fillId="0" borderId="8" xfId="0" applyFont="1" applyBorder="1"/>
    <xf numFmtId="2" fontId="13" fillId="0" borderId="8" xfId="0" applyNumberFormat="1" applyFont="1" applyBorder="1"/>
    <xf numFmtId="0" fontId="12" fillId="0" borderId="6" xfId="0" applyFont="1" applyBorder="1"/>
    <xf numFmtId="2" fontId="13" fillId="0" borderId="0" xfId="0" applyNumberFormat="1" applyFont="1"/>
    <xf numFmtId="0" fontId="12" fillId="0" borderId="7" xfId="0" applyFont="1" applyBorder="1"/>
    <xf numFmtId="164" fontId="12" fillId="0" borderId="0" xfId="1" applyFont="1" applyBorder="1"/>
    <xf numFmtId="0" fontId="13" fillId="0" borderId="1" xfId="0" applyFont="1" applyBorder="1"/>
    <xf numFmtId="164" fontId="12" fillId="0" borderId="5" xfId="1" applyFont="1" applyBorder="1"/>
    <xf numFmtId="2" fontId="12" fillId="0" borderId="6" xfId="1" applyNumberFormat="1" applyFont="1" applyBorder="1"/>
    <xf numFmtId="2" fontId="12" fillId="0" borderId="9" xfId="1" applyNumberFormat="1" applyFont="1" applyBorder="1"/>
    <xf numFmtId="2" fontId="12" fillId="0" borderId="1" xfId="1" applyNumberFormat="1" applyFont="1" applyBorder="1"/>
    <xf numFmtId="0" fontId="13" fillId="0" borderId="11" xfId="0" applyFont="1" applyBorder="1"/>
    <xf numFmtId="43" fontId="12" fillId="0" borderId="0" xfId="0" applyNumberFormat="1" applyFont="1"/>
    <xf numFmtId="0" fontId="12" fillId="0" borderId="9" xfId="0" applyFont="1" applyBorder="1"/>
    <xf numFmtId="2" fontId="12" fillId="0" borderId="17" xfId="0" applyNumberFormat="1" applyFont="1" applyBorder="1"/>
    <xf numFmtId="2" fontId="12" fillId="0" borderId="7" xfId="0" applyNumberFormat="1" applyFont="1" applyBorder="1"/>
    <xf numFmtId="0" fontId="13" fillId="0" borderId="9" xfId="0" applyFont="1" applyBorder="1"/>
    <xf numFmtId="0" fontId="13" fillId="0" borderId="2" xfId="0" applyFont="1" applyBorder="1"/>
    <xf numFmtId="0" fontId="12" fillId="0" borderId="1" xfId="0" applyFont="1" applyBorder="1" applyAlignment="1">
      <alignment horizontal="center" wrapText="1"/>
    </xf>
    <xf numFmtId="166" fontId="13" fillId="0" borderId="9" xfId="1" applyNumberFormat="1" applyFont="1" applyBorder="1" applyAlignment="1">
      <alignment horizontal="center"/>
    </xf>
    <xf numFmtId="166" fontId="13" fillId="0" borderId="2" xfId="1" applyNumberFormat="1" applyFont="1" applyBorder="1" applyAlignment="1">
      <alignment horizontal="center"/>
    </xf>
    <xf numFmtId="1" fontId="12" fillId="0" borderId="0" xfId="1" applyNumberFormat="1" applyFont="1" applyBorder="1"/>
    <xf numFmtId="164" fontId="12" fillId="0" borderId="9" xfId="1" applyFont="1" applyBorder="1"/>
    <xf numFmtId="164" fontId="13" fillId="0" borderId="8" xfId="1" applyFont="1" applyBorder="1"/>
    <xf numFmtId="0" fontId="12" fillId="0" borderId="1" xfId="0" applyFont="1" applyBorder="1" applyAlignment="1">
      <alignment vertical="top" wrapText="1"/>
    </xf>
    <xf numFmtId="164" fontId="12" fillId="0" borderId="0" xfId="0" applyNumberFormat="1" applyFont="1"/>
    <xf numFmtId="0" fontId="13" fillId="0" borderId="3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2" fillId="0" borderId="17" xfId="0" applyFont="1" applyBorder="1"/>
    <xf numFmtId="164" fontId="12" fillId="0" borderId="17" xfId="1" applyFont="1" applyBorder="1"/>
    <xf numFmtId="0" fontId="15" fillId="0" borderId="11" xfId="0" applyFont="1" applyBorder="1"/>
    <xf numFmtId="0" fontId="12" fillId="0" borderId="3" xfId="0" applyFont="1" applyBorder="1"/>
    <xf numFmtId="0" fontId="12" fillId="0" borderId="18" xfId="0" applyFont="1" applyBorder="1"/>
    <xf numFmtId="164" fontId="12" fillId="0" borderId="18" xfId="1" applyFont="1" applyBorder="1"/>
    <xf numFmtId="0" fontId="12" fillId="0" borderId="11" xfId="0" applyFont="1" applyBorder="1"/>
    <xf numFmtId="0" fontId="12" fillId="0" borderId="19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164" fontId="12" fillId="0" borderId="20" xfId="1" applyFont="1" applyBorder="1" applyAlignment="1">
      <alignment vertical="top" wrapText="1"/>
    </xf>
    <xf numFmtId="164" fontId="12" fillId="0" borderId="21" xfId="1" applyFont="1" applyBorder="1" applyAlignment="1">
      <alignment vertical="top" wrapText="1"/>
    </xf>
    <xf numFmtId="0" fontId="12" fillId="0" borderId="15" xfId="0" applyFont="1" applyBorder="1"/>
    <xf numFmtId="9" fontId="12" fillId="0" borderId="0" xfId="0" applyNumberFormat="1" applyFont="1" applyAlignment="1">
      <alignment vertical="top" wrapText="1"/>
    </xf>
    <xf numFmtId="164" fontId="12" fillId="0" borderId="0" xfId="1" applyFont="1" applyBorder="1" applyAlignment="1">
      <alignment vertical="top" wrapText="1"/>
    </xf>
    <xf numFmtId="164" fontId="12" fillId="0" borderId="17" xfId="1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vertical="top" wrapText="1"/>
    </xf>
    <xf numFmtId="0" fontId="12" fillId="0" borderId="13" xfId="0" applyFont="1" applyBorder="1" applyAlignment="1">
      <alignment vertical="top" wrapText="1"/>
    </xf>
    <xf numFmtId="164" fontId="12" fillId="0" borderId="12" xfId="1" applyFont="1" applyBorder="1" applyAlignment="1">
      <alignment vertical="top" wrapText="1"/>
    </xf>
    <xf numFmtId="164" fontId="12" fillId="0" borderId="16" xfId="1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164" fontId="12" fillId="0" borderId="6" xfId="0" applyNumberFormat="1" applyFont="1" applyBorder="1" applyAlignment="1">
      <alignment horizontal="right"/>
    </xf>
    <xf numFmtId="0" fontId="13" fillId="0" borderId="18" xfId="0" applyFont="1" applyBorder="1"/>
    <xf numFmtId="0" fontId="12" fillId="0" borderId="8" xfId="0" applyFont="1" applyBorder="1" applyAlignment="1">
      <alignment vertical="top" wrapText="1"/>
    </xf>
    <xf numFmtId="2" fontId="13" fillId="0" borderId="0" xfId="0" applyNumberFormat="1" applyFont="1" applyAlignment="1">
      <alignment horizontal="right"/>
    </xf>
    <xf numFmtId="0" fontId="12" fillId="0" borderId="8" xfId="0" applyFont="1" applyBorder="1" applyAlignment="1">
      <alignment horizontal="center" vertical="top" wrapText="1"/>
    </xf>
    <xf numFmtId="3" fontId="12" fillId="0" borderId="16" xfId="0" applyNumberFormat="1" applyFont="1" applyBorder="1" applyAlignment="1">
      <alignment horizontal="center" vertical="top" wrapText="1"/>
    </xf>
    <xf numFmtId="2" fontId="12" fillId="0" borderId="8" xfId="0" applyNumberFormat="1" applyFont="1" applyBorder="1" applyAlignment="1">
      <alignment horizontal="right" vertical="top" wrapText="1"/>
    </xf>
    <xf numFmtId="0" fontId="12" fillId="0" borderId="8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3" fontId="12" fillId="0" borderId="14" xfId="0" applyNumberFormat="1" applyFont="1" applyBorder="1" applyAlignment="1">
      <alignment horizontal="center" vertical="top"/>
    </xf>
    <xf numFmtId="3" fontId="12" fillId="0" borderId="18" xfId="0" applyNumberFormat="1" applyFont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2" fontId="13" fillId="0" borderId="0" xfId="0" applyNumberFormat="1" applyFont="1" applyAlignment="1">
      <alignment vertical="top" wrapText="1"/>
    </xf>
    <xf numFmtId="0" fontId="12" fillId="0" borderId="8" xfId="0" applyFont="1" applyBorder="1" applyAlignment="1">
      <alignment horizontal="justify" vertical="top" wrapText="1"/>
    </xf>
    <xf numFmtId="0" fontId="12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right" vertical="top" wrapText="1"/>
    </xf>
    <xf numFmtId="2" fontId="13" fillId="0" borderId="3" xfId="0" applyNumberFormat="1" applyFont="1" applyBorder="1" applyAlignment="1">
      <alignment horizontal="right" vertical="top" wrapText="1"/>
    </xf>
    <xf numFmtId="0" fontId="12" fillId="0" borderId="18" xfId="0" applyFont="1" applyBorder="1" applyAlignment="1">
      <alignment horizontal="center" wrapText="1"/>
    </xf>
    <xf numFmtId="0" fontId="12" fillId="0" borderId="2" xfId="0" applyFont="1" applyBorder="1"/>
    <xf numFmtId="0" fontId="13" fillId="0" borderId="2" xfId="0" applyFont="1" applyBorder="1" applyAlignment="1">
      <alignment horizontal="justify" vertical="center" wrapText="1"/>
    </xf>
    <xf numFmtId="2" fontId="13" fillId="0" borderId="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right" vertical="center"/>
    </xf>
    <xf numFmtId="2" fontId="12" fillId="0" borderId="18" xfId="0" applyNumberFormat="1" applyFont="1" applyBorder="1" applyAlignment="1">
      <alignment horizontal="right" vertical="top"/>
    </xf>
    <xf numFmtId="0" fontId="18" fillId="0" borderId="4" xfId="2" applyFont="1" applyBorder="1" applyAlignme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1" fontId="12" fillId="0" borderId="0" xfId="0" applyNumberFormat="1" applyFont="1"/>
    <xf numFmtId="0" fontId="12" fillId="0" borderId="0" xfId="0" applyFont="1" applyAlignment="1">
      <alignment horizontal="left" wrapText="1"/>
    </xf>
    <xf numFmtId="0" fontId="18" fillId="0" borderId="0" xfId="2" applyFont="1" applyAlignment="1">
      <alignment horizontal="left" wrapText="1"/>
    </xf>
    <xf numFmtId="10" fontId="12" fillId="0" borderId="0" xfId="0" applyNumberFormat="1" applyFont="1"/>
    <xf numFmtId="0" fontId="7" fillId="4" borderId="8" xfId="0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wrapText="1"/>
    </xf>
    <xf numFmtId="10" fontId="0" fillId="0" borderId="8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8" xfId="0" applyNumberFormat="1" applyBorder="1"/>
    <xf numFmtId="0" fontId="9" fillId="6" borderId="8" xfId="0" applyFont="1" applyFill="1" applyBorder="1"/>
    <xf numFmtId="164" fontId="9" fillId="6" borderId="8" xfId="0" applyNumberFormat="1" applyFont="1" applyFill="1" applyBorder="1"/>
    <xf numFmtId="10" fontId="9" fillId="6" borderId="8" xfId="0" applyNumberFormat="1" applyFont="1" applyFill="1" applyBorder="1" applyAlignment="1">
      <alignment wrapText="1"/>
    </xf>
    <xf numFmtId="2" fontId="9" fillId="6" borderId="8" xfId="0" applyNumberFormat="1" applyFont="1" applyFill="1" applyBorder="1" applyAlignment="1">
      <alignment wrapText="1"/>
    </xf>
    <xf numFmtId="15" fontId="20" fillId="4" borderId="5" xfId="0" applyNumberFormat="1" applyFont="1" applyFill="1" applyBorder="1"/>
    <xf numFmtId="0" fontId="0" fillId="0" borderId="8" xfId="0" applyBorder="1"/>
    <xf numFmtId="164" fontId="0" fillId="0" borderId="8" xfId="0" applyNumberFormat="1" applyBorder="1"/>
    <xf numFmtId="164" fontId="4" fillId="0" borderId="8" xfId="0" applyNumberFormat="1" applyFont="1" applyBorder="1" applyAlignment="1">
      <alignment wrapText="1"/>
    </xf>
    <xf numFmtId="0" fontId="21" fillId="0" borderId="29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23" fillId="0" borderId="0" xfId="0" applyFont="1" applyAlignment="1">
      <alignment vertical="center" readingOrder="1"/>
    </xf>
    <xf numFmtId="164" fontId="12" fillId="0" borderId="8" xfId="1" applyFont="1" applyBorder="1"/>
    <xf numFmtId="0" fontId="12" fillId="4" borderId="8" xfId="0" applyFont="1" applyFill="1" applyBorder="1"/>
    <xf numFmtId="0" fontId="10" fillId="4" borderId="8" xfId="0" applyFont="1" applyFill="1" applyBorder="1"/>
    <xf numFmtId="0" fontId="7" fillId="4" borderId="8" xfId="0" applyFont="1" applyFill="1" applyBorder="1" applyAlignment="1">
      <alignment vertical="top" wrapText="1"/>
    </xf>
    <xf numFmtId="0" fontId="7" fillId="4" borderId="8" xfId="1" applyNumberFormat="1" applyFont="1" applyFill="1" applyBorder="1" applyAlignment="1">
      <alignment horizontal="center"/>
    </xf>
    <xf numFmtId="0" fontId="13" fillId="7" borderId="8" xfId="0" applyFont="1" applyFill="1" applyBorder="1"/>
    <xf numFmtId="0" fontId="15" fillId="4" borderId="8" xfId="0" applyFont="1" applyFill="1" applyBorder="1"/>
    <xf numFmtId="0" fontId="24" fillId="4" borderId="8" xfId="0" applyFont="1" applyFill="1" applyBorder="1"/>
    <xf numFmtId="10" fontId="13" fillId="7" borderId="8" xfId="3" applyNumberFormat="1" applyFont="1" applyFill="1" applyBorder="1"/>
    <xf numFmtId="164" fontId="7" fillId="4" borderId="8" xfId="1" applyFont="1" applyFill="1" applyBorder="1" applyAlignment="1">
      <alignment horizontal="left"/>
    </xf>
    <xf numFmtId="0" fontId="16" fillId="0" borderId="8" xfId="0" applyFont="1" applyBorder="1"/>
    <xf numFmtId="2" fontId="12" fillId="0" borderId="8" xfId="1" applyNumberFormat="1" applyFont="1" applyBorder="1"/>
    <xf numFmtId="10" fontId="7" fillId="4" borderId="8" xfId="0" applyNumberFormat="1" applyFont="1" applyFill="1" applyBorder="1"/>
    <xf numFmtId="0" fontId="12" fillId="0" borderId="8" xfId="0" applyFont="1" applyBorder="1" applyAlignment="1">
      <alignment horizontal="center" vertical="center"/>
    </xf>
    <xf numFmtId="9" fontId="12" fillId="0" borderId="8" xfId="1" applyNumberFormat="1" applyFont="1" applyBorder="1"/>
    <xf numFmtId="166" fontId="12" fillId="0" borderId="8" xfId="1" applyNumberFormat="1" applyFont="1" applyBorder="1"/>
    <xf numFmtId="164" fontId="12" fillId="0" borderId="8" xfId="1" applyFont="1" applyBorder="1" applyAlignment="1"/>
    <xf numFmtId="17" fontId="21" fillId="0" borderId="27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/>
    </xf>
    <xf numFmtId="2" fontId="13" fillId="7" borderId="8" xfId="0" applyNumberFormat="1" applyFont="1" applyFill="1" applyBorder="1"/>
    <xf numFmtId="2" fontId="13" fillId="7" borderId="11" xfId="0" applyNumberFormat="1" applyFont="1" applyFill="1" applyBorder="1"/>
    <xf numFmtId="0" fontId="13" fillId="7" borderId="11" xfId="0" applyFont="1" applyFill="1" applyBorder="1"/>
    <xf numFmtId="164" fontId="13" fillId="7" borderId="8" xfId="1" applyFont="1" applyFill="1" applyBorder="1" applyAlignment="1"/>
    <xf numFmtId="164" fontId="13" fillId="7" borderId="8" xfId="1" applyFont="1" applyFill="1" applyBorder="1"/>
    <xf numFmtId="164" fontId="13" fillId="7" borderId="8" xfId="0" applyNumberFormat="1" applyFont="1" applyFill="1" applyBorder="1" applyAlignment="1">
      <alignment horizontal="right"/>
    </xf>
    <xf numFmtId="2" fontId="13" fillId="7" borderId="8" xfId="1" applyNumberFormat="1" applyFont="1" applyFill="1" applyBorder="1"/>
    <xf numFmtId="0" fontId="13" fillId="7" borderId="7" xfId="0" applyFont="1" applyFill="1" applyBorder="1"/>
    <xf numFmtId="0" fontId="13" fillId="7" borderId="5" xfId="0" applyFont="1" applyFill="1" applyBorder="1"/>
    <xf numFmtId="0" fontId="13" fillId="7" borderId="16" xfId="0" applyFont="1" applyFill="1" applyBorder="1"/>
    <xf numFmtId="164" fontId="13" fillId="7" borderId="16" xfId="0" applyNumberFormat="1" applyFont="1" applyFill="1" applyBorder="1"/>
    <xf numFmtId="2" fontId="13" fillId="7" borderId="5" xfId="0" applyNumberFormat="1" applyFont="1" applyFill="1" applyBorder="1"/>
    <xf numFmtId="0" fontId="13" fillId="7" borderId="8" xfId="0" applyFont="1" applyFill="1" applyBorder="1" applyAlignment="1">
      <alignment vertical="top" wrapText="1"/>
    </xf>
    <xf numFmtId="0" fontId="10" fillId="4" borderId="0" xfId="0" applyFont="1" applyFill="1"/>
    <xf numFmtId="2" fontId="13" fillId="7" borderId="18" xfId="0" applyNumberFormat="1" applyFont="1" applyFill="1" applyBorder="1" applyAlignment="1">
      <alignment horizontal="right" vertical="top" wrapText="1"/>
    </xf>
    <xf numFmtId="0" fontId="13" fillId="7" borderId="8" xfId="0" applyFont="1" applyFill="1" applyBorder="1" applyAlignment="1">
      <alignment horizontal="left" vertical="top" wrapText="1"/>
    </xf>
    <xf numFmtId="2" fontId="13" fillId="7" borderId="18" xfId="0" applyNumberFormat="1" applyFont="1" applyFill="1" applyBorder="1" applyAlignment="1">
      <alignment vertical="top" wrapText="1"/>
    </xf>
    <xf numFmtId="0" fontId="13" fillId="7" borderId="8" xfId="0" applyFont="1" applyFill="1" applyBorder="1" applyAlignment="1">
      <alignment horizontal="justify" vertical="center" wrapText="1"/>
    </xf>
    <xf numFmtId="2" fontId="13" fillId="7" borderId="8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10" fillId="4" borderId="8" xfId="0" applyFont="1" applyFill="1" applyBorder="1" applyAlignment="1">
      <alignment horizontal="center"/>
    </xf>
    <xf numFmtId="0" fontId="24" fillId="4" borderId="0" xfId="0" applyFont="1" applyFill="1"/>
    <xf numFmtId="0" fontId="10" fillId="4" borderId="6" xfId="0" applyFont="1" applyFill="1" applyBorder="1" applyAlignment="1">
      <alignment horizontal="center"/>
    </xf>
    <xf numFmtId="0" fontId="13" fillId="7" borderId="3" xfId="0" applyFont="1" applyFill="1" applyBorder="1"/>
    <xf numFmtId="2" fontId="12" fillId="0" borderId="8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2" fontId="13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2" fontId="13" fillId="7" borderId="18" xfId="0" applyNumberFormat="1" applyFont="1" applyFill="1" applyBorder="1" applyAlignment="1">
      <alignment horizontal="right" vertical="top"/>
    </xf>
    <xf numFmtId="0" fontId="13" fillId="9" borderId="8" xfId="0" applyFont="1" applyFill="1" applyBorder="1" applyAlignment="1">
      <alignment vertical="top" wrapText="1"/>
    </xf>
    <xf numFmtId="0" fontId="13" fillId="9" borderId="8" xfId="0" applyFont="1" applyFill="1" applyBorder="1" applyAlignment="1">
      <alignment horizontal="center" vertical="top" wrapText="1"/>
    </xf>
    <xf numFmtId="0" fontId="13" fillId="9" borderId="8" xfId="0" applyFont="1" applyFill="1" applyBorder="1" applyAlignment="1">
      <alignment horizontal="right" vertical="top" wrapText="1"/>
    </xf>
    <xf numFmtId="2" fontId="13" fillId="9" borderId="8" xfId="0" applyNumberFormat="1" applyFont="1" applyFill="1" applyBorder="1" applyAlignment="1">
      <alignment horizontal="right" vertical="top" wrapText="1"/>
    </xf>
    <xf numFmtId="0" fontId="13" fillId="0" borderId="8" xfId="0" applyFont="1" applyBorder="1" applyAlignment="1">
      <alignment wrapText="1"/>
    </xf>
    <xf numFmtId="17" fontId="13" fillId="0" borderId="0" xfId="0" quotePrefix="1" applyNumberFormat="1" applyFont="1" applyAlignment="1">
      <alignment horizontal="center"/>
    </xf>
    <xf numFmtId="2" fontId="12" fillId="0" borderId="8" xfId="1" applyNumberFormat="1" applyFont="1" applyFill="1" applyBorder="1"/>
    <xf numFmtId="0" fontId="27" fillId="0" borderId="0" xfId="0" applyFont="1"/>
    <xf numFmtId="9" fontId="0" fillId="0" borderId="0" xfId="3" applyFont="1"/>
    <xf numFmtId="0" fontId="30" fillId="0" borderId="0" xfId="0" applyFont="1"/>
    <xf numFmtId="0" fontId="30" fillId="0" borderId="1" xfId="0" applyFont="1" applyBorder="1"/>
    <xf numFmtId="164" fontId="30" fillId="0" borderId="0" xfId="1" applyFont="1" applyFill="1" applyBorder="1"/>
    <xf numFmtId="164" fontId="30" fillId="0" borderId="0" xfId="1" applyFont="1" applyFill="1" applyBorder="1" applyAlignment="1">
      <alignment horizontal="center"/>
    </xf>
    <xf numFmtId="0" fontId="30" fillId="0" borderId="8" xfId="0" applyFont="1" applyBorder="1"/>
    <xf numFmtId="0" fontId="29" fillId="0" borderId="8" xfId="0" applyFont="1" applyBorder="1"/>
    <xf numFmtId="164" fontId="30" fillId="0" borderId="8" xfId="1" applyFont="1" applyFill="1" applyBorder="1"/>
    <xf numFmtId="164" fontId="30" fillId="0" borderId="8" xfId="1" applyFont="1" applyFill="1" applyBorder="1" applyAlignment="1">
      <alignment horizontal="center"/>
    </xf>
    <xf numFmtId="164" fontId="29" fillId="0" borderId="8" xfId="1" applyFont="1" applyFill="1" applyBorder="1"/>
    <xf numFmtId="10" fontId="13" fillId="8" borderId="8" xfId="0" applyNumberFormat="1" applyFont="1" applyFill="1" applyBorder="1"/>
    <xf numFmtId="0" fontId="29" fillId="7" borderId="8" xfId="0" applyFont="1" applyFill="1" applyBorder="1"/>
    <xf numFmtId="0" fontId="0" fillId="7" borderId="8" xfId="0" applyFill="1" applyBorder="1"/>
    <xf numFmtId="164" fontId="27" fillId="7" borderId="8" xfId="0" applyNumberFormat="1" applyFont="1" applyFill="1" applyBorder="1"/>
    <xf numFmtId="0" fontId="29" fillId="7" borderId="8" xfId="0" applyFont="1" applyFill="1" applyBorder="1" applyAlignment="1">
      <alignment horizontal="left"/>
    </xf>
    <xf numFmtId="0" fontId="30" fillId="7" borderId="8" xfId="0" applyFont="1" applyFill="1" applyBorder="1"/>
    <xf numFmtId="0" fontId="29" fillId="7" borderId="11" xfId="0" applyFont="1" applyFill="1" applyBorder="1" applyAlignment="1">
      <alignment horizontal="left"/>
    </xf>
    <xf numFmtId="0" fontId="30" fillId="7" borderId="3" xfId="0" applyFont="1" applyFill="1" applyBorder="1"/>
    <xf numFmtId="0" fontId="29" fillId="7" borderId="3" xfId="0" applyFont="1" applyFill="1" applyBorder="1"/>
    <xf numFmtId="0" fontId="30" fillId="7" borderId="4" xfId="0" applyFont="1" applyFill="1" applyBorder="1"/>
    <xf numFmtId="0" fontId="29" fillId="7" borderId="4" xfId="0" applyFont="1" applyFill="1" applyBorder="1"/>
    <xf numFmtId="0" fontId="25" fillId="4" borderId="8" xfId="0" applyFont="1" applyFill="1" applyBorder="1"/>
    <xf numFmtId="2" fontId="12" fillId="0" borderId="8" xfId="0" applyNumberFormat="1" applyFont="1" applyBorder="1" applyAlignment="1">
      <alignment vertical="top"/>
    </xf>
    <xf numFmtId="0" fontId="13" fillId="7" borderId="8" xfId="0" applyFont="1" applyFill="1" applyBorder="1" applyAlignment="1">
      <alignment horizontal="center" vertical="top" wrapText="1"/>
    </xf>
    <xf numFmtId="3" fontId="13" fillId="0" borderId="8" xfId="0" applyNumberFormat="1" applyFont="1" applyBorder="1" applyAlignment="1">
      <alignment vertical="top" wrapText="1"/>
    </xf>
    <xf numFmtId="0" fontId="12" fillId="0" borderId="8" xfId="0" applyFont="1" applyBorder="1" applyAlignment="1">
      <alignment horizontal="left"/>
    </xf>
    <xf numFmtId="0" fontId="13" fillId="0" borderId="8" xfId="0" applyFont="1" applyBorder="1" applyAlignment="1">
      <alignment vertical="top" wrapText="1"/>
    </xf>
    <xf numFmtId="166" fontId="12" fillId="0" borderId="5" xfId="1" applyNumberFormat="1" applyFont="1" applyBorder="1"/>
    <xf numFmtId="0" fontId="15" fillId="0" borderId="8" xfId="0" applyFont="1" applyBorder="1"/>
    <xf numFmtId="9" fontId="12" fillId="0" borderId="8" xfId="0" applyNumberFormat="1" applyFont="1" applyBorder="1"/>
    <xf numFmtId="10" fontId="12" fillId="0" borderId="8" xfId="3" applyNumberFormat="1" applyFont="1" applyBorder="1" applyAlignment="1"/>
    <xf numFmtId="2" fontId="12" fillId="2" borderId="8" xfId="1" applyNumberFormat="1" applyFont="1" applyFill="1" applyBorder="1"/>
    <xf numFmtId="0" fontId="12" fillId="0" borderId="8" xfId="0" applyFont="1" applyBorder="1" applyAlignment="1">
      <alignment vertical="center"/>
    </xf>
    <xf numFmtId="2" fontId="12" fillId="0" borderId="8" xfId="0" applyNumberFormat="1" applyFont="1" applyBorder="1" applyAlignment="1">
      <alignment vertical="center"/>
    </xf>
    <xf numFmtId="2" fontId="8" fillId="0" borderId="8" xfId="1" applyNumberFormat="1" applyFont="1" applyBorder="1"/>
    <xf numFmtId="164" fontId="13" fillId="0" borderId="8" xfId="1" applyFont="1" applyBorder="1" applyAlignment="1">
      <alignment horizontal="center" vertical="top" wrapText="1"/>
    </xf>
    <xf numFmtId="0" fontId="12" fillId="0" borderId="8" xfId="1" applyNumberFormat="1" applyFont="1" applyBorder="1"/>
    <xf numFmtId="1" fontId="12" fillId="0" borderId="8" xfId="1" applyNumberFormat="1" applyFont="1" applyBorder="1"/>
    <xf numFmtId="0" fontId="13" fillId="7" borderId="8" xfId="0" applyFont="1" applyFill="1" applyBorder="1" applyAlignment="1">
      <alignment horizontal="right"/>
    </xf>
    <xf numFmtId="164" fontId="13" fillId="0" borderId="8" xfId="1" applyFont="1" applyBorder="1" applyAlignment="1">
      <alignment vertical="top" wrapText="1"/>
    </xf>
    <xf numFmtId="0" fontId="7" fillId="4" borderId="8" xfId="0" applyFont="1" applyFill="1" applyBorder="1"/>
    <xf numFmtId="167" fontId="7" fillId="4" borderId="8" xfId="0" applyNumberFormat="1" applyFont="1" applyFill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13" fillId="5" borderId="8" xfId="0" applyFont="1" applyFill="1" applyBorder="1" applyAlignment="1">
      <alignment vertical="center"/>
    </xf>
    <xf numFmtId="0" fontId="13" fillId="5" borderId="8" xfId="0" applyFont="1" applyFill="1" applyBorder="1"/>
    <xf numFmtId="10" fontId="13" fillId="5" borderId="8" xfId="3" applyNumberFormat="1" applyFont="1" applyFill="1" applyBorder="1" applyAlignment="1">
      <alignment horizontal="center" vertical="center"/>
    </xf>
    <xf numFmtId="10" fontId="13" fillId="5" borderId="8" xfId="3" applyNumberFormat="1" applyFont="1" applyFill="1" applyBorder="1" applyAlignment="1">
      <alignment vertical="center"/>
    </xf>
    <xf numFmtId="169" fontId="12" fillId="0" borderId="8" xfId="0" applyNumberFormat="1" applyFont="1" applyBorder="1"/>
    <xf numFmtId="169" fontId="12" fillId="0" borderId="8" xfId="1" applyNumberFormat="1" applyFont="1" applyBorder="1"/>
    <xf numFmtId="164" fontId="13" fillId="5" borderId="8" xfId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2" fontId="13" fillId="5" borderId="8" xfId="0" applyNumberFormat="1" applyFont="1" applyFill="1" applyBorder="1" applyAlignment="1">
      <alignment horizontal="center" vertical="center"/>
    </xf>
    <xf numFmtId="164" fontId="7" fillId="4" borderId="8" xfId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9" fontId="30" fillId="0" borderId="8" xfId="3" applyFont="1" applyFill="1" applyBorder="1"/>
    <xf numFmtId="0" fontId="12" fillId="0" borderId="8" xfId="0" applyFont="1" applyBorder="1" applyAlignment="1">
      <alignment horizontal="left" vertical="top" wrapText="1"/>
    </xf>
    <xf numFmtId="2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9" fillId="0" borderId="8" xfId="7" applyNumberFormat="1" applyFont="1" applyBorder="1" applyAlignment="1">
      <alignment vertical="center" wrapText="1"/>
    </xf>
    <xf numFmtId="0" fontId="9" fillId="0" borderId="8" xfId="7" applyFont="1" applyBorder="1" applyAlignment="1">
      <alignment vertical="center"/>
    </xf>
    <xf numFmtId="0" fontId="3" fillId="0" borderId="8" xfId="7" applyBorder="1" applyAlignment="1">
      <alignment vertical="center"/>
    </xf>
    <xf numFmtId="0" fontId="3" fillId="0" borderId="8" xfId="7" applyBorder="1" applyAlignment="1">
      <alignment vertical="center" wrapText="1"/>
    </xf>
    <xf numFmtId="0" fontId="3" fillId="0" borderId="8" xfId="7" applyBorder="1" applyAlignment="1">
      <alignment horizontal="center" vertical="center"/>
    </xf>
    <xf numFmtId="0" fontId="3" fillId="0" borderId="8" xfId="7" applyBorder="1" applyAlignment="1">
      <alignment horizontal="center" vertical="center" wrapText="1"/>
    </xf>
    <xf numFmtId="0" fontId="3" fillId="0" borderId="7" xfId="7" applyBorder="1" applyAlignment="1">
      <alignment horizontal="center" vertical="center" wrapText="1"/>
    </xf>
    <xf numFmtId="0" fontId="3" fillId="0" borderId="7" xfId="7" applyBorder="1" applyAlignment="1">
      <alignment horizontal="center" vertical="center"/>
    </xf>
    <xf numFmtId="2" fontId="3" fillId="0" borderId="8" xfId="7" applyNumberForma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1" fontId="9" fillId="10" borderId="8" xfId="0" applyNumberFormat="1" applyFont="1" applyFill="1" applyBorder="1" applyAlignment="1">
      <alignment vertical="center"/>
    </xf>
    <xf numFmtId="0" fontId="9" fillId="11" borderId="8" xfId="0" applyFont="1" applyFill="1" applyBorder="1" applyAlignment="1">
      <alignment horizontal="center" vertical="center" wrapText="1"/>
    </xf>
    <xf numFmtId="1" fontId="9" fillId="11" borderId="8" xfId="0" applyNumberFormat="1" applyFont="1" applyFill="1" applyBorder="1" applyAlignment="1">
      <alignment horizontal="center" vertical="center" wrapText="1"/>
    </xf>
    <xf numFmtId="1" fontId="9" fillId="11" borderId="8" xfId="3" applyNumberFormat="1" applyFont="1" applyFill="1" applyBorder="1" applyAlignment="1">
      <alignment horizontal="center" vertical="center" wrapText="1"/>
    </xf>
    <xf numFmtId="170" fontId="9" fillId="11" borderId="8" xfId="0" applyNumberFormat="1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170" fontId="9" fillId="12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70" fontId="9" fillId="0" borderId="8" xfId="0" applyNumberFormat="1" applyFont="1" applyBorder="1" applyAlignment="1">
      <alignment horizontal="center" vertical="center" wrapText="1"/>
    </xf>
    <xf numFmtId="0" fontId="13" fillId="8" borderId="0" xfId="0" applyFont="1" applyFill="1" applyAlignment="1">
      <alignment horizontal="center"/>
    </xf>
    <xf numFmtId="170" fontId="12" fillId="0" borderId="0" xfId="0" applyNumberFormat="1" applyFont="1"/>
    <xf numFmtId="0" fontId="12" fillId="0" borderId="8" xfId="0" applyFont="1" applyBorder="1" applyAlignment="1">
      <alignment horizontal="left" vertical="center"/>
    </xf>
    <xf numFmtId="1" fontId="12" fillId="0" borderId="8" xfId="0" applyNumberFormat="1" applyFont="1" applyBorder="1" applyAlignment="1">
      <alignment horizontal="center" vertical="center"/>
    </xf>
    <xf numFmtId="170" fontId="12" fillId="0" borderId="8" xfId="0" applyNumberFormat="1" applyFont="1" applyBorder="1" applyAlignment="1">
      <alignment horizontal="center" vertical="center"/>
    </xf>
    <xf numFmtId="171" fontId="12" fillId="0" borderId="8" xfId="0" applyNumberFormat="1" applyFont="1" applyBorder="1" applyAlignment="1">
      <alignment vertical="center"/>
    </xf>
    <xf numFmtId="0" fontId="2" fillId="0" borderId="0" xfId="7" applyFont="1" applyAlignment="1">
      <alignment horizontal="center" wrapText="1"/>
    </xf>
    <xf numFmtId="0" fontId="9" fillId="0" borderId="2" xfId="7" applyFont="1" applyBorder="1"/>
    <xf numFmtId="0" fontId="2" fillId="0" borderId="2" xfId="7" applyFont="1" applyBorder="1"/>
    <xf numFmtId="0" fontId="2" fillId="0" borderId="2" xfId="7" applyFont="1" applyBorder="1" applyAlignment="1">
      <alignment horizontal="left"/>
    </xf>
    <xf numFmtId="10" fontId="2" fillId="0" borderId="2" xfId="7" applyNumberFormat="1" applyFont="1" applyBorder="1" applyAlignment="1">
      <alignment horizontal="left"/>
    </xf>
    <xf numFmtId="0" fontId="9" fillId="0" borderId="8" xfId="7" applyFont="1" applyBorder="1" applyAlignment="1">
      <alignment horizontal="center" vertical="center"/>
    </xf>
    <xf numFmtId="17" fontId="9" fillId="0" borderId="8" xfId="7" applyNumberFormat="1" applyFont="1" applyBorder="1" applyAlignment="1">
      <alignment horizontal="center" vertical="center"/>
    </xf>
    <xf numFmtId="17" fontId="2" fillId="0" borderId="8" xfId="7" applyNumberFormat="1" applyFont="1" applyBorder="1" applyAlignment="1">
      <alignment horizontal="center" vertical="center"/>
    </xf>
    <xf numFmtId="2" fontId="2" fillId="0" borderId="8" xfId="7" applyNumberFormat="1" applyFont="1" applyBorder="1" applyAlignment="1">
      <alignment horizontal="center" vertical="center"/>
    </xf>
    <xf numFmtId="17" fontId="2" fillId="0" borderId="5" xfId="7" applyNumberFormat="1" applyFont="1" applyBorder="1" applyAlignment="1">
      <alignment horizontal="center" vertical="center"/>
    </xf>
    <xf numFmtId="2" fontId="2" fillId="0" borderId="5" xfId="7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17" fontId="2" fillId="0" borderId="4" xfId="7" applyNumberFormat="1" applyFont="1" applyBorder="1" applyAlignment="1">
      <alignment horizontal="center" vertical="center"/>
    </xf>
    <xf numFmtId="0" fontId="2" fillId="0" borderId="4" xfId="7" applyFont="1" applyBorder="1" applyAlignment="1">
      <alignment horizontal="center" vertical="center"/>
    </xf>
    <xf numFmtId="2" fontId="2" fillId="0" borderId="4" xfId="7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" fontId="2" fillId="0" borderId="0" xfId="7" applyNumberFormat="1" applyFont="1" applyAlignment="1">
      <alignment horizontal="center" vertical="center"/>
    </xf>
    <xf numFmtId="2" fontId="2" fillId="0" borderId="0" xfId="7" applyNumberFormat="1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0" fontId="21" fillId="0" borderId="27" xfId="0" applyFont="1" applyBorder="1" applyAlignment="1">
      <alignment horizontal="right" vertical="center"/>
    </xf>
    <xf numFmtId="17" fontId="35" fillId="0" borderId="30" xfId="7" applyNumberFormat="1" applyFont="1" applyBorder="1" applyAlignment="1">
      <alignment horizontal="right" wrapText="1"/>
    </xf>
    <xf numFmtId="17" fontId="35" fillId="0" borderId="29" xfId="7" applyNumberFormat="1" applyFont="1" applyBorder="1" applyAlignment="1">
      <alignment horizontal="right" wrapText="1"/>
    </xf>
    <xf numFmtId="0" fontId="21" fillId="0" borderId="30" xfId="0" applyFont="1" applyBorder="1" applyAlignment="1">
      <alignment vertical="center"/>
    </xf>
    <xf numFmtId="10" fontId="21" fillId="0" borderId="31" xfId="0" applyNumberFormat="1" applyFont="1" applyBorder="1" applyAlignment="1">
      <alignment horizontal="right" vertical="center"/>
    </xf>
    <xf numFmtId="17" fontId="21" fillId="0" borderId="0" xfId="0" applyNumberFormat="1" applyFont="1" applyAlignment="1">
      <alignment horizontal="right" vertical="center"/>
    </xf>
    <xf numFmtId="17" fontId="21" fillId="0" borderId="30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39" fontId="1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9" fontId="15" fillId="0" borderId="0" xfId="0" applyNumberFormat="1" applyFont="1" applyAlignment="1">
      <alignment horizontal="right" vertical="center"/>
    </xf>
    <xf numFmtId="0" fontId="13" fillId="0" borderId="8" xfId="0" applyFont="1" applyBorder="1" applyAlignment="1">
      <alignment vertical="center"/>
    </xf>
    <xf numFmtId="2" fontId="13" fillId="0" borderId="8" xfId="8" applyNumberFormat="1" applyFont="1" applyFill="1" applyBorder="1" applyAlignment="1" applyProtection="1">
      <alignment vertical="center"/>
    </xf>
    <xf numFmtId="0" fontId="13" fillId="0" borderId="1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9" fontId="12" fillId="0" borderId="8" xfId="0" applyNumberFormat="1" applyFont="1" applyBorder="1" applyAlignment="1">
      <alignment horizontal="center" vertical="center"/>
    </xf>
    <xf numFmtId="2" fontId="12" fillId="0" borderId="8" xfId="8" applyNumberFormat="1" applyFont="1" applyFill="1" applyBorder="1" applyAlignment="1" applyProtection="1">
      <alignment horizontal="center" vertical="center"/>
    </xf>
    <xf numFmtId="2" fontId="12" fillId="0" borderId="8" xfId="8" applyNumberFormat="1" applyFont="1" applyFill="1" applyBorder="1" applyAlignment="1" applyProtection="1">
      <alignment horizontal="right" vertical="center"/>
    </xf>
    <xf numFmtId="2" fontId="13" fillId="0" borderId="8" xfId="8" applyNumberFormat="1" applyFont="1" applyFill="1" applyBorder="1" applyAlignment="1" applyProtection="1">
      <alignment horizontal="right" vertical="center"/>
    </xf>
    <xf numFmtId="0" fontId="12" fillId="0" borderId="1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9" fontId="13" fillId="0" borderId="8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right" vertical="center"/>
    </xf>
    <xf numFmtId="2" fontId="12" fillId="0" borderId="8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indent="3"/>
    </xf>
    <xf numFmtId="0" fontId="13" fillId="0" borderId="6" xfId="0" applyFont="1" applyBorder="1" applyAlignment="1">
      <alignment horizontal="left" indent="3"/>
    </xf>
    <xf numFmtId="164" fontId="12" fillId="0" borderId="9" xfId="1" applyFont="1" applyBorder="1" applyAlignment="1">
      <alignment horizontal="left"/>
    </xf>
    <xf numFmtId="166" fontId="12" fillId="0" borderId="8" xfId="0" applyNumberFormat="1" applyFont="1" applyBorder="1"/>
    <xf numFmtId="0" fontId="13" fillId="7" borderId="0" xfId="0" applyFont="1" applyFill="1"/>
    <xf numFmtId="2" fontId="13" fillId="7" borderId="0" xfId="0" applyNumberFormat="1" applyFont="1" applyFill="1"/>
    <xf numFmtId="10" fontId="14" fillId="0" borderId="28" xfId="3" applyNumberFormat="1" applyFont="1" applyBorder="1" applyAlignment="1">
      <alignment horizontal="center" vertical="center"/>
    </xf>
    <xf numFmtId="10" fontId="14" fillId="0" borderId="30" xfId="3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3" fillId="0" borderId="8" xfId="0" applyFont="1" applyBorder="1" applyAlignment="1">
      <alignment horizontal="right" vertical="top" wrapText="1"/>
    </xf>
    <xf numFmtId="0" fontId="7" fillId="4" borderId="8" xfId="0" applyFont="1" applyFill="1" applyBorder="1" applyAlignment="1">
      <alignment wrapText="1"/>
    </xf>
    <xf numFmtId="2" fontId="13" fillId="7" borderId="10" xfId="1" applyNumberFormat="1" applyFont="1" applyFill="1" applyBorder="1"/>
    <xf numFmtId="2" fontId="13" fillId="7" borderId="9" xfId="1" applyNumberFormat="1" applyFont="1" applyFill="1" applyBorder="1"/>
    <xf numFmtId="164" fontId="13" fillId="0" borderId="8" xfId="1" applyFont="1" applyBorder="1" applyAlignment="1">
      <alignment horizontal="center" vertical="center"/>
    </xf>
    <xf numFmtId="0" fontId="25" fillId="4" borderId="0" xfId="0" applyFont="1" applyFill="1"/>
    <xf numFmtId="164" fontId="33" fillId="4" borderId="0" xfId="1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top"/>
    </xf>
    <xf numFmtId="0" fontId="25" fillId="4" borderId="0" xfId="0" applyFont="1" applyFill="1" applyAlignment="1">
      <alignment horizontal="center" vertical="top"/>
    </xf>
    <xf numFmtId="9" fontId="30" fillId="0" borderId="8" xfId="0" applyNumberFormat="1" applyFont="1" applyBorder="1"/>
    <xf numFmtId="0" fontId="29" fillId="0" borderId="0" xfId="0" applyFont="1"/>
    <xf numFmtId="2" fontId="30" fillId="0" borderId="8" xfId="0" applyNumberFormat="1" applyFont="1" applyBorder="1"/>
    <xf numFmtId="9" fontId="30" fillId="0" borderId="8" xfId="3" applyFont="1" applyBorder="1"/>
    <xf numFmtId="2" fontId="30" fillId="0" borderId="8" xfId="3" applyNumberFormat="1" applyFont="1" applyBorder="1"/>
    <xf numFmtId="164" fontId="13" fillId="7" borderId="0" xfId="1" applyFont="1" applyFill="1"/>
    <xf numFmtId="9" fontId="12" fillId="2" borderId="8" xfId="1" applyNumberFormat="1" applyFont="1" applyFill="1" applyBorder="1"/>
    <xf numFmtId="2" fontId="12" fillId="0" borderId="1" xfId="0" applyNumberFormat="1" applyFont="1" applyBorder="1"/>
    <xf numFmtId="9" fontId="12" fillId="0" borderId="1" xfId="0" applyNumberFormat="1" applyFont="1" applyBorder="1"/>
    <xf numFmtId="0" fontId="12" fillId="2" borderId="8" xfId="0" applyFont="1" applyFill="1" applyBorder="1"/>
    <xf numFmtId="0" fontId="17" fillId="0" borderId="8" xfId="0" applyFont="1" applyBorder="1"/>
    <xf numFmtId="2" fontId="12" fillId="0" borderId="8" xfId="3" applyNumberFormat="1" applyFont="1" applyBorder="1" applyAlignment="1">
      <alignment vertical="center"/>
    </xf>
    <xf numFmtId="2" fontId="13" fillId="0" borderId="8" xfId="0" applyNumberFormat="1" applyFont="1" applyBorder="1" applyAlignment="1">
      <alignment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0" fontId="12" fillId="0" borderId="0" xfId="0" applyNumberFormat="1" applyFont="1" applyAlignment="1">
      <alignment vertical="center"/>
    </xf>
    <xf numFmtId="16" fontId="0" fillId="0" borderId="0" xfId="0" applyNumberFormat="1"/>
    <xf numFmtId="2" fontId="0" fillId="0" borderId="0" xfId="0" applyNumberFormat="1"/>
    <xf numFmtId="0" fontId="1" fillId="0" borderId="0" xfId="7" applyFont="1" applyAlignment="1">
      <alignment horizontal="center" wrapText="1"/>
    </xf>
    <xf numFmtId="9" fontId="12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2" fontId="36" fillId="0" borderId="0" xfId="0" applyNumberFormat="1" applyFont="1" applyAlignment="1">
      <alignment vertical="center"/>
    </xf>
    <xf numFmtId="10" fontId="36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10" fontId="13" fillId="0" borderId="8" xfId="0" applyNumberFormat="1" applyFont="1" applyBorder="1"/>
    <xf numFmtId="0" fontId="29" fillId="0" borderId="9" xfId="0" applyFont="1" applyBorder="1"/>
    <xf numFmtId="0" fontId="0" fillId="0" borderId="9" xfId="0" applyBorder="1"/>
    <xf numFmtId="164" fontId="27" fillId="0" borderId="8" xfId="0" applyNumberFormat="1" applyFont="1" applyBorder="1"/>
    <xf numFmtId="0" fontId="27" fillId="7" borderId="8" xfId="0" applyFont="1" applyFill="1" applyBorder="1"/>
    <xf numFmtId="0" fontId="13" fillId="0" borderId="10" xfId="0" applyFont="1" applyBorder="1"/>
    <xf numFmtId="0" fontId="17" fillId="2" borderId="8" xfId="0" applyFont="1" applyFill="1" applyBorder="1"/>
    <xf numFmtId="0" fontId="12" fillId="14" borderId="8" xfId="0" applyFont="1" applyFill="1" applyBorder="1"/>
    <xf numFmtId="0" fontId="12" fillId="15" borderId="8" xfId="0" applyFont="1" applyFill="1" applyBorder="1"/>
    <xf numFmtId="9" fontId="12" fillId="0" borderId="8" xfId="1" applyNumberFormat="1" applyFont="1" applyFill="1" applyBorder="1"/>
    <xf numFmtId="0" fontId="9" fillId="6" borderId="8" xfId="0" applyFont="1" applyFill="1" applyBorder="1" applyAlignment="1">
      <alignment horizontal="center" vertical="center" wrapText="1"/>
    </xf>
    <xf numFmtId="2" fontId="12" fillId="0" borderId="11" xfId="0" applyNumberFormat="1" applyFont="1" applyBorder="1"/>
    <xf numFmtId="2" fontId="12" fillId="0" borderId="11" xfId="1" applyNumberFormat="1" applyFont="1" applyBorder="1"/>
    <xf numFmtId="2" fontId="12" fillId="15" borderId="8" xfId="1" applyNumberFormat="1" applyFont="1" applyFill="1" applyBorder="1"/>
    <xf numFmtId="0" fontId="12" fillId="15" borderId="0" xfId="0" applyFont="1" applyFill="1"/>
    <xf numFmtId="0" fontId="13" fillId="15" borderId="0" xfId="0" applyFont="1" applyFill="1"/>
    <xf numFmtId="2" fontId="13" fillId="0" borderId="8" xfId="0" applyNumberFormat="1" applyFont="1" applyBorder="1" applyAlignment="1">
      <alignment horizontal="center" vertical="center"/>
    </xf>
    <xf numFmtId="0" fontId="12" fillId="2" borderId="6" xfId="0" applyFont="1" applyFill="1" applyBorder="1"/>
    <xf numFmtId="0" fontId="13" fillId="2" borderId="9" xfId="0" applyFont="1" applyFill="1" applyBorder="1"/>
    <xf numFmtId="0" fontId="37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8" borderId="0" xfId="0" applyFont="1" applyFill="1" applyAlignment="1">
      <alignment horizontal="center"/>
    </xf>
    <xf numFmtId="0" fontId="18" fillId="0" borderId="0" xfId="2" applyFont="1" applyAlignment="1">
      <alignment horizontal="right"/>
    </xf>
    <xf numFmtId="0" fontId="13" fillId="0" borderId="0" xfId="0" applyFont="1" applyAlignment="1">
      <alignment horizontal="center"/>
    </xf>
    <xf numFmtId="0" fontId="18" fillId="0" borderId="0" xfId="2" applyFont="1" applyAlignment="1">
      <alignment horizontal="center"/>
    </xf>
    <xf numFmtId="0" fontId="12" fillId="13" borderId="0" xfId="0" applyFont="1" applyFill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 wrapText="1"/>
    </xf>
    <xf numFmtId="0" fontId="13" fillId="7" borderId="8" xfId="0" applyFont="1" applyFill="1" applyBorder="1" applyAlignment="1">
      <alignment horizontal="justify" vertical="top" wrapText="1"/>
    </xf>
    <xf numFmtId="0" fontId="13" fillId="7" borderId="8" xfId="0" applyFont="1" applyFill="1" applyBorder="1" applyAlignment="1">
      <alignment vertical="top" wrapText="1"/>
    </xf>
    <xf numFmtId="0" fontId="13" fillId="7" borderId="8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/>
    </xf>
    <xf numFmtId="0" fontId="12" fillId="0" borderId="1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3" fillId="7" borderId="11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18" xfId="0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 vertical="top"/>
    </xf>
    <xf numFmtId="0" fontId="13" fillId="7" borderId="3" xfId="0" applyFont="1" applyFill="1" applyBorder="1" applyAlignment="1">
      <alignment horizontal="center" vertical="top"/>
    </xf>
    <xf numFmtId="0" fontId="13" fillId="7" borderId="18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left"/>
    </xf>
    <xf numFmtId="0" fontId="12" fillId="0" borderId="1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 wrapText="1"/>
    </xf>
    <xf numFmtId="0" fontId="12" fillId="0" borderId="18" xfId="0" applyFont="1" applyBorder="1" applyAlignment="1">
      <alignment horizontal="right" vertical="top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2" fontId="12" fillId="0" borderId="11" xfId="0" applyNumberFormat="1" applyFont="1" applyBorder="1" applyAlignment="1">
      <alignment horizontal="left" vertical="top" wrapText="1"/>
    </xf>
    <xf numFmtId="2" fontId="12" fillId="0" borderId="3" xfId="0" applyNumberFormat="1" applyFont="1" applyBorder="1" applyAlignment="1">
      <alignment horizontal="left" vertical="top" wrapText="1"/>
    </xf>
    <xf numFmtId="2" fontId="12" fillId="0" borderId="18" xfId="0" applyNumberFormat="1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43" fontId="7" fillId="4" borderId="4" xfId="0" applyNumberFormat="1" applyFont="1" applyFill="1" applyBorder="1" applyAlignment="1">
      <alignment horizontal="left" vertical="top" wrapText="1"/>
    </xf>
    <xf numFmtId="0" fontId="13" fillId="8" borderId="0" xfId="0" applyFont="1" applyFill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7" fillId="4" borderId="8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18" xfId="0" applyFont="1" applyFill="1" applyBorder="1" applyAlignment="1">
      <alignment horizontal="center" vertical="top"/>
    </xf>
    <xf numFmtId="0" fontId="13" fillId="13" borderId="2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1" applyFont="1" applyAlignment="1">
      <alignment horizont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19" fillId="0" borderId="0" xfId="0" applyFont="1" applyAlignment="1">
      <alignment horizont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0" fontId="19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2" fillId="0" borderId="0" xfId="7" applyFont="1" applyAlignment="1">
      <alignment horizontal="center" wrapText="1"/>
    </xf>
    <xf numFmtId="0" fontId="2" fillId="0" borderId="2" xfId="7" applyFont="1" applyBorder="1" applyAlignment="1">
      <alignment horizontal="center"/>
    </xf>
    <xf numFmtId="164" fontId="33" fillId="4" borderId="10" xfId="1" applyFont="1" applyFill="1" applyBorder="1" applyAlignment="1">
      <alignment horizontal="center" vertical="center"/>
    </xf>
    <xf numFmtId="164" fontId="33" fillId="4" borderId="2" xfId="1" applyFont="1" applyFill="1" applyBorder="1" applyAlignment="1">
      <alignment horizontal="center" vertical="center"/>
    </xf>
  </cellXfs>
  <cellStyles count="9">
    <cellStyle name="Comma" xfId="1" builtinId="3"/>
    <cellStyle name="Comma 10" xfId="5"/>
    <cellStyle name="Comma 2" xfId="8"/>
    <cellStyle name="Hyperlink" xfId="2" builtinId="8"/>
    <cellStyle name="Migliaia 6" xfId="4"/>
    <cellStyle name="Normal" xfId="0" builtinId="0"/>
    <cellStyle name="Normal 2 2" xfId="6"/>
    <cellStyle name="Normal 5" xfId="7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838800149981253"/>
          <c:y val="2.6600626666528973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Analysis'!$B$8</c:f>
              <c:strCache>
                <c:ptCount val="1"/>
                <c:pt idx="0">
                  <c:v>EBITDA Margin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'Ratio Analysis'!$E$4:$Q$4</c:f>
              <c:strCache>
                <c:ptCount val="13"/>
                <c:pt idx="0">
                  <c:v>27-28</c:v>
                </c:pt>
                <c:pt idx="1">
                  <c:v>28-29</c:v>
                </c:pt>
                <c:pt idx="2">
                  <c:v>29-30</c:v>
                </c:pt>
                <c:pt idx="3">
                  <c:v>30-31</c:v>
                </c:pt>
                <c:pt idx="4">
                  <c:v>31-32</c:v>
                </c:pt>
                <c:pt idx="5">
                  <c:v>32-33</c:v>
                </c:pt>
                <c:pt idx="6">
                  <c:v>33-34</c:v>
                </c:pt>
                <c:pt idx="7">
                  <c:v>34-35</c:v>
                </c:pt>
                <c:pt idx="8">
                  <c:v>35-36</c:v>
                </c:pt>
                <c:pt idx="9">
                  <c:v>36-37</c:v>
                </c:pt>
                <c:pt idx="10">
                  <c:v>37-38</c:v>
                </c:pt>
                <c:pt idx="11">
                  <c:v>38-39</c:v>
                </c:pt>
                <c:pt idx="12">
                  <c:v>39-40</c:v>
                </c:pt>
              </c:strCache>
            </c:strRef>
          </c:cat>
          <c:val>
            <c:numRef>
              <c:f>'Ratio Analysis'!$E$8:$Q$8</c:f>
              <c:numCache>
                <c:formatCode>0.00%</c:formatCode>
                <c:ptCount val="13"/>
                <c:pt idx="0">
                  <c:v>0.34108628383075112</c:v>
                </c:pt>
                <c:pt idx="1">
                  <c:v>0.36586346805147885</c:v>
                </c:pt>
                <c:pt idx="2">
                  <c:v>0.37275950980392158</c:v>
                </c:pt>
                <c:pt idx="3">
                  <c:v>0.37095011058930044</c:v>
                </c:pt>
                <c:pt idx="4">
                  <c:v>0.36888444449481261</c:v>
                </c:pt>
                <c:pt idx="5">
                  <c:v>0.36656936328355705</c:v>
                </c:pt>
                <c:pt idx="6">
                  <c:v>0.36400831392780664</c:v>
                </c:pt>
                <c:pt idx="7">
                  <c:v>0.35484328099630386</c:v>
                </c:pt>
                <c:pt idx="8">
                  <c:v>0.3452450490196165</c:v>
                </c:pt>
                <c:pt idx="9">
                  <c:v>0.33517475101050154</c:v>
                </c:pt>
                <c:pt idx="10">
                  <c:v>0.32463131465669581</c:v>
                </c:pt>
                <c:pt idx="11">
                  <c:v>0.31359634038830059</c:v>
                </c:pt>
                <c:pt idx="12">
                  <c:v>0.30201394138357479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68-41FF-A333-012C637C2B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5169504"/>
        <c:axId val="158219624"/>
      </c:barChart>
      <c:catAx>
        <c:axId val="305169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</a:t>
                </a:r>
                <a:r>
                  <a:rPr lang="en-IN" b="1" i="1" baseline="0"/>
                  <a:t> the Financial Year</a:t>
                </a:r>
              </a:p>
            </c:rich>
          </c:tx>
          <c:layout>
            <c:manualLayout>
              <c:xMode val="edge"/>
              <c:yMode val="edge"/>
              <c:x val="0.44981566434630449"/>
              <c:y val="0.90406186834940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19624"/>
        <c:crosses val="autoZero"/>
        <c:auto val="1"/>
        <c:lblAlgn val="ctr"/>
        <c:lblOffset val="100"/>
        <c:noMultiLvlLbl val="0"/>
      </c:catAx>
      <c:valAx>
        <c:axId val="15821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Margin</a:t>
                </a:r>
                <a:r>
                  <a:rPr lang="en-IN" b="1" i="1" baseline="0"/>
                  <a:t> %</a:t>
                </a:r>
                <a:endParaRPr lang="en-IN" b="1" i="1"/>
              </a:p>
            </c:rich>
          </c:tx>
          <c:layout>
            <c:manualLayout>
              <c:xMode val="edge"/>
              <c:yMode val="edge"/>
              <c:x val="1.3526570048309179E-2"/>
              <c:y val="0.39225141634598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6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EBIT Margin %</a:t>
            </a: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Analysis'!$B$8</c:f>
              <c:strCache>
                <c:ptCount val="1"/>
                <c:pt idx="0">
                  <c:v>EBITDA Margin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'Ratio Analysis'!$E$4:$Q$4</c:f>
              <c:strCache>
                <c:ptCount val="13"/>
                <c:pt idx="0">
                  <c:v>27-28</c:v>
                </c:pt>
                <c:pt idx="1">
                  <c:v>28-29</c:v>
                </c:pt>
                <c:pt idx="2">
                  <c:v>29-30</c:v>
                </c:pt>
                <c:pt idx="3">
                  <c:v>30-31</c:v>
                </c:pt>
                <c:pt idx="4">
                  <c:v>31-32</c:v>
                </c:pt>
                <c:pt idx="5">
                  <c:v>32-33</c:v>
                </c:pt>
                <c:pt idx="6">
                  <c:v>33-34</c:v>
                </c:pt>
                <c:pt idx="7">
                  <c:v>34-35</c:v>
                </c:pt>
                <c:pt idx="8">
                  <c:v>35-36</c:v>
                </c:pt>
                <c:pt idx="9">
                  <c:v>36-37</c:v>
                </c:pt>
                <c:pt idx="10">
                  <c:v>37-38</c:v>
                </c:pt>
                <c:pt idx="11">
                  <c:v>38-39</c:v>
                </c:pt>
                <c:pt idx="12">
                  <c:v>39-40</c:v>
                </c:pt>
              </c:strCache>
            </c:strRef>
          </c:cat>
          <c:val>
            <c:numRef>
              <c:f>'Ratio Analysis'!$E$10:$Q$10</c:f>
              <c:numCache>
                <c:formatCode>0.00%</c:formatCode>
                <c:ptCount val="13"/>
                <c:pt idx="0">
                  <c:v>-1.0331412426844731E-2</c:v>
                </c:pt>
                <c:pt idx="1">
                  <c:v>0.11518627229622939</c:v>
                </c:pt>
                <c:pt idx="2">
                  <c:v>0.17744503862150923</c:v>
                </c:pt>
                <c:pt idx="3">
                  <c:v>0.21134965309595491</c:v>
                </c:pt>
                <c:pt idx="4">
                  <c:v>0.23809269150294471</c:v>
                </c:pt>
                <c:pt idx="5">
                  <c:v>0.25912961094568993</c:v>
                </c:pt>
                <c:pt idx="6">
                  <c:v>0.27557318974068307</c:v>
                </c:pt>
                <c:pt idx="7">
                  <c:v>0.27954719670060357</c:v>
                </c:pt>
                <c:pt idx="8">
                  <c:v>0.28110098247381865</c:v>
                </c:pt>
                <c:pt idx="9">
                  <c:v>0.28050589683075938</c:v>
                </c:pt>
                <c:pt idx="10">
                  <c:v>0.27802004243512318</c:v>
                </c:pt>
                <c:pt idx="11">
                  <c:v>0.2738420112982306</c:v>
                </c:pt>
                <c:pt idx="12">
                  <c:v>0.26809757810054741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D8-4451-88CD-D90286A4B0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6490872"/>
        <c:axId val="305307088"/>
      </c:barChart>
      <c:catAx>
        <c:axId val="306490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 the financial year</a:t>
                </a:r>
              </a:p>
            </c:rich>
          </c:tx>
          <c:layout>
            <c:manualLayout>
              <c:xMode val="edge"/>
              <c:yMode val="edge"/>
              <c:x val="0.45592305961754781"/>
              <c:y val="0.90130766407420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307088"/>
        <c:crosses val="autoZero"/>
        <c:auto val="1"/>
        <c:lblAlgn val="ctr"/>
        <c:lblOffset val="100"/>
        <c:noMultiLvlLbl val="0"/>
      </c:catAx>
      <c:valAx>
        <c:axId val="30530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Margin %</a:t>
                </a:r>
              </a:p>
            </c:rich>
          </c:tx>
          <c:layout>
            <c:manualLayout>
              <c:xMode val="edge"/>
              <c:yMode val="edge"/>
              <c:x val="1.5238095238095238E-2"/>
              <c:y val="0.38665973675256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49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 Profit Margin %</a:t>
            </a:r>
          </a:p>
        </c:rich>
      </c:tx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Analysis'!$B$12</c:f>
              <c:strCache>
                <c:ptCount val="1"/>
                <c:pt idx="0">
                  <c:v>Net Profit Margin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'Ratio Analysis'!$E$4:$Q$4</c:f>
              <c:strCache>
                <c:ptCount val="13"/>
                <c:pt idx="0">
                  <c:v>27-28</c:v>
                </c:pt>
                <c:pt idx="1">
                  <c:v>28-29</c:v>
                </c:pt>
                <c:pt idx="2">
                  <c:v>29-30</c:v>
                </c:pt>
                <c:pt idx="3">
                  <c:v>30-31</c:v>
                </c:pt>
                <c:pt idx="4">
                  <c:v>31-32</c:v>
                </c:pt>
                <c:pt idx="5">
                  <c:v>32-33</c:v>
                </c:pt>
                <c:pt idx="6">
                  <c:v>33-34</c:v>
                </c:pt>
                <c:pt idx="7">
                  <c:v>34-35</c:v>
                </c:pt>
                <c:pt idx="8">
                  <c:v>35-36</c:v>
                </c:pt>
                <c:pt idx="9">
                  <c:v>36-37</c:v>
                </c:pt>
                <c:pt idx="10">
                  <c:v>37-38</c:v>
                </c:pt>
                <c:pt idx="11">
                  <c:v>38-39</c:v>
                </c:pt>
                <c:pt idx="12">
                  <c:v>39-40</c:v>
                </c:pt>
              </c:strCache>
            </c:strRef>
          </c:cat>
          <c:val>
            <c:numRef>
              <c:f>'Ratio Analysis'!$E$12:$Q$12</c:f>
              <c:numCache>
                <c:formatCode>0.00%</c:formatCode>
                <c:ptCount val="13"/>
                <c:pt idx="0">
                  <c:v>-0.23386102204184128</c:v>
                </c:pt>
                <c:pt idx="1">
                  <c:v>-6.0248363061639228E-2</c:v>
                </c:pt>
                <c:pt idx="2">
                  <c:v>2.8306595365418911E-2</c:v>
                </c:pt>
                <c:pt idx="3">
                  <c:v>7.8806126456342385E-2</c:v>
                </c:pt>
                <c:pt idx="4">
                  <c:v>0.11202529530125076</c:v>
                </c:pt>
                <c:pt idx="5">
                  <c:v>0.11205736151782861</c:v>
                </c:pt>
                <c:pt idx="6">
                  <c:v>0.13378262717868786</c:v>
                </c:pt>
                <c:pt idx="7">
                  <c:v>0.14391403862971405</c:v>
                </c:pt>
                <c:pt idx="8">
                  <c:v>0.15334508943030911</c:v>
                </c:pt>
                <c:pt idx="9">
                  <c:v>0.16277945885601805</c:v>
                </c:pt>
                <c:pt idx="10">
                  <c:v>0.17168271584788636</c:v>
                </c:pt>
                <c:pt idx="11">
                  <c:v>0.18052431961912879</c:v>
                </c:pt>
                <c:pt idx="12">
                  <c:v>0.18629973014812251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8F-41E6-88B8-CFB3BC8E2C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7048352"/>
        <c:axId val="266543752"/>
      </c:barChart>
      <c:catAx>
        <c:axId val="26704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 the 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543752"/>
        <c:crosses val="autoZero"/>
        <c:auto val="1"/>
        <c:lblAlgn val="ctr"/>
        <c:lblOffset val="100"/>
        <c:noMultiLvlLbl val="0"/>
      </c:catAx>
      <c:valAx>
        <c:axId val="26654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Margin%</a:t>
                </a:r>
              </a:p>
            </c:rich>
          </c:tx>
          <c:layout>
            <c:manualLayout>
              <c:xMode val="edge"/>
              <c:yMode val="edge"/>
              <c:x val="1.532567049808429E-2"/>
              <c:y val="0.37934419655876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04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179343794364301"/>
          <c:y val="4.1025633662986082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Analysis'!$B$14</c:f>
              <c:strCache>
                <c:ptCount val="1"/>
                <c:pt idx="0">
                  <c:v>Revenue Growth Rate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'Ratio Analysis'!$E$4:$Q$4</c:f>
              <c:strCache>
                <c:ptCount val="13"/>
                <c:pt idx="0">
                  <c:v>27-28</c:v>
                </c:pt>
                <c:pt idx="1">
                  <c:v>28-29</c:v>
                </c:pt>
                <c:pt idx="2">
                  <c:v>29-30</c:v>
                </c:pt>
                <c:pt idx="3">
                  <c:v>30-31</c:v>
                </c:pt>
                <c:pt idx="4">
                  <c:v>31-32</c:v>
                </c:pt>
                <c:pt idx="5">
                  <c:v>32-33</c:v>
                </c:pt>
                <c:pt idx="6">
                  <c:v>33-34</c:v>
                </c:pt>
                <c:pt idx="7">
                  <c:v>34-35</c:v>
                </c:pt>
                <c:pt idx="8">
                  <c:v>35-36</c:v>
                </c:pt>
                <c:pt idx="9">
                  <c:v>36-37</c:v>
                </c:pt>
                <c:pt idx="10">
                  <c:v>37-38</c:v>
                </c:pt>
                <c:pt idx="11">
                  <c:v>38-39</c:v>
                </c:pt>
                <c:pt idx="12">
                  <c:v>39-40</c:v>
                </c:pt>
              </c:strCache>
            </c:strRef>
          </c:cat>
          <c:val>
            <c:numRef>
              <c:f>'Ratio Analysis'!$E$14:$Q$14</c:f>
              <c:numCache>
                <c:formatCode>0.00%</c:formatCode>
                <c:ptCount val="13"/>
                <c:pt idx="0">
                  <c:v>0</c:v>
                </c:pt>
                <c:pt idx="1">
                  <c:v>0.24139516110949155</c:v>
                </c:pt>
                <c:pt idx="2">
                  <c:v>0.13998645292391054</c:v>
                </c:pt>
                <c:pt idx="3">
                  <c:v>8.9340463458110531E-2</c:v>
                </c:pt>
                <c:pt idx="4">
                  <c:v>8.7933266425215706E-2</c:v>
                </c:pt>
                <c:pt idx="5">
                  <c:v>8.6601645798934479E-2</c:v>
                </c:pt>
                <c:pt idx="6">
                  <c:v>8.5371705588503044E-2</c:v>
                </c:pt>
                <c:pt idx="7">
                  <c:v>4.9998582967266669E-2</c:v>
                </c:pt>
                <c:pt idx="8">
                  <c:v>5.0003778759055484E-2</c:v>
                </c:pt>
                <c:pt idx="9">
                  <c:v>4.999768648237346E-2</c:v>
                </c:pt>
                <c:pt idx="10">
                  <c:v>4.9996572558927532E-2</c:v>
                </c:pt>
                <c:pt idx="11">
                  <c:v>5.0003497400265884E-2</c:v>
                </c:pt>
                <c:pt idx="12">
                  <c:v>4.9998223548639364E-2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B4-44F4-980E-5726556E4E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6125656"/>
        <c:axId val="306126048"/>
      </c:barChart>
      <c:catAx>
        <c:axId val="306125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 the 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26048"/>
        <c:crosses val="autoZero"/>
        <c:auto val="1"/>
        <c:lblAlgn val="ctr"/>
        <c:lblOffset val="100"/>
        <c:noMultiLvlLbl val="0"/>
      </c:catAx>
      <c:valAx>
        <c:axId val="30612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Growth Rate % Y-o-Y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2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179343794364301"/>
          <c:y val="4.1025633662986082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'Ratio Analysis'!$B$99</c:f>
              <c:strCache>
                <c:ptCount val="1"/>
                <c:pt idx="0">
                  <c:v>D.S.C.R.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'Ratio Analysis'!$E$90:$Q$90</c:f>
              <c:strCache>
                <c:ptCount val="13"/>
                <c:pt idx="0">
                  <c:v>27-28</c:v>
                </c:pt>
                <c:pt idx="1">
                  <c:v>28-29</c:v>
                </c:pt>
                <c:pt idx="2">
                  <c:v>29-30</c:v>
                </c:pt>
                <c:pt idx="3">
                  <c:v>30-31</c:v>
                </c:pt>
                <c:pt idx="4">
                  <c:v>31-32</c:v>
                </c:pt>
                <c:pt idx="5">
                  <c:v>32-33</c:v>
                </c:pt>
                <c:pt idx="6">
                  <c:v>33-34</c:v>
                </c:pt>
                <c:pt idx="7">
                  <c:v>34-35</c:v>
                </c:pt>
                <c:pt idx="8">
                  <c:v>35-36</c:v>
                </c:pt>
                <c:pt idx="9">
                  <c:v>36-37</c:v>
                </c:pt>
                <c:pt idx="10">
                  <c:v>37-38</c:v>
                </c:pt>
                <c:pt idx="11">
                  <c:v>38-39</c:v>
                </c:pt>
                <c:pt idx="12">
                  <c:v>39-40</c:v>
                </c:pt>
              </c:strCache>
            </c:strRef>
          </c:cat>
          <c:val>
            <c:numRef>
              <c:f>'Ratio Analysis'!$E$99:$Q$99</c:f>
              <c:numCache>
                <c:formatCode>_(* #,##0.00_);_(* \(#,##0.00\);_(* "-"??_);_(@_)</c:formatCode>
                <c:ptCount val="13"/>
                <c:pt idx="0">
                  <c:v>1.3558930362116997</c:v>
                </c:pt>
                <c:pt idx="1">
                  <c:v>1.5933228121927234</c:v>
                </c:pt>
                <c:pt idx="2">
                  <c:v>1.895330075528701</c:v>
                </c:pt>
                <c:pt idx="3">
                  <c:v>2.1055266091331264</c:v>
                </c:pt>
                <c:pt idx="4">
                  <c:v>1.8301614575191982</c:v>
                </c:pt>
                <c:pt idx="5">
                  <c:v>1.8426625218155028</c:v>
                </c:pt>
                <c:pt idx="6">
                  <c:v>2.0113296202495645</c:v>
                </c:pt>
                <c:pt idx="7">
                  <c:v>2.1131439078381828</c:v>
                </c:pt>
                <c:pt idx="8">
                  <c:v>1.6955425426967463</c:v>
                </c:pt>
                <c:pt idx="9">
                  <c:v>1.5578350176562894</c:v>
                </c:pt>
                <c:pt idx="10">
                  <c:v>1.4540729409580448</c:v>
                </c:pt>
                <c:pt idx="11">
                  <c:v>1.2788962765516145</c:v>
                </c:pt>
                <c:pt idx="12">
                  <c:v>2.7700869541640101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25-47F2-8420-D504359D66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6126832"/>
        <c:axId val="306127616"/>
      </c:barChart>
      <c:catAx>
        <c:axId val="30612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For the financial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27616"/>
        <c:crosses val="autoZero"/>
        <c:auto val="1"/>
        <c:lblAlgn val="ctr"/>
        <c:lblOffset val="100"/>
        <c:noMultiLvlLbl val="0"/>
      </c:catAx>
      <c:valAx>
        <c:axId val="30612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b="1" i="1"/>
                  <a:t>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12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52386</xdr:rowOff>
    </xdr:from>
    <xdr:to>
      <xdr:col>10</xdr:col>
      <xdr:colOff>466725</xdr:colOff>
      <xdr:row>37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3A48EA4-BF04-45CB-BDAD-094068097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38</xdr:row>
      <xdr:rowOff>14286</xdr:rowOff>
    </xdr:from>
    <xdr:to>
      <xdr:col>10</xdr:col>
      <xdr:colOff>466725</xdr:colOff>
      <xdr:row>54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D7CA939D-4C9B-47EC-B049-99883C73C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55</xdr:row>
      <xdr:rowOff>66675</xdr:rowOff>
    </xdr:from>
    <xdr:to>
      <xdr:col>10</xdr:col>
      <xdr:colOff>476250</xdr:colOff>
      <xdr:row>70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441EA41-122F-41ED-A7B2-6A892B00D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47624</xdr:colOff>
      <xdr:row>70</xdr:row>
      <xdr:rowOff>157161</xdr:rowOff>
    </xdr:from>
    <xdr:to>
      <xdr:col>10</xdr:col>
      <xdr:colOff>504825</xdr:colOff>
      <xdr:row>85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6D308C75-D91B-4E38-BF52-1BD5EB93F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104</xdr:row>
      <xdr:rowOff>1</xdr:rowOff>
    </xdr:from>
    <xdr:to>
      <xdr:col>11</xdr:col>
      <xdr:colOff>152400</xdr:colOff>
      <xdr:row>118</xdr:row>
      <xdr:rowOff>57151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9FC0E316-B8B3-4114-8A2D-5A5BC7AF6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%20Progress%20Files\Mohd.%20Umair\Vayu%20Suits%20Hotel%20TEV\R%20K%20Working\VAYU%20SUITES%20LOAN%20ver%209.0%20(1)%20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lcome/Desktop/Chhavi%20desktop/TEV/Aramco%20Papers%20Pvt%20Ltd/RK%20working/Final%20report/R%20K%20%20MODEL%20ARAMCO%20PAPER%20%2005-12-2022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"/>
      <sheetName val="TL Cal"/>
      <sheetName val="PROPOSED LAND DETAILS"/>
      <sheetName val="PROPOSED CONSTRUCTION DETAILS"/>
      <sheetName val="PROPOSED FURNITURE"/>
      <sheetName val="PROPOSED P&amp;M"/>
      <sheetName val="PROJECT IMPLEMENTAION SCHEDULE"/>
      <sheetName val="MANPOWER PLANNING"/>
      <sheetName val="PROJECTED PL &amp; BS"/>
      <sheetName val="Depreciation"/>
      <sheetName val="Repayment Schedule"/>
      <sheetName val="DSCR"/>
    </sheetNames>
    <sheetDataSet>
      <sheetData sheetId="0">
        <row r="1">
          <cell r="A1" t="str">
            <v>M/s VAYU SUITES</v>
          </cell>
        </row>
        <row r="2">
          <cell r="A2" t="str">
            <v>NEW HOTEL PROJECT</v>
          </cell>
        </row>
        <row r="3">
          <cell r="A3" t="str">
            <v xml:space="preserve">REG. ADDRESS : -LOBBY LEVEL, INSIDE HOTEL VISHNUPRIYA, 9, GULAB BAGH ROAD, UDAIPUR, RAJASTHAN, 313001 </v>
          </cell>
        </row>
        <row r="4">
          <cell r="A4" t="str">
            <v>UNIT ADDRESS : -KHASARA NO. 579/546, REVENUE VILLAGE-SENA, TEHSIL-BALI, DISTRICT-PALI, RAJASTHAN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S"/>
      <sheetName val="PROJECT RK"/>
      <sheetName val="Building"/>
      <sheetName val="Sheet3"/>
      <sheetName val="CMA"/>
      <sheetName val="Ratio Analysis"/>
      <sheetName val="NPV&amp;IRR"/>
      <sheetName val="SISTER-CONCERNS"/>
    </sheetNames>
    <sheetDataSet>
      <sheetData sheetId="0" refreshError="1"/>
      <sheetData sheetId="1" refreshError="1">
        <row r="700">
          <cell r="B700" t="str">
            <v>Total "A"</v>
          </cell>
        </row>
        <row r="706">
          <cell r="B706" t="str">
            <v>Total "B"</v>
          </cell>
        </row>
        <row r="708">
          <cell r="B708" t="str">
            <v xml:space="preserve">D.S.C.R. </v>
          </cell>
        </row>
        <row r="710">
          <cell r="B710" t="str">
            <v>Average D.S.C.R.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ST@18%2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view="pageBreakPreview" topLeftCell="A22" zoomScaleNormal="100" zoomScaleSheetLayoutView="100" workbookViewId="0">
      <selection activeCell="C15" sqref="C15"/>
    </sheetView>
  </sheetViews>
  <sheetFormatPr defaultColWidth="9.140625" defaultRowHeight="15" x14ac:dyDescent="0.25"/>
  <cols>
    <col min="1" max="1" width="5" style="10" customWidth="1"/>
    <col min="2" max="2" width="55.5703125" style="10" bestFit="1" customWidth="1"/>
    <col min="3" max="3" width="15.85546875" style="10" customWidth="1"/>
    <col min="4" max="4" width="7.140625" style="10" customWidth="1"/>
    <col min="5" max="5" width="14" style="10" customWidth="1"/>
    <col min="6" max="16384" width="9.140625" style="10"/>
  </cols>
  <sheetData>
    <row r="1" spans="1:13" x14ac:dyDescent="0.25">
      <c r="A1" s="399" t="s">
        <v>321</v>
      </c>
      <c r="B1" s="399"/>
      <c r="C1" s="399"/>
      <c r="D1" s="399"/>
      <c r="E1" s="399"/>
    </row>
    <row r="2" spans="1:13" ht="29.25" customHeight="1" x14ac:dyDescent="0.25">
      <c r="A2" s="403" t="s">
        <v>320</v>
      </c>
      <c r="B2" s="403"/>
      <c r="C2" s="403"/>
      <c r="D2" s="403"/>
      <c r="E2" s="403"/>
    </row>
    <row r="3" spans="1:13" ht="15" customHeight="1" x14ac:dyDescent="0.25">
      <c r="A3" s="403" t="s">
        <v>424</v>
      </c>
      <c r="B3" s="403"/>
      <c r="C3" s="403"/>
      <c r="D3" s="403"/>
      <c r="E3" s="403"/>
    </row>
    <row r="4" spans="1:13" x14ac:dyDescent="0.25">
      <c r="A4" s="116"/>
      <c r="B4" s="116"/>
      <c r="C4" s="116"/>
      <c r="F4" s="117"/>
    </row>
    <row r="5" spans="1:13" x14ac:dyDescent="0.25">
      <c r="A5" s="401" t="s">
        <v>322</v>
      </c>
      <c r="B5" s="401"/>
      <c r="C5" s="401"/>
      <c r="D5" s="13"/>
      <c r="E5" s="13"/>
    </row>
    <row r="6" spans="1:13" x14ac:dyDescent="0.25">
      <c r="A6" s="30"/>
      <c r="B6" s="30"/>
      <c r="C6" s="30"/>
      <c r="D6" s="13"/>
      <c r="E6" s="13"/>
    </row>
    <row r="7" spans="1:13" x14ac:dyDescent="0.25">
      <c r="A7" s="13" t="s">
        <v>53</v>
      </c>
      <c r="B7" s="13"/>
      <c r="C7" s="13" t="s">
        <v>58</v>
      </c>
    </row>
    <row r="8" spans="1:13" x14ac:dyDescent="0.25">
      <c r="A8" s="13"/>
      <c r="B8" s="13"/>
      <c r="C8" s="55"/>
    </row>
    <row r="9" spans="1:13" x14ac:dyDescent="0.25">
      <c r="A9" s="118"/>
      <c r="B9" s="178" t="s">
        <v>31</v>
      </c>
      <c r="C9" s="179" t="s">
        <v>60</v>
      </c>
      <c r="F9" s="10" t="s">
        <v>218</v>
      </c>
      <c r="G9" s="10" t="s">
        <v>219</v>
      </c>
      <c r="H9" s="10" t="s">
        <v>220</v>
      </c>
    </row>
    <row r="10" spans="1:13" x14ac:dyDescent="0.25">
      <c r="A10" s="86"/>
      <c r="B10" s="36"/>
      <c r="C10" s="40"/>
    </row>
    <row r="11" spans="1:13" x14ac:dyDescent="0.25">
      <c r="A11" s="104">
        <v>1</v>
      </c>
      <c r="B11" s="32" t="s">
        <v>117</v>
      </c>
      <c r="C11" s="183">
        <f>'Cost Break Up'!E7</f>
        <v>5</v>
      </c>
      <c r="E11" s="257">
        <v>52500000</v>
      </c>
      <c r="F11" s="10">
        <v>44.63</v>
      </c>
      <c r="G11" s="10">
        <v>0</v>
      </c>
    </row>
    <row r="12" spans="1:13" x14ac:dyDescent="0.25">
      <c r="A12" s="104"/>
      <c r="B12" s="32"/>
      <c r="C12" s="32"/>
    </row>
    <row r="13" spans="1:13" x14ac:dyDescent="0.25">
      <c r="A13" s="104">
        <v>2</v>
      </c>
      <c r="B13" s="32" t="s">
        <v>61</v>
      </c>
      <c r="C13" s="33">
        <f>'Cost Break Up'!E25</f>
        <v>2066</v>
      </c>
      <c r="F13" s="10">
        <f>+C13*0.3</f>
        <v>619.79999999999995</v>
      </c>
      <c r="G13" s="29">
        <f>+C13-F13</f>
        <v>1446.2</v>
      </c>
      <c r="H13" s="29">
        <f>+G13/F13</f>
        <v>2.3333333333333335</v>
      </c>
      <c r="M13" s="10">
        <v>156</v>
      </c>
    </row>
    <row r="14" spans="1:13" x14ac:dyDescent="0.25">
      <c r="A14" s="104"/>
      <c r="B14" s="32" t="s">
        <v>0</v>
      </c>
      <c r="C14" s="33" t="s">
        <v>0</v>
      </c>
      <c r="H14" s="29"/>
      <c r="M14" s="10">
        <v>110</v>
      </c>
    </row>
    <row r="15" spans="1:13" x14ac:dyDescent="0.25">
      <c r="A15" s="104">
        <v>3</v>
      </c>
      <c r="B15" s="32" t="s">
        <v>83</v>
      </c>
      <c r="C15" s="33">
        <f>'Cost Break Up'!E46</f>
        <v>313</v>
      </c>
      <c r="F15" s="10">
        <f>+C15*0.3</f>
        <v>93.899999999999991</v>
      </c>
      <c r="G15" s="29">
        <f>+C15-F15</f>
        <v>219.10000000000002</v>
      </c>
      <c r="H15" s="29">
        <f>+G15/F15</f>
        <v>2.3333333333333339</v>
      </c>
      <c r="K15" s="29">
        <f>+C15+C17</f>
        <v>604</v>
      </c>
      <c r="M15" s="10">
        <f>SUM(M13:M14)</f>
        <v>266</v>
      </c>
    </row>
    <row r="16" spans="1:13" x14ac:dyDescent="0.25">
      <c r="A16" s="104"/>
      <c r="B16" s="32"/>
      <c r="C16" s="32"/>
      <c r="H16" s="29"/>
      <c r="K16" s="10">
        <f>+K15*0.5</f>
        <v>302</v>
      </c>
      <c r="M16" s="10">
        <v>124</v>
      </c>
    </row>
    <row r="17" spans="1:25" x14ac:dyDescent="0.25">
      <c r="A17" s="104">
        <v>4</v>
      </c>
      <c r="B17" s="32" t="s">
        <v>52</v>
      </c>
      <c r="C17" s="33">
        <f>'Cost Break Up'!E56</f>
        <v>291</v>
      </c>
      <c r="F17" s="10">
        <f>+C17*0.3</f>
        <v>87.3</v>
      </c>
      <c r="G17" s="29">
        <f>+C17-F17</f>
        <v>203.7</v>
      </c>
      <c r="H17" s="29">
        <f>+G17/F17</f>
        <v>2.3333333333333335</v>
      </c>
      <c r="M17" s="10">
        <f>+M15+M16</f>
        <v>390</v>
      </c>
      <c r="O17" s="10">
        <f>3000*0.15</f>
        <v>450</v>
      </c>
    </row>
    <row r="18" spans="1:25" x14ac:dyDescent="0.25">
      <c r="A18" s="104"/>
      <c r="B18" s="32"/>
      <c r="C18" s="33"/>
    </row>
    <row r="19" spans="1:25" x14ac:dyDescent="0.25">
      <c r="A19" s="104">
        <v>5</v>
      </c>
      <c r="B19" s="32" t="s">
        <v>452</v>
      </c>
      <c r="C19" s="33">
        <f>'Cost Break Up'!E64</f>
        <v>259.91666666666663</v>
      </c>
      <c r="F19" s="29">
        <f>+C19</f>
        <v>259.91666666666663</v>
      </c>
      <c r="G19" s="29">
        <f>+C19-F19</f>
        <v>0</v>
      </c>
    </row>
    <row r="20" spans="1:25" x14ac:dyDescent="0.25">
      <c r="A20" s="86"/>
      <c r="B20" s="36"/>
      <c r="C20" s="37" t="s">
        <v>0</v>
      </c>
    </row>
    <row r="21" spans="1:25" x14ac:dyDescent="0.25">
      <c r="A21" s="49"/>
      <c r="B21" s="161" t="s">
        <v>30</v>
      </c>
      <c r="C21" s="159">
        <f>SUM(C11:C20)</f>
        <v>2934.9166666666665</v>
      </c>
      <c r="D21" s="29"/>
      <c r="E21" s="29"/>
      <c r="F21" s="10">
        <f>SUM(F11:F19)</f>
        <v>1105.5466666666666</v>
      </c>
      <c r="G21" s="10">
        <f>SUM(G11:G19)</f>
        <v>1869.0000000000002</v>
      </c>
    </row>
    <row r="22" spans="1:25" x14ac:dyDescent="0.25">
      <c r="A22" s="40"/>
      <c r="B22" s="24"/>
      <c r="C22" s="40"/>
      <c r="E22" s="29"/>
    </row>
    <row r="23" spans="1:25" x14ac:dyDescent="0.25">
      <c r="A23" s="40"/>
      <c r="B23" s="180" t="s">
        <v>54</v>
      </c>
      <c r="C23" s="181"/>
      <c r="H23" s="312"/>
      <c r="I23" s="312">
        <v>280</v>
      </c>
      <c r="J23" s="312"/>
      <c r="K23" s="312"/>
      <c r="L23" s="312"/>
      <c r="M23" s="312"/>
      <c r="N23" s="312">
        <v>840</v>
      </c>
      <c r="O23" s="312"/>
      <c r="P23" s="312"/>
      <c r="Q23" s="312"/>
      <c r="R23" s="312"/>
      <c r="S23" s="312">
        <v>880</v>
      </c>
      <c r="T23" s="312"/>
      <c r="U23" s="312"/>
      <c r="V23" s="312"/>
      <c r="W23" s="312"/>
      <c r="X23" s="368">
        <v>0.1</v>
      </c>
      <c r="Y23" s="312"/>
    </row>
    <row r="24" spans="1:25" x14ac:dyDescent="0.25">
      <c r="A24" s="40"/>
      <c r="C24" s="40"/>
      <c r="H24" s="363"/>
      <c r="I24" s="396" t="s">
        <v>453</v>
      </c>
      <c r="J24" s="397"/>
      <c r="K24" s="397"/>
      <c r="L24" s="397"/>
      <c r="M24" s="398"/>
      <c r="N24" s="314" t="s">
        <v>454</v>
      </c>
      <c r="O24" s="396"/>
      <c r="P24" s="397"/>
      <c r="Q24" s="397"/>
      <c r="R24" s="398"/>
      <c r="S24" s="396" t="s">
        <v>455</v>
      </c>
      <c r="T24" s="397"/>
      <c r="U24" s="397"/>
      <c r="V24" s="397"/>
      <c r="W24" s="398"/>
      <c r="X24" s="229"/>
      <c r="Y24" s="229"/>
    </row>
    <row r="25" spans="1:25" x14ac:dyDescent="0.25">
      <c r="A25" s="104">
        <v>1</v>
      </c>
      <c r="B25" s="32" t="s">
        <v>43</v>
      </c>
      <c r="C25" s="33">
        <v>2000</v>
      </c>
      <c r="D25" s="119"/>
      <c r="H25" s="256" t="s">
        <v>456</v>
      </c>
      <c r="I25" s="250" t="s">
        <v>457</v>
      </c>
      <c r="J25" s="250" t="s">
        <v>458</v>
      </c>
      <c r="K25" s="250" t="s">
        <v>223</v>
      </c>
      <c r="L25" s="250" t="s">
        <v>459</v>
      </c>
      <c r="M25" s="250" t="s">
        <v>460</v>
      </c>
      <c r="N25" s="250" t="s">
        <v>457</v>
      </c>
      <c r="O25" s="250" t="s">
        <v>458</v>
      </c>
      <c r="P25" s="250" t="s">
        <v>223</v>
      </c>
      <c r="Q25" s="250" t="s">
        <v>459</v>
      </c>
      <c r="R25" s="250" t="s">
        <v>460</v>
      </c>
      <c r="S25" s="250" t="s">
        <v>457</v>
      </c>
      <c r="T25" s="250" t="s">
        <v>458</v>
      </c>
      <c r="U25" s="250" t="s">
        <v>223</v>
      </c>
      <c r="V25" s="250" t="s">
        <v>459</v>
      </c>
      <c r="W25" s="250" t="s">
        <v>460</v>
      </c>
      <c r="X25" s="250"/>
      <c r="Y25" s="250" t="s">
        <v>11</v>
      </c>
    </row>
    <row r="26" spans="1:25" x14ac:dyDescent="0.25">
      <c r="A26" s="104"/>
      <c r="B26" s="32"/>
      <c r="C26" s="32"/>
      <c r="D26" s="119"/>
      <c r="H26" s="364">
        <v>0.70571151984511138</v>
      </c>
      <c r="I26" s="360">
        <v>280</v>
      </c>
      <c r="J26" s="230">
        <v>555</v>
      </c>
      <c r="K26" s="230">
        <v>5.8333333333333339</v>
      </c>
      <c r="L26" s="230">
        <v>6.666666666666667</v>
      </c>
      <c r="M26" s="230">
        <v>567.5</v>
      </c>
      <c r="N26" s="230">
        <v>840</v>
      </c>
      <c r="O26" s="230">
        <v>1032.08</v>
      </c>
      <c r="P26" s="230">
        <v>73.499999999999986</v>
      </c>
      <c r="Q26" s="230">
        <v>6.666666666666667</v>
      </c>
      <c r="R26" s="230">
        <v>1112.2466666666667</v>
      </c>
      <c r="S26" s="230">
        <v>338</v>
      </c>
      <c r="T26" s="230">
        <v>478.92000000000007</v>
      </c>
      <c r="U26" s="230">
        <v>117.06524999999998</v>
      </c>
      <c r="V26" s="230">
        <v>6.666666666666667</v>
      </c>
      <c r="W26" s="230">
        <v>602.65191666666669</v>
      </c>
      <c r="X26" s="229"/>
      <c r="Y26" s="230">
        <v>2282.3985833333336</v>
      </c>
    </row>
    <row r="27" spans="1:25" x14ac:dyDescent="0.25">
      <c r="A27" s="104">
        <v>2</v>
      </c>
      <c r="B27" s="32" t="s">
        <v>116</v>
      </c>
      <c r="C27" s="33"/>
      <c r="D27" s="119"/>
      <c r="H27" s="364">
        <v>0.89690721649484539</v>
      </c>
      <c r="I27" s="360">
        <v>0</v>
      </c>
      <c r="J27" s="229"/>
      <c r="K27" s="229"/>
      <c r="L27" s="229"/>
      <c r="M27" s="230">
        <v>0</v>
      </c>
      <c r="N27" s="229">
        <v>0</v>
      </c>
      <c r="O27" s="230">
        <v>0</v>
      </c>
      <c r="P27" s="230">
        <v>0</v>
      </c>
      <c r="Q27" s="229"/>
      <c r="R27" s="230">
        <v>0</v>
      </c>
      <c r="S27" s="230">
        <v>261</v>
      </c>
      <c r="T27" s="230">
        <v>291</v>
      </c>
      <c r="U27" s="230">
        <v>20.956124999999997</v>
      </c>
      <c r="V27" s="229"/>
      <c r="W27" s="230">
        <v>311.95612499999999</v>
      </c>
      <c r="X27" s="229"/>
      <c r="Y27" s="230">
        <v>311.95612499999999</v>
      </c>
    </row>
    <row r="28" spans="1:25" x14ac:dyDescent="0.25">
      <c r="A28" s="104"/>
      <c r="B28" s="32"/>
      <c r="C28" s="32"/>
      <c r="D28" s="119"/>
      <c r="H28" s="364">
        <v>0.89776357827476039</v>
      </c>
      <c r="I28" s="360">
        <v>0</v>
      </c>
      <c r="J28" s="229"/>
      <c r="K28" s="229"/>
      <c r="L28" s="229"/>
      <c r="M28" s="230">
        <v>0</v>
      </c>
      <c r="N28" s="229">
        <v>0</v>
      </c>
      <c r="O28" s="230">
        <v>0</v>
      </c>
      <c r="P28" s="230">
        <v>0</v>
      </c>
      <c r="Q28" s="229"/>
      <c r="R28" s="230">
        <v>0</v>
      </c>
      <c r="S28" s="230">
        <v>281</v>
      </c>
      <c r="T28" s="230">
        <v>313</v>
      </c>
      <c r="U28" s="230">
        <v>22.561958333333333</v>
      </c>
      <c r="V28" s="229"/>
      <c r="W28" s="230">
        <v>335.56195833333334</v>
      </c>
      <c r="X28" s="229"/>
      <c r="Y28" s="230">
        <v>335.56195833333334</v>
      </c>
    </row>
    <row r="29" spans="1:25" x14ac:dyDescent="0.25">
      <c r="A29" s="104">
        <v>3</v>
      </c>
      <c r="B29" s="32" t="s">
        <v>286</v>
      </c>
      <c r="C29" s="33">
        <f>916+6.92+12</f>
        <v>934.92</v>
      </c>
      <c r="D29" s="119"/>
      <c r="F29" s="29"/>
      <c r="H29" s="362"/>
      <c r="I29" s="361">
        <v>280</v>
      </c>
      <c r="J29" s="361">
        <v>555</v>
      </c>
      <c r="K29" s="361">
        <v>5.8333333333333339</v>
      </c>
      <c r="L29" s="361"/>
      <c r="M29" s="361">
        <v>567.5</v>
      </c>
      <c r="N29" s="361">
        <v>840</v>
      </c>
      <c r="O29" s="361">
        <v>1032.08</v>
      </c>
      <c r="P29" s="361">
        <v>73.499999999999986</v>
      </c>
      <c r="Q29" s="361"/>
      <c r="R29" s="361">
        <v>1112.2466666666667</v>
      </c>
      <c r="S29" s="361">
        <v>880</v>
      </c>
      <c r="T29" s="361">
        <v>1082.92</v>
      </c>
      <c r="U29" s="361">
        <v>160.58333333333331</v>
      </c>
      <c r="V29" s="361"/>
      <c r="W29" s="361">
        <v>1250.17</v>
      </c>
      <c r="X29" s="314"/>
      <c r="Y29" s="361">
        <v>2929.916666666667</v>
      </c>
    </row>
    <row r="30" spans="1:25" x14ac:dyDescent="0.25">
      <c r="A30" s="38"/>
      <c r="B30" s="182" t="s">
        <v>30</v>
      </c>
      <c r="C30" s="159">
        <f>SUM(C22:C29)</f>
        <v>2934.92</v>
      </c>
      <c r="D30" s="29">
        <f>+C21-C30</f>
        <v>-3.3333333335576754E-3</v>
      </c>
      <c r="H30" s="312"/>
      <c r="I30" s="30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62">
        <v>239.91666666666666</v>
      </c>
      <c r="X30" s="363" t="s">
        <v>223</v>
      </c>
      <c r="Y30" s="362">
        <v>259.91666666666703</v>
      </c>
    </row>
    <row r="31" spans="1:25" x14ac:dyDescent="0.25">
      <c r="A31" s="13"/>
      <c r="B31" s="334" t="s">
        <v>431</v>
      </c>
      <c r="C31" s="335"/>
      <c r="D31" s="119"/>
      <c r="J31" s="10">
        <f>+J26/H26</f>
        <v>786.44032921810697</v>
      </c>
    </row>
    <row r="32" spans="1:25" x14ac:dyDescent="0.25">
      <c r="A32" s="13"/>
      <c r="B32" s="334" t="s">
        <v>237</v>
      </c>
      <c r="C32" s="335">
        <v>5</v>
      </c>
      <c r="D32" s="119"/>
    </row>
    <row r="33" spans="1:14" x14ac:dyDescent="0.25">
      <c r="A33" s="13"/>
      <c r="B33" s="334" t="s">
        <v>238</v>
      </c>
      <c r="C33" s="335">
        <f>293.62+6.92+12</f>
        <v>312.54000000000002</v>
      </c>
      <c r="D33" s="119">
        <f>+C36*30%</f>
        <v>280.476</v>
      </c>
      <c r="E33" s="10" t="s">
        <v>443</v>
      </c>
      <c r="F33" s="10" t="s">
        <v>444</v>
      </c>
    </row>
    <row r="34" spans="1:14" x14ac:dyDescent="0.25">
      <c r="A34" s="13"/>
      <c r="B34" s="334" t="s">
        <v>239</v>
      </c>
      <c r="C34" s="335">
        <f>261.91+30</f>
        <v>291.91000000000003</v>
      </c>
      <c r="D34" s="119"/>
    </row>
    <row r="35" spans="1:14" x14ac:dyDescent="0.25">
      <c r="A35" s="13"/>
      <c r="B35" s="334" t="s">
        <v>143</v>
      </c>
      <c r="C35" s="335">
        <f>355.47-30</f>
        <v>325.47000000000003</v>
      </c>
      <c r="D35" s="119"/>
    </row>
    <row r="36" spans="1:14" x14ac:dyDescent="0.25">
      <c r="A36" s="13"/>
      <c r="B36" s="334" t="s">
        <v>30</v>
      </c>
      <c r="C36" s="335">
        <f>SUM(C32:C35)</f>
        <v>934.92000000000007</v>
      </c>
      <c r="D36" s="119"/>
    </row>
    <row r="37" spans="1:14" x14ac:dyDescent="0.25">
      <c r="A37" s="13"/>
      <c r="B37" s="13"/>
      <c r="C37" s="41">
        <f>C21-C30</f>
        <v>-3.3333333335576754E-3</v>
      </c>
    </row>
    <row r="38" spans="1:14" x14ac:dyDescent="0.25">
      <c r="A38" s="400"/>
      <c r="B38" s="400"/>
      <c r="C38" s="400"/>
      <c r="D38" s="400"/>
    </row>
    <row r="39" spans="1:14" x14ac:dyDescent="0.25">
      <c r="B39" s="185" t="s">
        <v>221</v>
      </c>
      <c r="C39" s="186">
        <f>SUM(C25/(C27+C29))</f>
        <v>2.1392204680614384</v>
      </c>
    </row>
    <row r="40" spans="1:14" x14ac:dyDescent="0.25">
      <c r="B40" s="121"/>
      <c r="C40" s="120"/>
    </row>
    <row r="41" spans="1:14" x14ac:dyDescent="0.25">
      <c r="C41" s="402"/>
      <c r="D41" s="402"/>
      <c r="I41" s="369"/>
      <c r="J41" s="370"/>
      <c r="K41" s="370"/>
      <c r="L41" s="370"/>
      <c r="M41" s="370"/>
      <c r="N41" s="370"/>
    </row>
    <row r="42" spans="1:14" x14ac:dyDescent="0.25">
      <c r="B42" s="400"/>
      <c r="C42" s="400"/>
      <c r="D42" s="400"/>
      <c r="I42" s="370"/>
      <c r="J42" s="370"/>
      <c r="K42" s="370"/>
      <c r="L42" s="370"/>
      <c r="M42" s="370"/>
      <c r="N42" s="369"/>
    </row>
    <row r="43" spans="1:14" x14ac:dyDescent="0.25">
      <c r="I43" s="369"/>
      <c r="J43" s="369"/>
      <c r="K43" s="369"/>
      <c r="L43" s="369"/>
      <c r="M43" s="369"/>
      <c r="N43" s="369"/>
    </row>
    <row r="44" spans="1:14" x14ac:dyDescent="0.25">
      <c r="I44" s="371"/>
      <c r="J44" s="372"/>
      <c r="K44" s="373"/>
      <c r="L44" s="374"/>
      <c r="M44" s="373"/>
      <c r="N44" s="373"/>
    </row>
    <row r="45" spans="1:14" x14ac:dyDescent="0.25">
      <c r="I45" s="371"/>
      <c r="J45" s="370"/>
      <c r="K45" s="373"/>
      <c r="L45" s="374"/>
      <c r="M45" s="373"/>
      <c r="N45" s="373"/>
    </row>
    <row r="46" spans="1:14" x14ac:dyDescent="0.25">
      <c r="I46" s="371"/>
      <c r="J46" s="370"/>
      <c r="K46" s="373"/>
      <c r="L46" s="374"/>
      <c r="M46" s="373"/>
      <c r="N46" s="373"/>
    </row>
    <row r="47" spans="1:14" x14ac:dyDescent="0.25">
      <c r="I47" s="395"/>
      <c r="J47" s="395"/>
      <c r="K47" s="375"/>
      <c r="L47" s="375"/>
      <c r="M47" s="375"/>
      <c r="N47" s="375"/>
    </row>
    <row r="48" spans="1:14" x14ac:dyDescent="0.25">
      <c r="I48" s="369"/>
      <c r="J48" s="369"/>
      <c r="K48" s="375"/>
      <c r="L48" s="369"/>
      <c r="M48" s="369"/>
      <c r="N48" s="369"/>
    </row>
    <row r="49" spans="9:14" x14ac:dyDescent="0.25">
      <c r="I49" s="369"/>
      <c r="J49" s="369"/>
      <c r="K49" s="375"/>
      <c r="L49" s="369"/>
      <c r="M49" s="375"/>
      <c r="N49" s="375"/>
    </row>
    <row r="50" spans="9:14" x14ac:dyDescent="0.25">
      <c r="I50" s="370"/>
      <c r="J50" s="370"/>
      <c r="K50" s="370"/>
      <c r="L50" s="370"/>
      <c r="M50" s="370"/>
      <c r="N50" s="370"/>
    </row>
    <row r="51" spans="9:14" x14ac:dyDescent="0.25">
      <c r="I51" s="370"/>
      <c r="J51" s="370"/>
      <c r="K51" s="373">
        <f>+K50-K49</f>
        <v>0</v>
      </c>
      <c r="L51" s="370"/>
      <c r="M51" s="373"/>
      <c r="N51" s="370"/>
    </row>
  </sheetData>
  <mergeCells count="11">
    <mergeCell ref="I47:J47"/>
    <mergeCell ref="I24:M24"/>
    <mergeCell ref="O24:R24"/>
    <mergeCell ref="S24:W24"/>
    <mergeCell ref="A1:E1"/>
    <mergeCell ref="B42:D42"/>
    <mergeCell ref="A5:C5"/>
    <mergeCell ref="C41:D41"/>
    <mergeCell ref="A2:E2"/>
    <mergeCell ref="A38:D38"/>
    <mergeCell ref="A3:E3"/>
  </mergeCells>
  <phoneticPr fontId="0" type="noConversion"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4"/>
  <sheetViews>
    <sheetView topLeftCell="A128" zoomScaleNormal="100" zoomScaleSheetLayoutView="100" workbookViewId="0">
      <selection activeCell="F138" sqref="F138"/>
    </sheetView>
  </sheetViews>
  <sheetFormatPr defaultColWidth="9" defaultRowHeight="15" x14ac:dyDescent="0.25"/>
  <cols>
    <col min="1" max="1" width="4.85546875" style="10" customWidth="1"/>
    <col min="2" max="2" width="19.7109375" style="10" bestFit="1" customWidth="1"/>
    <col min="3" max="3" width="3.28515625" style="10" customWidth="1"/>
    <col min="4" max="4" width="13.7109375" style="11" customWidth="1"/>
    <col min="5" max="17" width="12.7109375" style="11" customWidth="1"/>
    <col min="18" max="18" width="9.5703125" style="10" bestFit="1" customWidth="1"/>
    <col min="19" max="16384" width="9" style="10"/>
  </cols>
  <sheetData>
    <row r="1" spans="2:19" x14ac:dyDescent="0.25">
      <c r="B1" s="437" t="str">
        <f>Cost!A1</f>
        <v>Vaayu Suites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</row>
    <row r="2" spans="2:19" ht="18" customHeight="1" x14ac:dyDescent="0.25">
      <c r="B2" s="7" t="s">
        <v>157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2:19" ht="11.25" customHeight="1" x14ac:dyDescent="0.25"/>
    <row r="4" spans="2:19" x14ac:dyDescent="0.25">
      <c r="B4" s="237" t="s">
        <v>3</v>
      </c>
      <c r="C4" s="237"/>
      <c r="D4" s="238"/>
      <c r="E4" s="238" t="str">
        <f>Profitability!G4</f>
        <v>27-28</v>
      </c>
      <c r="F4" s="238" t="str">
        <f>Profitability!H4</f>
        <v>28-29</v>
      </c>
      <c r="G4" s="238" t="str">
        <f>Profitability!I4</f>
        <v>29-30</v>
      </c>
      <c r="H4" s="238" t="str">
        <f>Profitability!J4</f>
        <v>30-31</v>
      </c>
      <c r="I4" s="238" t="str">
        <f>Profitability!K4</f>
        <v>31-32</v>
      </c>
      <c r="J4" s="238" t="str">
        <f>Profitability!L4</f>
        <v>32-33</v>
      </c>
      <c r="K4" s="238" t="str">
        <f>Profitability!M4</f>
        <v>33-34</v>
      </c>
      <c r="L4" s="238" t="str">
        <f>Profitability!N4</f>
        <v>34-35</v>
      </c>
      <c r="M4" s="238" t="s">
        <v>377</v>
      </c>
      <c r="N4" s="238" t="s">
        <v>378</v>
      </c>
      <c r="O4" s="238" t="s">
        <v>379</v>
      </c>
      <c r="P4" s="238" t="s">
        <v>380</v>
      </c>
      <c r="Q4" s="238" t="s">
        <v>426</v>
      </c>
      <c r="R4" s="12"/>
    </row>
    <row r="5" spans="2:19" ht="9.75" customHeight="1" x14ac:dyDescent="0.25">
      <c r="B5" s="32"/>
      <c r="C5" s="32"/>
      <c r="D5" s="152"/>
      <c r="E5" s="152"/>
      <c r="F5" s="152"/>
      <c r="G5" s="152"/>
      <c r="H5" s="152"/>
      <c r="I5" s="152"/>
      <c r="J5" s="152"/>
      <c r="K5" s="152"/>
      <c r="L5" s="152"/>
    </row>
    <row r="6" spans="2:19" x14ac:dyDescent="0.25">
      <c r="B6" s="32" t="s">
        <v>158</v>
      </c>
      <c r="C6" s="32"/>
      <c r="D6" s="152"/>
      <c r="E6" s="152">
        <f>Profitability!G23</f>
        <v>891.94</v>
      </c>
      <c r="F6" s="152">
        <f>Profitability!H23</f>
        <v>1107.25</v>
      </c>
      <c r="G6" s="152">
        <f>Profitability!I23</f>
        <v>1262.25</v>
      </c>
      <c r="H6" s="152">
        <f>Profitability!J23</f>
        <v>1375.02</v>
      </c>
      <c r="I6" s="152">
        <f>Profitability!K23</f>
        <v>1495.93</v>
      </c>
      <c r="J6" s="152">
        <f>Profitability!L23</f>
        <v>1625.48</v>
      </c>
      <c r="K6" s="152">
        <f>Profitability!M23</f>
        <v>1764.25</v>
      </c>
      <c r="L6" s="152">
        <f>Profitability!N23</f>
        <v>1852.46</v>
      </c>
      <c r="M6" s="152">
        <f>Profitability!O23</f>
        <v>1945.09</v>
      </c>
      <c r="N6" s="152">
        <f>Profitability!P23</f>
        <v>2042.34</v>
      </c>
      <c r="O6" s="152">
        <f>Profitability!Q23</f>
        <v>2144.4499999999998</v>
      </c>
      <c r="P6" s="152">
        <f>Profitability!R23</f>
        <v>2251.6799999999998</v>
      </c>
      <c r="Q6" s="152">
        <f>Profitability!S23</f>
        <v>2364.2600000000002</v>
      </c>
    </row>
    <row r="7" spans="2:19" x14ac:dyDescent="0.25">
      <c r="B7" s="32" t="s">
        <v>159</v>
      </c>
      <c r="C7" s="32"/>
      <c r="D7" s="239"/>
      <c r="E7" s="239">
        <f>Profitability!G41+Profitability!G39+Profitability!G35</f>
        <v>304.22850000000017</v>
      </c>
      <c r="F7" s="239">
        <f>Profitability!H41+Profitability!H39+Profitability!H35</f>
        <v>405.10232499999995</v>
      </c>
      <c r="G7" s="239">
        <f>Profitability!I41+Profitability!I39+Profitability!I35</f>
        <v>470.51569125000003</v>
      </c>
      <c r="H7" s="239">
        <f>Profitability!J41+Profitability!J39+Profitability!J35</f>
        <v>510.06382106249987</v>
      </c>
      <c r="I7" s="239">
        <f>Profitability!K41+Profitability!K39+Profitability!K35</f>
        <v>551.82530705312502</v>
      </c>
      <c r="J7" s="239">
        <f>Profitability!L41+Profitability!L39+Profitability!L35</f>
        <v>595.85116863015628</v>
      </c>
      <c r="K7" s="239">
        <f>Profitability!M41+Profitability!M39+Profitability!M35</f>
        <v>642.20166784713285</v>
      </c>
      <c r="L7" s="239">
        <f>Profitability!N41+Profitability!N39+Profitability!N35</f>
        <v>657.33298431441301</v>
      </c>
      <c r="M7" s="239">
        <f>Profitability!O41+Profitability!O39+Profitability!O35</f>
        <v>671.53269239756582</v>
      </c>
      <c r="N7" s="239">
        <f>Profitability!P41+Profitability!P39+Profitability!P35</f>
        <v>684.54080097878773</v>
      </c>
      <c r="O7" s="239">
        <f>Profitability!Q41+Profitability!Q39+Profitability!Q35</f>
        <v>696.15562271555132</v>
      </c>
      <c r="P7" s="239">
        <f>Profitability!R41+Profitability!R39+Profitability!R35</f>
        <v>706.11860772552859</v>
      </c>
      <c r="Q7" s="239">
        <f>Profitability!S41+Profitability!S39+Profitability!S35</f>
        <v>714.03948105553059</v>
      </c>
    </row>
    <row r="8" spans="2:19" ht="20.25" customHeight="1" x14ac:dyDescent="0.25">
      <c r="B8" s="240" t="s">
        <v>160</v>
      </c>
      <c r="C8" s="241"/>
      <c r="D8" s="242"/>
      <c r="E8" s="242">
        <f>E7/E6</f>
        <v>0.34108628383075112</v>
      </c>
      <c r="F8" s="242">
        <f t="shared" ref="F8:Q8" si="0">F7/F6</f>
        <v>0.36586346805147885</v>
      </c>
      <c r="G8" s="242">
        <f t="shared" si="0"/>
        <v>0.37275950980392158</v>
      </c>
      <c r="H8" s="242">
        <f t="shared" si="0"/>
        <v>0.37095011058930044</v>
      </c>
      <c r="I8" s="242">
        <f t="shared" si="0"/>
        <v>0.36888444449481261</v>
      </c>
      <c r="J8" s="242">
        <f t="shared" si="0"/>
        <v>0.36656936328355705</v>
      </c>
      <c r="K8" s="242">
        <f t="shared" si="0"/>
        <v>0.36400831392780664</v>
      </c>
      <c r="L8" s="242">
        <f t="shared" si="0"/>
        <v>0.35484328099630386</v>
      </c>
      <c r="M8" s="242">
        <f t="shared" si="0"/>
        <v>0.3452450490196165</v>
      </c>
      <c r="N8" s="242">
        <f t="shared" si="0"/>
        <v>0.33517475101050154</v>
      </c>
      <c r="O8" s="242">
        <f t="shared" si="0"/>
        <v>0.32463131465669581</v>
      </c>
      <c r="P8" s="242">
        <f t="shared" si="0"/>
        <v>0.31359634038830059</v>
      </c>
      <c r="Q8" s="242">
        <f t="shared" si="0"/>
        <v>0.30201394138357479</v>
      </c>
    </row>
    <row r="9" spans="2:19" x14ac:dyDescent="0.25">
      <c r="B9" s="38" t="s">
        <v>161</v>
      </c>
      <c r="C9" s="32"/>
      <c r="D9" s="239"/>
      <c r="E9" s="239">
        <f>Profitability!G41+Profitability!G39</f>
        <v>-9.2149999999998897</v>
      </c>
      <c r="F9" s="239">
        <f>Profitability!H41+Profitability!H39</f>
        <v>127.53999999999999</v>
      </c>
      <c r="G9" s="239">
        <f>Profitability!I41+Profitability!I39</f>
        <v>223.98000000000002</v>
      </c>
      <c r="H9" s="239">
        <f>Profitability!J41+Profitability!J39</f>
        <v>290.6099999999999</v>
      </c>
      <c r="I9" s="239">
        <f>Profitability!K41+Profitability!K39</f>
        <v>356.17000000000007</v>
      </c>
      <c r="J9" s="239">
        <f>Profitability!L41+Profitability!L39</f>
        <v>421.21000000000004</v>
      </c>
      <c r="K9" s="239">
        <f>Profitability!M41+Profitability!M39</f>
        <v>486.18000000000006</v>
      </c>
      <c r="L9" s="239">
        <f>Profitability!N41+Profitability!N39</f>
        <v>517.85000000000014</v>
      </c>
      <c r="M9" s="239">
        <f>Profitability!O41+Profitability!O39</f>
        <v>546.76670999999988</v>
      </c>
      <c r="N9" s="239">
        <f>Profitability!P41+Profitability!P39</f>
        <v>572.88841333333312</v>
      </c>
      <c r="O9" s="239">
        <f>Profitability!Q41+Profitability!Q39</f>
        <v>596.20007999999984</v>
      </c>
      <c r="P9" s="239">
        <f>Profitability!R41+Profitability!R39</f>
        <v>616.60457999999983</v>
      </c>
      <c r="Q9" s="239">
        <f>Profitability!S41+Profitability!S39</f>
        <v>633.85238000000027</v>
      </c>
    </row>
    <row r="10" spans="2:19" ht="18" customHeight="1" x14ac:dyDescent="0.25">
      <c r="B10" s="243" t="s">
        <v>162</v>
      </c>
      <c r="C10" s="242"/>
      <c r="D10" s="242"/>
      <c r="E10" s="242">
        <f t="shared" ref="E10:Q10" si="1">E9/E6</f>
        <v>-1.0331412426844731E-2</v>
      </c>
      <c r="F10" s="242">
        <f t="shared" si="1"/>
        <v>0.11518627229622939</v>
      </c>
      <c r="G10" s="242">
        <f t="shared" si="1"/>
        <v>0.17744503862150923</v>
      </c>
      <c r="H10" s="242">
        <f t="shared" si="1"/>
        <v>0.21134965309595491</v>
      </c>
      <c r="I10" s="242">
        <f t="shared" si="1"/>
        <v>0.23809269150294471</v>
      </c>
      <c r="J10" s="242">
        <f t="shared" si="1"/>
        <v>0.25912961094568993</v>
      </c>
      <c r="K10" s="242">
        <f t="shared" si="1"/>
        <v>0.27557318974068307</v>
      </c>
      <c r="L10" s="242">
        <f t="shared" si="1"/>
        <v>0.27954719670060357</v>
      </c>
      <c r="M10" s="242">
        <f t="shared" si="1"/>
        <v>0.28110098247381865</v>
      </c>
      <c r="N10" s="242">
        <f t="shared" si="1"/>
        <v>0.28050589683075938</v>
      </c>
      <c r="O10" s="242">
        <f t="shared" si="1"/>
        <v>0.27802004243512318</v>
      </c>
      <c r="P10" s="242">
        <f t="shared" si="1"/>
        <v>0.2738420112982306</v>
      </c>
      <c r="Q10" s="242">
        <f t="shared" si="1"/>
        <v>0.26809757810054741</v>
      </c>
    </row>
    <row r="11" spans="2:19" ht="18" customHeight="1" x14ac:dyDescent="0.25">
      <c r="B11" s="229" t="s">
        <v>163</v>
      </c>
      <c r="C11" s="32"/>
      <c r="D11" s="239"/>
      <c r="E11" s="239">
        <f>Profitability!G43</f>
        <v>-208.58999999999992</v>
      </c>
      <c r="F11" s="239">
        <f>Profitability!H43</f>
        <v>-66.710000000000036</v>
      </c>
      <c r="G11" s="239">
        <f>Profitability!I43</f>
        <v>35.730000000000018</v>
      </c>
      <c r="H11" s="239">
        <f>Profitability!J43</f>
        <v>108.3599999999999</v>
      </c>
      <c r="I11" s="239">
        <f>Profitability!K43</f>
        <v>167.58200000000005</v>
      </c>
      <c r="J11" s="239">
        <f>Profitability!L43</f>
        <v>182.14700000000005</v>
      </c>
      <c r="K11" s="239">
        <f>Profitability!M43</f>
        <v>236.02600000000007</v>
      </c>
      <c r="L11" s="239">
        <f>Profitability!N43</f>
        <v>266.59500000000008</v>
      </c>
      <c r="M11" s="239">
        <f>Profitability!O43</f>
        <v>298.26999999999992</v>
      </c>
      <c r="N11" s="239">
        <f>Profitability!P43</f>
        <v>332.45099999999991</v>
      </c>
      <c r="O11" s="239">
        <f>Profitability!Q43</f>
        <v>368.16499999999985</v>
      </c>
      <c r="P11" s="239">
        <f>Profitability!R43</f>
        <v>406.48299999999989</v>
      </c>
      <c r="Q11" s="239">
        <f>Profitability!S43</f>
        <v>440.46100000000018</v>
      </c>
    </row>
    <row r="12" spans="2:19" ht="18" customHeight="1" x14ac:dyDescent="0.25">
      <c r="B12" s="243" t="s">
        <v>164</v>
      </c>
      <c r="C12" s="242"/>
      <c r="D12" s="242"/>
      <c r="E12" s="242">
        <f t="shared" ref="E12:Q12" si="2">E11/E6</f>
        <v>-0.23386102204184128</v>
      </c>
      <c r="F12" s="242">
        <f t="shared" si="2"/>
        <v>-6.0248363061639228E-2</v>
      </c>
      <c r="G12" s="242">
        <f t="shared" si="2"/>
        <v>2.8306595365418911E-2</v>
      </c>
      <c r="H12" s="242">
        <f t="shared" si="2"/>
        <v>7.8806126456342385E-2</v>
      </c>
      <c r="I12" s="242">
        <f t="shared" si="2"/>
        <v>0.11202529530125076</v>
      </c>
      <c r="J12" s="242">
        <f t="shared" si="2"/>
        <v>0.11205736151782861</v>
      </c>
      <c r="K12" s="242">
        <f t="shared" si="2"/>
        <v>0.13378262717868786</v>
      </c>
      <c r="L12" s="242">
        <f t="shared" si="2"/>
        <v>0.14391403862971405</v>
      </c>
      <c r="M12" s="242">
        <f t="shared" si="2"/>
        <v>0.15334508943030911</v>
      </c>
      <c r="N12" s="242">
        <f t="shared" si="2"/>
        <v>0.16277945885601805</v>
      </c>
      <c r="O12" s="242">
        <f t="shared" si="2"/>
        <v>0.17168271584788636</v>
      </c>
      <c r="P12" s="242">
        <f t="shared" si="2"/>
        <v>0.18052431961912879</v>
      </c>
      <c r="Q12" s="242">
        <f t="shared" si="2"/>
        <v>0.18629973014812251</v>
      </c>
    </row>
    <row r="13" spans="2:19" x14ac:dyDescent="0.25">
      <c r="B13" s="32" t="str">
        <f>B6</f>
        <v xml:space="preserve">Revenue </v>
      </c>
      <c r="C13" s="32"/>
      <c r="D13" s="152"/>
      <c r="E13" s="152">
        <f t="shared" ref="E13:Q13" si="3">E6</f>
        <v>891.94</v>
      </c>
      <c r="F13" s="152">
        <f t="shared" si="3"/>
        <v>1107.25</v>
      </c>
      <c r="G13" s="152">
        <f t="shared" si="3"/>
        <v>1262.25</v>
      </c>
      <c r="H13" s="152">
        <f t="shared" si="3"/>
        <v>1375.02</v>
      </c>
      <c r="I13" s="152">
        <f t="shared" si="3"/>
        <v>1495.93</v>
      </c>
      <c r="J13" s="152">
        <f t="shared" si="3"/>
        <v>1625.48</v>
      </c>
      <c r="K13" s="152">
        <f t="shared" si="3"/>
        <v>1764.25</v>
      </c>
      <c r="L13" s="152">
        <f t="shared" si="3"/>
        <v>1852.46</v>
      </c>
      <c r="M13" s="152">
        <f t="shared" si="3"/>
        <v>1945.09</v>
      </c>
      <c r="N13" s="152">
        <f t="shared" si="3"/>
        <v>2042.34</v>
      </c>
      <c r="O13" s="152">
        <f t="shared" si="3"/>
        <v>2144.4499999999998</v>
      </c>
      <c r="P13" s="152">
        <f t="shared" si="3"/>
        <v>2251.6799999999998</v>
      </c>
      <c r="Q13" s="152">
        <f t="shared" si="3"/>
        <v>2364.2600000000002</v>
      </c>
    </row>
    <row r="14" spans="2:19" ht="18" customHeight="1" x14ac:dyDescent="0.25">
      <c r="B14" s="243" t="s">
        <v>165</v>
      </c>
      <c r="C14" s="242"/>
      <c r="D14" s="242"/>
      <c r="E14" s="242">
        <v>0</v>
      </c>
      <c r="F14" s="242">
        <f t="shared" ref="F14:L14" si="4">F13/E13-1</f>
        <v>0.24139516110949155</v>
      </c>
      <c r="G14" s="242">
        <f t="shared" si="4"/>
        <v>0.13998645292391054</v>
      </c>
      <c r="H14" s="242">
        <f t="shared" si="4"/>
        <v>8.9340463458110531E-2</v>
      </c>
      <c r="I14" s="242">
        <f t="shared" si="4"/>
        <v>8.7933266425215706E-2</v>
      </c>
      <c r="J14" s="242">
        <f t="shared" si="4"/>
        <v>8.6601645798934479E-2</v>
      </c>
      <c r="K14" s="242">
        <f t="shared" si="4"/>
        <v>8.5371705588503044E-2</v>
      </c>
      <c r="L14" s="242">
        <f t="shared" si="4"/>
        <v>4.9998582967266669E-2</v>
      </c>
      <c r="M14" s="242">
        <f t="shared" ref="M14" si="5">M13/L13-1</f>
        <v>5.0003778759055484E-2</v>
      </c>
      <c r="N14" s="242">
        <f t="shared" ref="N14" si="6">N13/M13-1</f>
        <v>4.999768648237346E-2</v>
      </c>
      <c r="O14" s="242">
        <f t="shared" ref="O14" si="7">O13/N13-1</f>
        <v>4.9996572558927532E-2</v>
      </c>
      <c r="P14" s="242">
        <f t="shared" ref="P14" si="8">P13/O13-1</f>
        <v>5.0003497400265884E-2</v>
      </c>
      <c r="Q14" s="242">
        <f t="shared" ref="Q14" si="9">Q13/P13-1</f>
        <v>4.9998223548639364E-2</v>
      </c>
    </row>
    <row r="15" spans="2:19" ht="15.75" thickBot="1" x14ac:dyDescent="0.3"/>
    <row r="16" spans="2:19" ht="15.75" thickBot="1" x14ac:dyDescent="0.3">
      <c r="B16" s="14" t="s">
        <v>166</v>
      </c>
      <c r="C16" s="15"/>
      <c r="D16" s="16"/>
      <c r="E16" s="336">
        <f>AVERAGE(E8:Q8)</f>
        <v>0.34812509011050941</v>
      </c>
      <c r="S16" s="138" t="s">
        <v>213</v>
      </c>
    </row>
    <row r="17" spans="2:19" ht="15.75" thickBot="1" x14ac:dyDescent="0.3">
      <c r="B17" s="17" t="s">
        <v>167</v>
      </c>
      <c r="E17" s="336">
        <f>AVERAGE(E10:Q10)</f>
        <v>0.22519682704732685</v>
      </c>
      <c r="S17"/>
    </row>
    <row r="18" spans="2:19" ht="15.75" thickBot="1" x14ac:dyDescent="0.3">
      <c r="B18" s="17" t="s">
        <v>168</v>
      </c>
      <c r="E18" s="336">
        <f>AVERAGE(E12:Q12)</f>
        <v>8.9954921019017448E-2</v>
      </c>
      <c r="S18" s="138" t="s">
        <v>214</v>
      </c>
    </row>
    <row r="19" spans="2:19" ht="15.75" thickBot="1" x14ac:dyDescent="0.3">
      <c r="B19" s="18" t="s">
        <v>169</v>
      </c>
      <c r="C19" s="19"/>
      <c r="D19" s="20"/>
      <c r="E19" s="337">
        <f>AVERAGE(E14:Q14)</f>
        <v>7.9279002847745708E-2</v>
      </c>
    </row>
    <row r="89" spans="2:18" x14ac:dyDescent="0.25">
      <c r="B89" s="13" t="s">
        <v>170</v>
      </c>
    </row>
    <row r="90" spans="2:18" x14ac:dyDescent="0.25">
      <c r="B90" s="237" t="s">
        <v>3</v>
      </c>
      <c r="C90" s="237"/>
      <c r="D90" s="238"/>
      <c r="E90" s="238" t="str">
        <f t="shared" ref="E90:L90" si="10">E4</f>
        <v>27-28</v>
      </c>
      <c r="F90" s="238" t="str">
        <f t="shared" si="10"/>
        <v>28-29</v>
      </c>
      <c r="G90" s="238" t="str">
        <f t="shared" si="10"/>
        <v>29-30</v>
      </c>
      <c r="H90" s="238" t="str">
        <f t="shared" si="10"/>
        <v>30-31</v>
      </c>
      <c r="I90" s="238" t="str">
        <f t="shared" si="10"/>
        <v>31-32</v>
      </c>
      <c r="J90" s="238" t="str">
        <f t="shared" si="10"/>
        <v>32-33</v>
      </c>
      <c r="K90" s="238" t="str">
        <f t="shared" si="10"/>
        <v>33-34</v>
      </c>
      <c r="L90" s="238" t="str">
        <f t="shared" si="10"/>
        <v>34-35</v>
      </c>
      <c r="M90" s="238" t="s">
        <v>377</v>
      </c>
      <c r="N90" s="238" t="s">
        <v>378</v>
      </c>
      <c r="O90" s="238" t="s">
        <v>379</v>
      </c>
      <c r="P90" s="238" t="s">
        <v>380</v>
      </c>
      <c r="Q90" s="238" t="s">
        <v>426</v>
      </c>
    </row>
    <row r="91" spans="2:18" x14ac:dyDescent="0.25">
      <c r="B91" s="32" t="s">
        <v>32</v>
      </c>
      <c r="C91" s="32"/>
      <c r="D91" s="239"/>
      <c r="E91" s="239">
        <f>+Profitability!G43</f>
        <v>-208.58999999999992</v>
      </c>
      <c r="F91" s="239">
        <f>+Profitability!H43</f>
        <v>-66.710000000000036</v>
      </c>
      <c r="G91" s="239">
        <f>+Profitability!I43</f>
        <v>35.730000000000018</v>
      </c>
      <c r="H91" s="239">
        <f>+Profitability!J43</f>
        <v>108.3599999999999</v>
      </c>
      <c r="I91" s="239">
        <f>+Profitability!K43</f>
        <v>167.58200000000005</v>
      </c>
      <c r="J91" s="239">
        <f>+Profitability!L43</f>
        <v>182.14700000000005</v>
      </c>
      <c r="K91" s="239">
        <f>+Profitability!M43</f>
        <v>236.02600000000007</v>
      </c>
      <c r="L91" s="239">
        <f>+Profitability!N43</f>
        <v>266.59500000000008</v>
      </c>
      <c r="M91" s="239">
        <f>+Profitability!O43</f>
        <v>298.26999999999992</v>
      </c>
      <c r="N91" s="239">
        <f>+Profitability!P43</f>
        <v>332.45099999999991</v>
      </c>
      <c r="O91" s="239">
        <f>+Profitability!Q43</f>
        <v>368.16499999999985</v>
      </c>
      <c r="P91" s="239">
        <f>+Profitability!R43</f>
        <v>406.48299999999989</v>
      </c>
      <c r="Q91" s="239">
        <f>+Profitability!S43</f>
        <v>440.46100000000018</v>
      </c>
    </row>
    <row r="92" spans="2:18" x14ac:dyDescent="0.25">
      <c r="B92" s="32" t="s">
        <v>33</v>
      </c>
      <c r="C92" s="32"/>
      <c r="D92" s="239"/>
      <c r="E92" s="239">
        <f>+Profitability!G35</f>
        <v>313.44350000000003</v>
      </c>
      <c r="F92" s="239">
        <f>+Profitability!H35</f>
        <v>277.56232499999999</v>
      </c>
      <c r="G92" s="239">
        <f>+Profitability!I35</f>
        <v>246.53569125000001</v>
      </c>
      <c r="H92" s="239">
        <f>+Profitability!J35</f>
        <v>219.4538210625</v>
      </c>
      <c r="I92" s="239">
        <f>+Profitability!K35</f>
        <v>195.655307053125</v>
      </c>
      <c r="J92" s="239">
        <f>+Profitability!L35</f>
        <v>174.64116863015627</v>
      </c>
      <c r="K92" s="239">
        <f>+Profitability!M35</f>
        <v>156.02166784713279</v>
      </c>
      <c r="L92" s="239">
        <f>+Profitability!N35</f>
        <v>139.4829843144129</v>
      </c>
      <c r="M92" s="239">
        <f>+Profitability!O35</f>
        <v>124.76598239756595</v>
      </c>
      <c r="N92" s="239">
        <f>+Profitability!P35</f>
        <v>111.65238764545455</v>
      </c>
      <c r="O92" s="239">
        <f>+Profitability!Q35</f>
        <v>99.955542715551516</v>
      </c>
      <c r="P92" s="239">
        <f>+Profitability!R35</f>
        <v>89.51402772552882</v>
      </c>
      <c r="Q92" s="239">
        <f>+Profitability!S35</f>
        <v>80.187101055530363</v>
      </c>
    </row>
    <row r="93" spans="2:18" x14ac:dyDescent="0.25">
      <c r="B93" s="32" t="s">
        <v>34</v>
      </c>
      <c r="C93" s="32"/>
      <c r="D93" s="239"/>
      <c r="E93" s="239">
        <f>+Profitability!G39</f>
        <v>199.37500000000003</v>
      </c>
      <c r="F93" s="239">
        <f>+Profitability!H39</f>
        <v>194.25000000000003</v>
      </c>
      <c r="G93" s="239">
        <f>+Profitability!I39</f>
        <v>188.25</v>
      </c>
      <c r="H93" s="239">
        <f>+Profitability!J39</f>
        <v>182.25</v>
      </c>
      <c r="I93" s="239">
        <f>+Profitability!K39</f>
        <v>173</v>
      </c>
      <c r="J93" s="239">
        <f>+Profitability!L39</f>
        <v>161</v>
      </c>
      <c r="K93" s="239">
        <f>+Profitability!M39</f>
        <v>149</v>
      </c>
      <c r="L93" s="239">
        <f>+Profitability!N39</f>
        <v>137</v>
      </c>
      <c r="M93" s="239">
        <f>+Profitability!O39</f>
        <v>120.66671000000001</v>
      </c>
      <c r="N93" s="239">
        <f>+Profitability!P39</f>
        <v>97.958413333333326</v>
      </c>
      <c r="O93" s="239">
        <f>+Profitability!Q39</f>
        <v>70.250079999999969</v>
      </c>
      <c r="P93" s="239">
        <f>+Profitability!R39</f>
        <v>35.91457999999998</v>
      </c>
      <c r="Q93" s="239">
        <f>+Profitability!S39</f>
        <v>4.6223799999999793</v>
      </c>
    </row>
    <row r="94" spans="2:18" ht="60" x14ac:dyDescent="0.25">
      <c r="B94" s="254" t="s">
        <v>435</v>
      </c>
      <c r="C94" s="32"/>
      <c r="D94" s="239"/>
      <c r="E94" s="239">
        <f>+Profitability!G38</f>
        <v>0</v>
      </c>
      <c r="F94" s="239">
        <f>+Profitability!H38</f>
        <v>0</v>
      </c>
      <c r="G94" s="239">
        <f>+Profitability!I38</f>
        <v>0</v>
      </c>
      <c r="H94" s="239">
        <f>+Profitability!J38</f>
        <v>0</v>
      </c>
      <c r="I94" s="239">
        <f>+Profitability!K38</f>
        <v>0</v>
      </c>
      <c r="J94" s="239">
        <f>+Profitability!L38</f>
        <v>0</v>
      </c>
      <c r="K94" s="239">
        <f>+Profitability!M38</f>
        <v>0</v>
      </c>
      <c r="L94" s="239">
        <f>+Profitability!N38</f>
        <v>0</v>
      </c>
      <c r="M94" s="239">
        <f>+Profitability!O38</f>
        <v>0</v>
      </c>
      <c r="N94" s="239">
        <f>+Profitability!P38</f>
        <v>0</v>
      </c>
      <c r="O94" s="239">
        <f>+Profitability!Q38</f>
        <v>0</v>
      </c>
      <c r="P94" s="239">
        <f>+Profitability!R38</f>
        <v>0</v>
      </c>
      <c r="Q94" s="239">
        <f>+Profitability!S38</f>
        <v>0</v>
      </c>
    </row>
    <row r="95" spans="2:18" x14ac:dyDescent="0.25">
      <c r="B95" s="241" t="str">
        <f>'[2]PROJECT RK'!B700</f>
        <v>Total "A"</v>
      </c>
      <c r="C95" s="241"/>
      <c r="D95" s="246"/>
      <c r="E95" s="246">
        <f>SUM(E91:E94)</f>
        <v>304.22850000000017</v>
      </c>
      <c r="F95" s="246">
        <f t="shared" ref="F95:Q95" si="11">SUM(F91:F94)</f>
        <v>405.10232499999995</v>
      </c>
      <c r="G95" s="246">
        <f t="shared" si="11"/>
        <v>470.51569125000003</v>
      </c>
      <c r="H95" s="246">
        <f t="shared" si="11"/>
        <v>510.06382106249987</v>
      </c>
      <c r="I95" s="246">
        <f t="shared" si="11"/>
        <v>536.23730705312505</v>
      </c>
      <c r="J95" s="246">
        <f t="shared" si="11"/>
        <v>517.78816863015629</v>
      </c>
      <c r="K95" s="246">
        <f t="shared" si="11"/>
        <v>541.04766784713286</v>
      </c>
      <c r="L95" s="246">
        <f t="shared" si="11"/>
        <v>543.07798431441302</v>
      </c>
      <c r="M95" s="246">
        <f t="shared" si="11"/>
        <v>543.7026923975659</v>
      </c>
      <c r="N95" s="246">
        <f t="shared" si="11"/>
        <v>542.0618009787878</v>
      </c>
      <c r="O95" s="246">
        <f t="shared" si="11"/>
        <v>538.37062271555135</v>
      </c>
      <c r="P95" s="246">
        <f t="shared" si="11"/>
        <v>531.91160772552871</v>
      </c>
      <c r="Q95" s="246">
        <f t="shared" si="11"/>
        <v>525.27048105553058</v>
      </c>
      <c r="R95" s="63">
        <f>SUM(E95:Q95)</f>
        <v>6509.3786700302917</v>
      </c>
    </row>
    <row r="96" spans="2:18" x14ac:dyDescent="0.25">
      <c r="B96" s="32" t="s">
        <v>36</v>
      </c>
      <c r="C96" s="32"/>
      <c r="D96" s="239"/>
      <c r="E96" s="239">
        <f>+'Debt Schedule '!E238</f>
        <v>25</v>
      </c>
      <c r="F96" s="239">
        <f>+'Debt Schedule '!F238</f>
        <v>60</v>
      </c>
      <c r="G96" s="239">
        <f>+'Debt Schedule '!G238</f>
        <v>60</v>
      </c>
      <c r="H96" s="239">
        <f>+'Debt Schedule '!H238</f>
        <v>60</v>
      </c>
      <c r="I96" s="239">
        <f>+'Debt Schedule '!I238</f>
        <v>120</v>
      </c>
      <c r="J96" s="239">
        <f>+'Debt Schedule '!J238</f>
        <v>120</v>
      </c>
      <c r="K96" s="239">
        <f>+'Debt Schedule '!K238</f>
        <v>120</v>
      </c>
      <c r="L96" s="239">
        <f>+'Debt Schedule '!L238</f>
        <v>120</v>
      </c>
      <c r="M96" s="239">
        <f>+'Debt Schedule '!M238</f>
        <v>199.99919999999995</v>
      </c>
      <c r="N96" s="239">
        <f>+'Debt Schedule '!N238</f>
        <v>250.00000000000003</v>
      </c>
      <c r="O96" s="239">
        <f>+'Debt Schedule '!O238</f>
        <v>300</v>
      </c>
      <c r="P96" s="239">
        <f>+'Debt Schedule '!P238</f>
        <v>380.00000000000011</v>
      </c>
      <c r="Q96" s="239">
        <f>+'Debt Schedule '!Q238</f>
        <v>185.00000000000003</v>
      </c>
    </row>
    <row r="97" spans="2:18" x14ac:dyDescent="0.25">
      <c r="B97" s="32" t="s">
        <v>28</v>
      </c>
      <c r="C97" s="32"/>
      <c r="D97" s="239"/>
      <c r="E97" s="239">
        <f>+Profitability!G39</f>
        <v>199.37500000000003</v>
      </c>
      <c r="F97" s="239">
        <f>+Profitability!H39</f>
        <v>194.25000000000003</v>
      </c>
      <c r="G97" s="239">
        <f>+Profitability!I39</f>
        <v>188.25</v>
      </c>
      <c r="H97" s="239">
        <f>+Profitability!J39</f>
        <v>182.25</v>
      </c>
      <c r="I97" s="239">
        <f>+Profitability!K39</f>
        <v>173</v>
      </c>
      <c r="J97" s="239">
        <f>+Profitability!L39</f>
        <v>161</v>
      </c>
      <c r="K97" s="239">
        <f>+Profitability!M39</f>
        <v>149</v>
      </c>
      <c r="L97" s="239">
        <f>+Profitability!N39</f>
        <v>137</v>
      </c>
      <c r="M97" s="239">
        <f>+Profitability!O39</f>
        <v>120.66671000000001</v>
      </c>
      <c r="N97" s="239">
        <f>+Profitability!P39</f>
        <v>97.958413333333326</v>
      </c>
      <c r="O97" s="239">
        <f>+Profitability!Q39</f>
        <v>70.250079999999969</v>
      </c>
      <c r="P97" s="239">
        <f>+Profitability!R39</f>
        <v>35.91457999999998</v>
      </c>
      <c r="Q97" s="239">
        <f>+Profitability!S39</f>
        <v>4.6223799999999793</v>
      </c>
    </row>
    <row r="98" spans="2:18" x14ac:dyDescent="0.25">
      <c r="B98" s="241" t="str">
        <f>'[2]PROJECT RK'!B706</f>
        <v>Total "B"</v>
      </c>
      <c r="C98" s="241"/>
      <c r="D98" s="247"/>
      <c r="E98" s="248">
        <f t="shared" ref="E98:Q98" si="12">SUM(E96:E97)</f>
        <v>224.37500000000003</v>
      </c>
      <c r="F98" s="248">
        <f t="shared" si="12"/>
        <v>254.25000000000003</v>
      </c>
      <c r="G98" s="248">
        <f t="shared" si="12"/>
        <v>248.25</v>
      </c>
      <c r="H98" s="248">
        <f t="shared" si="12"/>
        <v>242.25</v>
      </c>
      <c r="I98" s="248">
        <f t="shared" si="12"/>
        <v>293</v>
      </c>
      <c r="J98" s="248">
        <f t="shared" si="12"/>
        <v>281</v>
      </c>
      <c r="K98" s="248">
        <f t="shared" si="12"/>
        <v>269</v>
      </c>
      <c r="L98" s="248">
        <f t="shared" si="12"/>
        <v>257</v>
      </c>
      <c r="M98" s="248">
        <f t="shared" si="12"/>
        <v>320.66590999999994</v>
      </c>
      <c r="N98" s="248">
        <f t="shared" si="12"/>
        <v>347.95841333333334</v>
      </c>
      <c r="O98" s="248">
        <f t="shared" si="12"/>
        <v>370.25007999999997</v>
      </c>
      <c r="P98" s="248">
        <f t="shared" si="12"/>
        <v>415.91458000000011</v>
      </c>
      <c r="Q98" s="248">
        <f t="shared" si="12"/>
        <v>189.62238000000002</v>
      </c>
      <c r="R98" s="29">
        <f>SUM(E98:Q98)</f>
        <v>3713.5363633333327</v>
      </c>
    </row>
    <row r="99" spans="2:18" x14ac:dyDescent="0.25">
      <c r="B99" s="237" t="str">
        <f>'[2]PROJECT RK'!B708</f>
        <v xml:space="preserve">D.S.C.R. </v>
      </c>
      <c r="C99" s="237"/>
      <c r="D99" s="249"/>
      <c r="E99" s="249">
        <f t="shared" ref="E99:Q99" si="13">E95/E98</f>
        <v>1.3558930362116997</v>
      </c>
      <c r="F99" s="249">
        <f t="shared" si="13"/>
        <v>1.5933228121927234</v>
      </c>
      <c r="G99" s="249">
        <f t="shared" si="13"/>
        <v>1.895330075528701</v>
      </c>
      <c r="H99" s="249">
        <f t="shared" si="13"/>
        <v>2.1055266091331264</v>
      </c>
      <c r="I99" s="249">
        <f t="shared" si="13"/>
        <v>1.8301614575191982</v>
      </c>
      <c r="J99" s="249">
        <f t="shared" si="13"/>
        <v>1.8426625218155028</v>
      </c>
      <c r="K99" s="249">
        <f t="shared" si="13"/>
        <v>2.0113296202495645</v>
      </c>
      <c r="L99" s="249">
        <f t="shared" si="13"/>
        <v>2.1131439078381828</v>
      </c>
      <c r="M99" s="249">
        <f t="shared" si="13"/>
        <v>1.6955425426967463</v>
      </c>
      <c r="N99" s="249">
        <f t="shared" si="13"/>
        <v>1.5578350176562894</v>
      </c>
      <c r="O99" s="249">
        <f t="shared" si="13"/>
        <v>1.4540729409580448</v>
      </c>
      <c r="P99" s="249">
        <f t="shared" si="13"/>
        <v>1.2788962765516145</v>
      </c>
      <c r="Q99" s="249">
        <f t="shared" si="13"/>
        <v>2.7700869541640101</v>
      </c>
    </row>
    <row r="100" spans="2:18" x14ac:dyDescent="0.25">
      <c r="B100" s="38" t="str">
        <f>'[2]PROJECT RK'!B710</f>
        <v>Average D.S.C.R.</v>
      </c>
      <c r="C100" s="38"/>
      <c r="D100" s="344">
        <f>+R95/R98</f>
        <v>1.7528786668961991</v>
      </c>
      <c r="E100" s="250"/>
      <c r="F100" s="250"/>
      <c r="G100" s="250"/>
      <c r="H100" s="250"/>
      <c r="I100" s="250"/>
      <c r="J100" s="250"/>
      <c r="K100" s="250"/>
      <c r="L100" s="250"/>
      <c r="M100" s="256"/>
      <c r="N100" s="256"/>
      <c r="O100" s="256"/>
      <c r="P100" s="256"/>
      <c r="Q100" s="256"/>
    </row>
    <row r="101" spans="2:18" x14ac:dyDescent="0.25">
      <c r="B101" s="13"/>
      <c r="C101" s="13"/>
      <c r="D101" s="21"/>
      <c r="E101" s="256"/>
    </row>
    <row r="102" spans="2:18" x14ac:dyDescent="0.25"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5"/>
    </row>
    <row r="120" spans="2:18" x14ac:dyDescent="0.25">
      <c r="B120" s="391" t="s">
        <v>465</v>
      </c>
    </row>
    <row r="121" spans="2:18" x14ac:dyDescent="0.25">
      <c r="B121" s="237" t="s">
        <v>3</v>
      </c>
      <c r="C121" s="237"/>
      <c r="D121" s="238"/>
      <c r="E121" s="238" t="s">
        <v>133</v>
      </c>
      <c r="F121" s="238" t="s">
        <v>134</v>
      </c>
      <c r="G121" s="238" t="s">
        <v>135</v>
      </c>
      <c r="H121" s="238" t="s">
        <v>136</v>
      </c>
      <c r="I121" s="238" t="s">
        <v>137</v>
      </c>
      <c r="J121" s="238" t="s">
        <v>138</v>
      </c>
      <c r="K121" s="238" t="s">
        <v>139</v>
      </c>
      <c r="L121" s="238" t="s">
        <v>376</v>
      </c>
      <c r="M121" s="238" t="s">
        <v>377</v>
      </c>
      <c r="N121" s="238" t="s">
        <v>378</v>
      </c>
      <c r="O121" s="238" t="s">
        <v>379</v>
      </c>
      <c r="P121" s="238" t="s">
        <v>380</v>
      </c>
      <c r="Q121" s="238" t="s">
        <v>426</v>
      </c>
      <c r="R121" s="12"/>
    </row>
    <row r="122" spans="2:18" x14ac:dyDescent="0.25">
      <c r="B122" s="32" t="s">
        <v>466</v>
      </c>
      <c r="C122" s="32"/>
      <c r="D122" s="152"/>
      <c r="E122" s="239">
        <f>'Balance Sheet'!F24</f>
        <v>2750.3104583333338</v>
      </c>
      <c r="F122" s="239">
        <f>'Balance Sheet'!G24</f>
        <v>2633.1332460416675</v>
      </c>
      <c r="G122" s="239">
        <f>'Balance Sheet'!H24</f>
        <v>2616.3313423020836</v>
      </c>
      <c r="H122" s="239">
        <f>'Balance Sheet'!I24</f>
        <v>2670.7941800776043</v>
      </c>
      <c r="I122" s="239">
        <f>'Balance Sheet'!J24</f>
        <v>2724.9657762788802</v>
      </c>
      <c r="J122" s="239">
        <f>'Balance Sheet'!K24</f>
        <v>2794.2428420978395</v>
      </c>
      <c r="K122" s="239">
        <f>'Balance Sheet'!L24</f>
        <v>2917.9736792893764</v>
      </c>
      <c r="L122" s="239">
        <f>'Balance Sheet'!M24</f>
        <v>3070.6654905344612</v>
      </c>
      <c r="M122" s="239">
        <f>'Balance Sheet'!N24</f>
        <v>3175.4720211770073</v>
      </c>
      <c r="N122" s="239">
        <f>'Balance Sheet'!O24</f>
        <v>3264.9406568828003</v>
      </c>
      <c r="O122" s="239">
        <f>'Balance Sheet'!P24</f>
        <v>3340.6461378001563</v>
      </c>
      <c r="P122" s="239">
        <f>'Balance Sheet'!Q24</f>
        <v>3375.229055356916</v>
      </c>
      <c r="Q122" s="239">
        <f>'Balance Sheet'!R24</f>
        <v>3639.4152240960066</v>
      </c>
    </row>
    <row r="123" spans="2:18" x14ac:dyDescent="0.25">
      <c r="B123" s="32" t="s">
        <v>467</v>
      </c>
      <c r="C123" s="32"/>
      <c r="D123" s="152"/>
      <c r="E123" s="239">
        <f>'Balance Sheet'!F27</f>
        <v>48.975958333333324</v>
      </c>
      <c r="F123" s="239">
        <f>'Balance Sheet'!G27</f>
        <v>58.512306250000002</v>
      </c>
      <c r="G123" s="239">
        <f>'Balance Sheet'!H27</f>
        <v>65.977859062500002</v>
      </c>
      <c r="H123" s="239">
        <f>'Balance Sheet'!I27</f>
        <v>72.079681578125005</v>
      </c>
      <c r="I123" s="239">
        <f>'Balance Sheet'!J27</f>
        <v>78.675391078906259</v>
      </c>
      <c r="J123" s="239">
        <f>'Balance Sheet'!K27</f>
        <v>85.80240261415365</v>
      </c>
      <c r="K123" s="239">
        <f>'Balance Sheet'!L27</f>
        <v>93.50402767940561</v>
      </c>
      <c r="L123" s="239">
        <f>'Balance Sheet'!M27</f>
        <v>99.593917973798909</v>
      </c>
      <c r="M123" s="239">
        <f>'Balance Sheet'!N27</f>
        <v>106.12977563353617</v>
      </c>
      <c r="N123" s="239">
        <f>'Balance Sheet'!O27</f>
        <v>113.14993325176768</v>
      </c>
      <c r="O123" s="239">
        <f>'Balance Sheet'!P27</f>
        <v>120.69119810703738</v>
      </c>
      <c r="P123" s="239">
        <f>'Balance Sheet'!Q27</f>
        <v>128.79678268953927</v>
      </c>
      <c r="Q123" s="239">
        <f>'Balance Sheet'!R27</f>
        <v>137.51837657870581</v>
      </c>
    </row>
    <row r="124" spans="2:18" x14ac:dyDescent="0.25">
      <c r="B124" s="32" t="s">
        <v>468</v>
      </c>
      <c r="C124" s="32"/>
      <c r="D124" s="152"/>
      <c r="E124" s="239">
        <f>E122-E123</f>
        <v>2701.3345000000004</v>
      </c>
      <c r="F124" s="239">
        <f t="shared" ref="F124:Q124" si="14">F122-F123</f>
        <v>2574.6209397916673</v>
      </c>
      <c r="G124" s="239">
        <f t="shared" si="14"/>
        <v>2550.3534832395835</v>
      </c>
      <c r="H124" s="239">
        <f t="shared" si="14"/>
        <v>2598.7144984994793</v>
      </c>
      <c r="I124" s="239">
        <f t="shared" si="14"/>
        <v>2646.290385199974</v>
      </c>
      <c r="J124" s="239">
        <f t="shared" si="14"/>
        <v>2708.4404394836856</v>
      </c>
      <c r="K124" s="239">
        <f t="shared" si="14"/>
        <v>2824.4696516099707</v>
      </c>
      <c r="L124" s="239">
        <f t="shared" si="14"/>
        <v>2971.0715725606624</v>
      </c>
      <c r="M124" s="239">
        <f t="shared" si="14"/>
        <v>3069.3422455434711</v>
      </c>
      <c r="N124" s="239">
        <f t="shared" si="14"/>
        <v>3151.7907236310325</v>
      </c>
      <c r="O124" s="239">
        <f t="shared" si="14"/>
        <v>3219.9549396931188</v>
      </c>
      <c r="P124" s="239">
        <f t="shared" si="14"/>
        <v>3246.4322726673768</v>
      </c>
      <c r="Q124" s="239">
        <f t="shared" si="14"/>
        <v>3501.8968475173006</v>
      </c>
    </row>
    <row r="125" spans="2:18" x14ac:dyDescent="0.25">
      <c r="B125" s="32" t="s">
        <v>469</v>
      </c>
      <c r="C125" s="32"/>
      <c r="D125" s="152"/>
      <c r="E125" s="239">
        <f>'Balance Sheet'!F13</f>
        <v>1975</v>
      </c>
      <c r="F125" s="239">
        <f>'Balance Sheet'!G13</f>
        <v>1915</v>
      </c>
      <c r="G125" s="239">
        <f>'Balance Sheet'!H13</f>
        <v>1855</v>
      </c>
      <c r="H125" s="239">
        <f>'Balance Sheet'!I13</f>
        <v>1795</v>
      </c>
      <c r="I125" s="239">
        <f>'Balance Sheet'!J13</f>
        <v>1675</v>
      </c>
      <c r="J125" s="239">
        <f>'Balance Sheet'!K13</f>
        <v>1555</v>
      </c>
      <c r="K125" s="239">
        <f>'Balance Sheet'!L13</f>
        <v>1435</v>
      </c>
      <c r="L125" s="239">
        <f>'Balance Sheet'!M13</f>
        <v>1315</v>
      </c>
      <c r="M125" s="239">
        <f>'Balance Sheet'!N13</f>
        <v>1115.0008</v>
      </c>
      <c r="N125" s="239">
        <f>'Balance Sheet'!O13</f>
        <v>865.00080000000003</v>
      </c>
      <c r="O125" s="239">
        <f>'Balance Sheet'!P13</f>
        <v>565.00080000000003</v>
      </c>
      <c r="P125" s="239">
        <f>'Balance Sheet'!Q13</f>
        <v>185.00079999999991</v>
      </c>
      <c r="Q125" s="239">
        <f>'Balance Sheet'!R13</f>
        <v>7.999999998844487E-4</v>
      </c>
    </row>
    <row r="126" spans="2:18" x14ac:dyDescent="0.25">
      <c r="B126" s="38" t="s">
        <v>470</v>
      </c>
      <c r="C126" s="32"/>
      <c r="D126" s="152"/>
      <c r="E126" s="392">
        <f>E124/E125</f>
        <v>1.3677643037974685</v>
      </c>
      <c r="F126" s="392">
        <f t="shared" ref="F126:P126" si="15">F124/F125</f>
        <v>1.3444495769147087</v>
      </c>
      <c r="G126" s="392">
        <f t="shared" si="15"/>
        <v>1.3748536297787513</v>
      </c>
      <c r="H126" s="392">
        <f t="shared" si="15"/>
        <v>1.4477518097490136</v>
      </c>
      <c r="I126" s="392">
        <f t="shared" si="15"/>
        <v>1.5798748568358054</v>
      </c>
      <c r="J126" s="392">
        <f t="shared" si="15"/>
        <v>1.7417623405039779</v>
      </c>
      <c r="K126" s="392">
        <f t="shared" si="15"/>
        <v>1.9682715342229762</v>
      </c>
      <c r="L126" s="392">
        <f t="shared" si="15"/>
        <v>2.2593700171563973</v>
      </c>
      <c r="M126" s="392">
        <f t="shared" si="15"/>
        <v>2.7527713393061881</v>
      </c>
      <c r="N126" s="392">
        <f t="shared" si="15"/>
        <v>3.6436853279569594</v>
      </c>
      <c r="O126" s="392">
        <f t="shared" si="15"/>
        <v>5.6990272220731697</v>
      </c>
      <c r="P126" s="392">
        <f t="shared" si="15"/>
        <v>17.548206670821848</v>
      </c>
      <c r="Q126" s="392"/>
    </row>
    <row r="130" spans="2:18" x14ac:dyDescent="0.25">
      <c r="B130" s="390" t="s">
        <v>473</v>
      </c>
    </row>
    <row r="131" spans="2:18" x14ac:dyDescent="0.25">
      <c r="B131" s="237" t="s">
        <v>3</v>
      </c>
      <c r="C131" s="237"/>
      <c r="D131" s="238"/>
      <c r="E131" s="238" t="s">
        <v>133</v>
      </c>
      <c r="F131" s="238" t="s">
        <v>134</v>
      </c>
      <c r="G131" s="238" t="s">
        <v>135</v>
      </c>
      <c r="H131" s="238" t="s">
        <v>136</v>
      </c>
      <c r="I131" s="238" t="s">
        <v>137</v>
      </c>
      <c r="J131" s="238" t="s">
        <v>138</v>
      </c>
      <c r="K131" s="238" t="s">
        <v>139</v>
      </c>
      <c r="L131" s="238" t="s">
        <v>376</v>
      </c>
      <c r="M131" s="238" t="s">
        <v>377</v>
      </c>
      <c r="N131" s="238" t="s">
        <v>378</v>
      </c>
      <c r="O131" s="238" t="s">
        <v>379</v>
      </c>
      <c r="P131" s="238" t="s">
        <v>380</v>
      </c>
      <c r="Q131" s="238" t="s">
        <v>426</v>
      </c>
      <c r="R131" s="12"/>
    </row>
    <row r="132" spans="2:18" x14ac:dyDescent="0.25">
      <c r="B132" s="32" t="s">
        <v>471</v>
      </c>
      <c r="C132" s="32"/>
      <c r="D132" s="152"/>
      <c r="E132" s="239">
        <f>'Balance Sheet'!F26</f>
        <v>129.12395833333335</v>
      </c>
      <c r="F132" s="239">
        <f>'Balance Sheet'!G26</f>
        <v>193.89</v>
      </c>
      <c r="G132" s="239">
        <f>'Balance Sheet'!H26</f>
        <v>274.78191666666669</v>
      </c>
      <c r="H132" s="239">
        <f>'Balance Sheet'!I26</f>
        <v>361.78587499999998</v>
      </c>
      <c r="I132" s="239">
        <f>'Balance Sheet'!J26</f>
        <v>441.25691666666671</v>
      </c>
      <c r="J132" s="239">
        <f>'Balance Sheet'!K26</f>
        <v>513.99095833333331</v>
      </c>
      <c r="K132" s="239">
        <f>'Balance Sheet'!L26</f>
        <v>593.10179166666671</v>
      </c>
      <c r="L132" s="239">
        <f>'Balance Sheet'!M26</f>
        <v>666.42762500000003</v>
      </c>
      <c r="M132" s="239">
        <f>'Balance Sheet'!N26</f>
        <v>716.73725000000002</v>
      </c>
      <c r="N132" s="239">
        <f>'Balance Sheet'!O26</f>
        <v>754.10479166666664</v>
      </c>
      <c r="O132" s="239">
        <f>'Balance Sheet'!P26</f>
        <v>778.87441666666655</v>
      </c>
      <c r="P132" s="239">
        <f>'Balance Sheet'!Q26</f>
        <v>782.60558333333324</v>
      </c>
      <c r="Q132" s="239">
        <f>'Balance Sheet'!R26</f>
        <v>846.10441666666657</v>
      </c>
    </row>
    <row r="133" spans="2:18" x14ac:dyDescent="0.25">
      <c r="B133" s="32" t="s">
        <v>472</v>
      </c>
      <c r="C133" s="32"/>
      <c r="D133" s="152"/>
      <c r="E133" s="239">
        <f>'Balance Sheet'!F27</f>
        <v>48.975958333333324</v>
      </c>
      <c r="F133" s="239">
        <f>'Balance Sheet'!G27</f>
        <v>58.512306250000002</v>
      </c>
      <c r="G133" s="239">
        <f>'Balance Sheet'!H27</f>
        <v>65.977859062500002</v>
      </c>
      <c r="H133" s="239">
        <f>'Balance Sheet'!I27</f>
        <v>72.079681578125005</v>
      </c>
      <c r="I133" s="239">
        <f>'Balance Sheet'!J27</f>
        <v>78.675391078906259</v>
      </c>
      <c r="J133" s="239">
        <f>'Balance Sheet'!K27</f>
        <v>85.80240261415365</v>
      </c>
      <c r="K133" s="239">
        <f>'Balance Sheet'!L27</f>
        <v>93.50402767940561</v>
      </c>
      <c r="L133" s="239">
        <f>'Balance Sheet'!M27</f>
        <v>99.593917973798909</v>
      </c>
      <c r="M133" s="239">
        <f>'Balance Sheet'!N27</f>
        <v>106.12977563353617</v>
      </c>
      <c r="N133" s="239">
        <f>'Balance Sheet'!O27</f>
        <v>113.14993325176768</v>
      </c>
      <c r="O133" s="239">
        <f>'Balance Sheet'!P27</f>
        <v>120.69119810703738</v>
      </c>
      <c r="P133" s="239">
        <f>'Balance Sheet'!Q27</f>
        <v>128.79678268953927</v>
      </c>
      <c r="Q133" s="239">
        <f>'Balance Sheet'!R27</f>
        <v>137.51837657870581</v>
      </c>
    </row>
    <row r="134" spans="2:18" x14ac:dyDescent="0.25">
      <c r="B134" s="32" t="s">
        <v>57</v>
      </c>
      <c r="C134" s="32"/>
      <c r="D134" s="152"/>
      <c r="E134" s="239">
        <f>'Balance Sheet'!F13</f>
        <v>1975</v>
      </c>
      <c r="F134" s="239">
        <f>'Balance Sheet'!G13</f>
        <v>1915</v>
      </c>
      <c r="G134" s="239">
        <f>'Balance Sheet'!H13</f>
        <v>1855</v>
      </c>
      <c r="H134" s="239">
        <f>'Balance Sheet'!I13</f>
        <v>1795</v>
      </c>
      <c r="I134" s="239">
        <f>'Balance Sheet'!J13</f>
        <v>1675</v>
      </c>
      <c r="J134" s="239">
        <f>'Balance Sheet'!K13</f>
        <v>1555</v>
      </c>
      <c r="K134" s="239">
        <f>'Balance Sheet'!L13</f>
        <v>1435</v>
      </c>
      <c r="L134" s="239">
        <f>'Balance Sheet'!M13</f>
        <v>1315</v>
      </c>
      <c r="M134" s="239">
        <f>'Balance Sheet'!N13</f>
        <v>1115.0008</v>
      </c>
      <c r="N134" s="239">
        <f>'Balance Sheet'!O13</f>
        <v>865.00080000000003</v>
      </c>
      <c r="O134" s="239">
        <f>'Balance Sheet'!P13</f>
        <v>565.00080000000003</v>
      </c>
      <c r="P134" s="239">
        <f>'Balance Sheet'!Q13</f>
        <v>185.00079999999991</v>
      </c>
      <c r="Q134" s="239">
        <f>'Balance Sheet'!R13</f>
        <v>7.999999998844487E-4</v>
      </c>
    </row>
    <row r="135" spans="2:18" s="13" customFormat="1" x14ac:dyDescent="0.25">
      <c r="B135" s="38" t="s">
        <v>473</v>
      </c>
      <c r="C135" s="38"/>
      <c r="D135" s="250"/>
      <c r="E135" s="392">
        <f t="shared" ref="E135:O135" si="16">E132/E133</f>
        <v>2.6364764004107464</v>
      </c>
      <c r="F135" s="392">
        <f t="shared" si="16"/>
        <v>3.3136619016790161</v>
      </c>
      <c r="G135" s="392">
        <f t="shared" si="16"/>
        <v>4.1647595204077357</v>
      </c>
      <c r="H135" s="392">
        <f t="shared" si="16"/>
        <v>5.0192490737888615</v>
      </c>
      <c r="I135" s="392">
        <f t="shared" si="16"/>
        <v>5.608576082248069</v>
      </c>
      <c r="J135" s="392">
        <f t="shared" si="16"/>
        <v>5.9904028637135998</v>
      </c>
      <c r="K135" s="392">
        <f t="shared" si="16"/>
        <v>6.3430614315376515</v>
      </c>
      <c r="L135" s="392">
        <f t="shared" si="16"/>
        <v>6.6914490217698166</v>
      </c>
      <c r="M135" s="392">
        <f t="shared" si="16"/>
        <v>6.7534039879145542</v>
      </c>
      <c r="N135" s="392">
        <f t="shared" si="16"/>
        <v>6.6646507867461393</v>
      </c>
      <c r="O135" s="392">
        <f t="shared" si="16"/>
        <v>6.453448378032558</v>
      </c>
      <c r="P135" s="392">
        <f>P132/P133</f>
        <v>6.0762820855531787</v>
      </c>
      <c r="Q135" s="392">
        <f>Q132/Q133</f>
        <v>6.1526643763309412</v>
      </c>
    </row>
    <row r="137" spans="2:18" x14ac:dyDescent="0.25">
      <c r="B137" s="390" t="s">
        <v>474</v>
      </c>
    </row>
    <row r="138" spans="2:18" x14ac:dyDescent="0.25">
      <c r="B138" s="237" t="s">
        <v>3</v>
      </c>
      <c r="C138" s="237"/>
      <c r="D138" s="238"/>
      <c r="E138" s="238" t="s">
        <v>133</v>
      </c>
      <c r="F138" s="238" t="s">
        <v>134</v>
      </c>
      <c r="G138" s="238" t="s">
        <v>135</v>
      </c>
      <c r="H138" s="238" t="s">
        <v>136</v>
      </c>
      <c r="I138" s="238" t="s">
        <v>137</v>
      </c>
      <c r="J138" s="238" t="s">
        <v>138</v>
      </c>
      <c r="K138" s="238" t="s">
        <v>139</v>
      </c>
      <c r="L138" s="238" t="s">
        <v>376</v>
      </c>
      <c r="M138" s="238" t="s">
        <v>377</v>
      </c>
      <c r="N138" s="238" t="s">
        <v>378</v>
      </c>
      <c r="O138" s="238" t="s">
        <v>379</v>
      </c>
      <c r="P138" s="238" t="s">
        <v>380</v>
      </c>
      <c r="Q138" s="238" t="s">
        <v>426</v>
      </c>
      <c r="R138" s="12"/>
    </row>
    <row r="139" spans="2:18" x14ac:dyDescent="0.25">
      <c r="B139" s="32" t="s">
        <v>475</v>
      </c>
      <c r="C139" s="32"/>
      <c r="D139" s="152"/>
      <c r="E139" s="239">
        <f>'Balance Sheet'!F23</f>
        <v>31.77</v>
      </c>
      <c r="F139" s="239">
        <f>'Balance Sheet'!G23</f>
        <v>72.75</v>
      </c>
      <c r="G139" s="239">
        <f>'Balance Sheet'!H23</f>
        <v>136.54</v>
      </c>
      <c r="H139" s="239">
        <f>'Balance Sheet'!I23</f>
        <v>211.13</v>
      </c>
      <c r="I139" s="239">
        <f>'Balance Sheet'!J23</f>
        <v>277.29000000000002</v>
      </c>
      <c r="J139" s="239">
        <f>'Balance Sheet'!K23</f>
        <v>335.76</v>
      </c>
      <c r="K139" s="239">
        <f>'Balance Sheet'!L23</f>
        <v>399.59</v>
      </c>
      <c r="L139" s="239">
        <f>'Balance Sheet'!M23</f>
        <v>463.24</v>
      </c>
      <c r="M139" s="239">
        <f>'Balance Sheet'!N23</f>
        <v>503.39</v>
      </c>
      <c r="N139" s="239">
        <f>'Balance Sheet'!O23</f>
        <v>530.09</v>
      </c>
      <c r="O139" s="239">
        <f>'Balance Sheet'!P23</f>
        <v>543.66</v>
      </c>
      <c r="P139" s="239">
        <f>'Balance Sheet'!Q23</f>
        <v>535.63</v>
      </c>
      <c r="Q139" s="239">
        <f>'Balance Sheet'!R23</f>
        <v>586.78</v>
      </c>
    </row>
    <row r="140" spans="2:18" x14ac:dyDescent="0.25">
      <c r="B140" s="32" t="s">
        <v>472</v>
      </c>
      <c r="C140" s="32"/>
      <c r="D140" s="152"/>
      <c r="E140" s="239">
        <f>'Balance Sheet'!F27</f>
        <v>48.975958333333324</v>
      </c>
      <c r="F140" s="239">
        <f>'Balance Sheet'!G27</f>
        <v>58.512306250000002</v>
      </c>
      <c r="G140" s="239">
        <f>'Balance Sheet'!H27</f>
        <v>65.977859062500002</v>
      </c>
      <c r="H140" s="239">
        <f>'Balance Sheet'!I27</f>
        <v>72.079681578125005</v>
      </c>
      <c r="I140" s="239">
        <f>'Balance Sheet'!J27</f>
        <v>78.675391078906259</v>
      </c>
      <c r="J140" s="239">
        <f>'Balance Sheet'!K27</f>
        <v>85.80240261415365</v>
      </c>
      <c r="K140" s="239">
        <f>'Balance Sheet'!L27</f>
        <v>93.50402767940561</v>
      </c>
      <c r="L140" s="239">
        <f>'Balance Sheet'!M27</f>
        <v>99.593917973798909</v>
      </c>
      <c r="M140" s="239">
        <f>'Balance Sheet'!N27</f>
        <v>106.12977563353617</v>
      </c>
      <c r="N140" s="239">
        <f>'Balance Sheet'!O27</f>
        <v>113.14993325176768</v>
      </c>
      <c r="O140" s="239">
        <f>'Balance Sheet'!P27</f>
        <v>120.69119810703738</v>
      </c>
      <c r="P140" s="239">
        <f>'Balance Sheet'!Q27</f>
        <v>128.79678268953927</v>
      </c>
      <c r="Q140" s="239">
        <f>'Balance Sheet'!R27</f>
        <v>137.51837657870581</v>
      </c>
    </row>
    <row r="141" spans="2:18" s="13" customFormat="1" x14ac:dyDescent="0.25">
      <c r="B141" s="38" t="s">
        <v>474</v>
      </c>
      <c r="C141" s="38"/>
      <c r="D141" s="250"/>
      <c r="E141" s="392">
        <f>E139/E140</f>
        <v>0.64868562211220993</v>
      </c>
      <c r="F141" s="392">
        <f t="shared" ref="F141:Q141" si="17">F139/F140</f>
        <v>1.2433281930328972</v>
      </c>
      <c r="G141" s="392">
        <f t="shared" si="17"/>
        <v>2.0694821253696238</v>
      </c>
      <c r="H141" s="392">
        <f t="shared" si="17"/>
        <v>2.9291194880094262</v>
      </c>
      <c r="I141" s="392">
        <f t="shared" si="17"/>
        <v>3.5244820038059466</v>
      </c>
      <c r="J141" s="392">
        <f t="shared" si="17"/>
        <v>3.913177134559799</v>
      </c>
      <c r="K141" s="392">
        <f t="shared" si="17"/>
        <v>4.2735057506834035</v>
      </c>
      <c r="L141" s="392">
        <f t="shared" si="17"/>
        <v>4.651288044736515</v>
      </c>
      <c r="M141" s="392">
        <f t="shared" si="17"/>
        <v>4.7431552266556638</v>
      </c>
      <c r="N141" s="392">
        <f t="shared" si="17"/>
        <v>4.6848458922243221</v>
      </c>
      <c r="O141" s="392">
        <f t="shared" si="17"/>
        <v>4.504553840934153</v>
      </c>
      <c r="P141" s="392">
        <f t="shared" si="17"/>
        <v>4.1587218936292825</v>
      </c>
      <c r="Q141" s="392">
        <f t="shared" si="17"/>
        <v>4.2669206443414387</v>
      </c>
    </row>
    <row r="143" spans="2:18" x14ac:dyDescent="0.25">
      <c r="B143" s="390" t="s">
        <v>476</v>
      </c>
    </row>
    <row r="144" spans="2:18" x14ac:dyDescent="0.25">
      <c r="B144" s="10" t="s">
        <v>477</v>
      </c>
    </row>
  </sheetData>
  <mergeCells count="1">
    <mergeCell ref="B1:Q1"/>
  </mergeCells>
  <pageMargins left="0.7" right="0.7" top="0.75" bottom="0.75" header="0.3" footer="0.3"/>
  <pageSetup scale="48" orientation="portrait" horizontalDpi="4294967294" verticalDpi="4294967294" r:id="rId1"/>
  <rowBreaks count="1" manualBreakCount="1">
    <brk id="100" max="22" man="1"/>
  </rowBreaks>
  <colBreaks count="1" manualBreakCount="1">
    <brk id="1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view="pageBreakPreview" zoomScaleNormal="100" zoomScaleSheetLayoutView="100" workbookViewId="0">
      <selection activeCell="G27" sqref="G27"/>
    </sheetView>
  </sheetViews>
  <sheetFormatPr defaultColWidth="9.140625" defaultRowHeight="15" x14ac:dyDescent="0.25"/>
  <cols>
    <col min="1" max="1" width="21.140625" style="10" bestFit="1" customWidth="1"/>
    <col min="2" max="2" width="24.5703125" style="10" customWidth="1"/>
    <col min="3" max="3" width="11.28515625" style="10" customWidth="1"/>
    <col min="4" max="4" width="13.5703125" style="10" bestFit="1" customWidth="1"/>
    <col min="5" max="11" width="11.42578125" style="10" bestFit="1" customWidth="1"/>
    <col min="12" max="16" width="11.42578125" style="10" customWidth="1"/>
    <col min="17" max="17" width="13.7109375" style="10" bestFit="1" customWidth="1"/>
    <col min="18" max="16384" width="9.140625" style="10"/>
  </cols>
  <sheetData>
    <row r="1" spans="1:17" x14ac:dyDescent="0.25">
      <c r="A1" s="399" t="s">
        <v>440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</row>
    <row r="5" spans="1:17" x14ac:dyDescent="0.25">
      <c r="A5" s="146" t="s">
        <v>122</v>
      </c>
      <c r="B5" s="145"/>
      <c r="C5" s="140"/>
      <c r="D5" s="140"/>
    </row>
    <row r="6" spans="1:17" x14ac:dyDescent="0.25">
      <c r="A6" s="144" t="s">
        <v>124</v>
      </c>
      <c r="B6" s="32"/>
      <c r="C6" s="32"/>
      <c r="D6" s="139">
        <f>SUM(Profitability!C41:S41)</f>
        <v>3667.1000000000004</v>
      </c>
    </row>
    <row r="7" spans="1:17" x14ac:dyDescent="0.25">
      <c r="A7" s="144" t="s">
        <v>123</v>
      </c>
      <c r="B7" s="32"/>
      <c r="C7" s="32"/>
      <c r="D7" s="139">
        <v>15</v>
      </c>
    </row>
    <row r="8" spans="1:17" x14ac:dyDescent="0.25">
      <c r="A8" s="144" t="s">
        <v>125</v>
      </c>
      <c r="B8" s="32"/>
      <c r="C8" s="32"/>
      <c r="D8" s="139">
        <f>D6/D7</f>
        <v>244.47333333333336</v>
      </c>
    </row>
    <row r="9" spans="1:17" x14ac:dyDescent="0.25">
      <c r="A9" s="144"/>
      <c r="B9" s="32"/>
      <c r="C9" s="32"/>
      <c r="D9" s="139"/>
    </row>
    <row r="10" spans="1:17" x14ac:dyDescent="0.25">
      <c r="A10" s="144" t="s">
        <v>126</v>
      </c>
      <c r="B10" s="32"/>
      <c r="C10" s="32"/>
      <c r="D10" s="139">
        <f>Cost!C21</f>
        <v>2934.9166666666665</v>
      </c>
    </row>
    <row r="11" spans="1:17" x14ac:dyDescent="0.25">
      <c r="A11" s="144"/>
      <c r="B11" s="32"/>
      <c r="C11" s="32"/>
      <c r="D11" s="32"/>
    </row>
    <row r="12" spans="1:17" x14ac:dyDescent="0.25">
      <c r="A12" s="144" t="s">
        <v>127</v>
      </c>
      <c r="B12" s="32"/>
      <c r="C12" s="32"/>
      <c r="D12" s="147">
        <f>D8/D10</f>
        <v>8.3298219710951485E-2</v>
      </c>
    </row>
    <row r="17" spans="1:17" x14ac:dyDescent="0.25">
      <c r="A17" s="141" t="s">
        <v>3</v>
      </c>
      <c r="B17" s="141"/>
      <c r="C17" s="142"/>
      <c r="D17" s="143" t="s">
        <v>133</v>
      </c>
      <c r="E17" s="143" t="s">
        <v>134</v>
      </c>
      <c r="F17" s="143" t="s">
        <v>135</v>
      </c>
      <c r="G17" s="143" t="s">
        <v>136</v>
      </c>
      <c r="H17" s="143" t="s">
        <v>137</v>
      </c>
      <c r="I17" s="143" t="s">
        <v>138</v>
      </c>
      <c r="J17" s="143" t="s">
        <v>139</v>
      </c>
      <c r="K17" s="143" t="s">
        <v>377</v>
      </c>
      <c r="L17" s="143" t="s">
        <v>378</v>
      </c>
      <c r="M17" s="143" t="s">
        <v>379</v>
      </c>
      <c r="N17" s="143" t="s">
        <v>380</v>
      </c>
      <c r="O17" s="143" t="s">
        <v>426</v>
      </c>
      <c r="P17" s="143" t="s">
        <v>426</v>
      </c>
      <c r="Q17" s="143" t="s">
        <v>183</v>
      </c>
    </row>
    <row r="18" spans="1:17" x14ac:dyDescent="0.25">
      <c r="A18" s="144" t="s">
        <v>161</v>
      </c>
      <c r="B18" s="32"/>
      <c r="C18" s="244"/>
      <c r="D18" s="244">
        <f>'Ratio Analysis'!E9</f>
        <v>-9.2149999999998897</v>
      </c>
      <c r="E18" s="244">
        <f>'Ratio Analysis'!F9</f>
        <v>127.53999999999999</v>
      </c>
      <c r="F18" s="244">
        <f>'Ratio Analysis'!G9</f>
        <v>223.98000000000002</v>
      </c>
      <c r="G18" s="244">
        <f>'Ratio Analysis'!H9</f>
        <v>290.6099999999999</v>
      </c>
      <c r="H18" s="244">
        <f>'Ratio Analysis'!I9</f>
        <v>356.17000000000007</v>
      </c>
      <c r="I18" s="244">
        <f>'Ratio Analysis'!J9</f>
        <v>421.21000000000004</v>
      </c>
      <c r="J18" s="244">
        <f>'Ratio Analysis'!K9</f>
        <v>486.18000000000006</v>
      </c>
      <c r="K18" s="244">
        <f>'Ratio Analysis'!L9</f>
        <v>517.85000000000014</v>
      </c>
      <c r="L18" s="244">
        <f>'Ratio Analysis'!M9</f>
        <v>546.76670999999988</v>
      </c>
      <c r="M18" s="244">
        <f>'Ratio Analysis'!N9</f>
        <v>572.88841333333312</v>
      </c>
      <c r="N18" s="244">
        <f>'Ratio Analysis'!O9</f>
        <v>596.20007999999984</v>
      </c>
      <c r="O18" s="244">
        <f>'Ratio Analysis'!P9</f>
        <v>616.60457999999983</v>
      </c>
      <c r="P18" s="244">
        <f>'Ratio Analysis'!Q9</f>
        <v>633.85238000000027</v>
      </c>
      <c r="Q18" s="244"/>
    </row>
    <row r="19" spans="1:17" x14ac:dyDescent="0.25">
      <c r="A19" s="144" t="s">
        <v>463</v>
      </c>
      <c r="B19" s="32"/>
      <c r="C19" s="244"/>
      <c r="D19" s="244"/>
      <c r="E19" s="244">
        <f>+E18*30%</f>
        <v>38.261999999999993</v>
      </c>
      <c r="F19" s="244">
        <f t="shared" ref="F19:P19" si="0">+F18*30%</f>
        <v>67.194000000000003</v>
      </c>
      <c r="G19" s="244">
        <f t="shared" si="0"/>
        <v>87.182999999999964</v>
      </c>
      <c r="H19" s="244">
        <f t="shared" si="0"/>
        <v>106.85100000000001</v>
      </c>
      <c r="I19" s="244">
        <f t="shared" si="0"/>
        <v>126.363</v>
      </c>
      <c r="J19" s="244">
        <f t="shared" si="0"/>
        <v>145.85400000000001</v>
      </c>
      <c r="K19" s="244">
        <f t="shared" si="0"/>
        <v>155.35500000000005</v>
      </c>
      <c r="L19" s="244">
        <f t="shared" si="0"/>
        <v>164.03001299999997</v>
      </c>
      <c r="M19" s="244">
        <f t="shared" si="0"/>
        <v>171.86652399999994</v>
      </c>
      <c r="N19" s="244">
        <f t="shared" si="0"/>
        <v>178.86002399999995</v>
      </c>
      <c r="O19" s="244">
        <f t="shared" si="0"/>
        <v>184.98137399999993</v>
      </c>
      <c r="P19" s="244">
        <f t="shared" si="0"/>
        <v>190.15571400000007</v>
      </c>
      <c r="Q19" s="244"/>
    </row>
    <row r="20" spans="1:17" x14ac:dyDescent="0.25">
      <c r="A20" s="144" t="s">
        <v>172</v>
      </c>
      <c r="B20" s="32"/>
      <c r="C20" s="244"/>
      <c r="D20" s="244">
        <f>+D18-D19</f>
        <v>-9.2149999999998897</v>
      </c>
      <c r="E20" s="244">
        <f t="shared" ref="E20:P20" si="1">+E18-E19</f>
        <v>89.277999999999992</v>
      </c>
      <c r="F20" s="244">
        <f t="shared" si="1"/>
        <v>156.786</v>
      </c>
      <c r="G20" s="244">
        <f t="shared" si="1"/>
        <v>203.42699999999994</v>
      </c>
      <c r="H20" s="244">
        <f t="shared" si="1"/>
        <v>249.31900000000007</v>
      </c>
      <c r="I20" s="244">
        <f t="shared" si="1"/>
        <v>294.84700000000004</v>
      </c>
      <c r="J20" s="244">
        <f t="shared" si="1"/>
        <v>340.32600000000002</v>
      </c>
      <c r="K20" s="244">
        <f t="shared" si="1"/>
        <v>362.49500000000012</v>
      </c>
      <c r="L20" s="244">
        <f t="shared" si="1"/>
        <v>382.73669699999994</v>
      </c>
      <c r="M20" s="244">
        <f t="shared" si="1"/>
        <v>401.02188933333321</v>
      </c>
      <c r="N20" s="244">
        <f t="shared" si="1"/>
        <v>417.34005599999989</v>
      </c>
      <c r="O20" s="244">
        <f t="shared" si="1"/>
        <v>431.62320599999987</v>
      </c>
      <c r="P20" s="244">
        <f t="shared" si="1"/>
        <v>443.69666600000016</v>
      </c>
      <c r="Q20" s="244"/>
    </row>
    <row r="21" spans="1:17" x14ac:dyDescent="0.25">
      <c r="A21" s="144" t="s">
        <v>252</v>
      </c>
      <c r="B21" s="32"/>
      <c r="C21" s="245"/>
      <c r="D21" s="245">
        <f>Profitability!G35+Profitability!G38</f>
        <v>313.44350000000003</v>
      </c>
      <c r="E21" s="245">
        <f>Profitability!H35+Profitability!H38</f>
        <v>277.56232499999999</v>
      </c>
      <c r="F21" s="245">
        <f>Profitability!I35+Profitability!I38</f>
        <v>246.53569125000001</v>
      </c>
      <c r="G21" s="245">
        <f>Profitability!J35+Profitability!J38</f>
        <v>219.4538210625</v>
      </c>
      <c r="H21" s="245">
        <f>Profitability!K35+Profitability!K38</f>
        <v>195.655307053125</v>
      </c>
      <c r="I21" s="245">
        <f>Profitability!L35+Profitability!L38</f>
        <v>174.64116863015627</v>
      </c>
      <c r="J21" s="245">
        <f>Profitability!M35+Profitability!M38</f>
        <v>156.02166784713279</v>
      </c>
      <c r="K21" s="245">
        <f>Profitability!N35+Profitability!N38</f>
        <v>139.4829843144129</v>
      </c>
      <c r="L21" s="245">
        <f>Profitability!O35+Profitability!O38</f>
        <v>124.76598239756595</v>
      </c>
      <c r="M21" s="245">
        <f>Profitability!P35+Profitability!P38</f>
        <v>111.65238764545455</v>
      </c>
      <c r="N21" s="245">
        <f>Profitability!Q35+Profitability!Q38</f>
        <v>99.955542715551516</v>
      </c>
      <c r="O21" s="245">
        <f>Profitability!R35+Profitability!R38</f>
        <v>89.51402772552882</v>
      </c>
      <c r="P21" s="245">
        <f>Profitability!S35+Profitability!S38</f>
        <v>80.187101055530363</v>
      </c>
      <c r="Q21" s="244"/>
    </row>
    <row r="22" spans="1:17" x14ac:dyDescent="0.25">
      <c r="A22" s="144" t="s">
        <v>173</v>
      </c>
      <c r="B22" s="32"/>
      <c r="C22" s="244">
        <f>+Cost!C21</f>
        <v>2934.9166666666665</v>
      </c>
      <c r="D22" s="244">
        <f>+Depreciation!G43</f>
        <v>0</v>
      </c>
      <c r="E22" s="244">
        <f>+Depreciation!H43</f>
        <v>0</v>
      </c>
      <c r="F22" s="244">
        <f>+Depreciation!I43</f>
        <v>0</v>
      </c>
      <c r="G22" s="244">
        <f>+Depreciation!J43</f>
        <v>0</v>
      </c>
      <c r="H22" s="244">
        <f>+Depreciation!K43</f>
        <v>0</v>
      </c>
      <c r="I22" s="244">
        <f>+Depreciation!L43</f>
        <v>0</v>
      </c>
      <c r="J22" s="244">
        <f>+Depreciation!M43</f>
        <v>0</v>
      </c>
      <c r="K22" s="244">
        <f>+Depreciation!N43</f>
        <v>0</v>
      </c>
      <c r="L22" s="244">
        <f>+Depreciation!O43</f>
        <v>0</v>
      </c>
      <c r="M22" s="244">
        <f>+Depreciation!P43</f>
        <v>0</v>
      </c>
      <c r="N22" s="244">
        <f>+Depreciation!Q43</f>
        <v>0</v>
      </c>
      <c r="O22" s="244">
        <f>+Depreciation!R43</f>
        <v>0</v>
      </c>
      <c r="P22" s="244">
        <f>+Depreciation!S43</f>
        <v>0</v>
      </c>
      <c r="Q22" s="244"/>
    </row>
    <row r="23" spans="1:17" x14ac:dyDescent="0.25">
      <c r="A23" s="144" t="s">
        <v>174</v>
      </c>
      <c r="B23" s="32"/>
      <c r="C23" s="244"/>
      <c r="D23" s="244">
        <f>+'Balance Sheet'!F40</f>
        <v>48.378000000000014</v>
      </c>
      <c r="E23" s="244">
        <f>+'Balance Sheet'!G40</f>
        <v>14.24969374999997</v>
      </c>
      <c r="F23" s="244">
        <f>+'Balance Sheet'!H40</f>
        <v>9.6363638541666816</v>
      </c>
      <c r="G23" s="244">
        <f>+'Balance Sheet'!I40</f>
        <v>6.3121358177083096</v>
      </c>
      <c r="H23" s="244">
        <f>+'Balance Sheet'!J40</f>
        <v>6.7153321658854566</v>
      </c>
      <c r="I23" s="244">
        <f>+'Balance Sheet'!K40</f>
        <v>7.1370301314192659</v>
      </c>
      <c r="J23" s="244">
        <f>+'Balance Sheet'!L40</f>
        <v>7.5792082680813735</v>
      </c>
      <c r="K23" s="244">
        <f>+'Balance Sheet'!M40</f>
        <v>3.585943038940016</v>
      </c>
      <c r="L23" s="244">
        <f>+'Balance Sheet'!N40</f>
        <v>3.6237673402627451</v>
      </c>
      <c r="M23" s="244">
        <f>+'Balance Sheet'!O40</f>
        <v>3.647384048435157</v>
      </c>
      <c r="N23" s="244">
        <f>+'Balance Sheet'!P40</f>
        <v>3.6583601447302669</v>
      </c>
      <c r="O23" s="244">
        <f>+'Balance Sheet'!Q40</f>
        <v>3.6555820841647773</v>
      </c>
      <c r="P23" s="244">
        <f>+'Balance Sheet'!R40</f>
        <v>3.6272394441668041</v>
      </c>
      <c r="Q23" s="244"/>
    </row>
    <row r="24" spans="1:17" x14ac:dyDescent="0.25">
      <c r="A24" s="144" t="s">
        <v>175</v>
      </c>
      <c r="B24" s="32"/>
      <c r="C24" s="244">
        <f>B20+B21-C22-C23</f>
        <v>-2934.9166666666665</v>
      </c>
      <c r="D24" s="244">
        <f>D20+D21-D22-D23</f>
        <v>255.85050000000015</v>
      </c>
      <c r="E24" s="244">
        <f>E20+E21-E22-E23</f>
        <v>352.59063125000006</v>
      </c>
      <c r="F24" s="244">
        <f t="shared" ref="F24:P24" si="2">F20+F21-F22-F23</f>
        <v>393.68532739583333</v>
      </c>
      <c r="G24" s="244">
        <f t="shared" si="2"/>
        <v>416.5686852447916</v>
      </c>
      <c r="H24" s="244">
        <f t="shared" si="2"/>
        <v>438.25897488723962</v>
      </c>
      <c r="I24" s="244">
        <f t="shared" si="2"/>
        <v>462.3511384987371</v>
      </c>
      <c r="J24" s="244">
        <f t="shared" si="2"/>
        <v>488.76845957905141</v>
      </c>
      <c r="K24" s="244">
        <f t="shared" si="2"/>
        <v>498.39204127547299</v>
      </c>
      <c r="L24" s="244">
        <f t="shared" si="2"/>
        <v>503.87891205730313</v>
      </c>
      <c r="M24" s="244">
        <f t="shared" si="2"/>
        <v>509.02689293035257</v>
      </c>
      <c r="N24" s="244">
        <f t="shared" si="2"/>
        <v>513.63723857082107</v>
      </c>
      <c r="O24" s="244">
        <f t="shared" si="2"/>
        <v>517.4816516413639</v>
      </c>
      <c r="P24" s="244">
        <f t="shared" si="2"/>
        <v>520.25652761136371</v>
      </c>
      <c r="Q24" s="244"/>
    </row>
    <row r="25" spans="1:17" x14ac:dyDescent="0.25">
      <c r="A25" s="144" t="s">
        <v>183</v>
      </c>
      <c r="B25" s="32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>
        <f>+'Balance Sheet'!R18</f>
        <v>705.75849330304163</v>
      </c>
      <c r="Q25" s="244"/>
    </row>
    <row r="26" spans="1:17" x14ac:dyDescent="0.25">
      <c r="A26" s="144"/>
      <c r="B26" s="32"/>
      <c r="C26" s="244">
        <f>+C24</f>
        <v>-2934.9166666666665</v>
      </c>
      <c r="D26" s="244">
        <f t="shared" ref="D26:O26" si="3">+D24+D25</f>
        <v>255.85050000000015</v>
      </c>
      <c r="E26" s="244">
        <f t="shared" si="3"/>
        <v>352.59063125000006</v>
      </c>
      <c r="F26" s="244">
        <f t="shared" si="3"/>
        <v>393.68532739583333</v>
      </c>
      <c r="G26" s="244">
        <f t="shared" si="3"/>
        <v>416.5686852447916</v>
      </c>
      <c r="H26" s="244">
        <f t="shared" si="3"/>
        <v>438.25897488723962</v>
      </c>
      <c r="I26" s="244">
        <f t="shared" si="3"/>
        <v>462.3511384987371</v>
      </c>
      <c r="J26" s="244">
        <f t="shared" si="3"/>
        <v>488.76845957905141</v>
      </c>
      <c r="K26" s="244">
        <f t="shared" si="3"/>
        <v>498.39204127547299</v>
      </c>
      <c r="L26" s="244">
        <f t="shared" si="3"/>
        <v>503.87891205730313</v>
      </c>
      <c r="M26" s="244">
        <f t="shared" si="3"/>
        <v>509.02689293035257</v>
      </c>
      <c r="N26" s="244">
        <f t="shared" si="3"/>
        <v>513.63723857082107</v>
      </c>
      <c r="O26" s="244">
        <f t="shared" si="3"/>
        <v>517.4816516413639</v>
      </c>
      <c r="P26" s="244">
        <f>+P24+P25</f>
        <v>1226.0150209144053</v>
      </c>
      <c r="Q26" s="244"/>
    </row>
    <row r="27" spans="1:17" x14ac:dyDescent="0.25">
      <c r="A27" s="144" t="s">
        <v>176</v>
      </c>
      <c r="B27" s="151">
        <f>IRR(C26:Q26)</f>
        <v>0.11598056635333265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x14ac:dyDescent="0.25">
      <c r="B28" s="122"/>
    </row>
    <row r="29" spans="1:17" hidden="1" x14ac:dyDescent="0.25">
      <c r="A29" s="10" t="s">
        <v>177</v>
      </c>
      <c r="C29" s="28">
        <v>0.12</v>
      </c>
      <c r="D29" s="10" t="s">
        <v>178</v>
      </c>
    </row>
    <row r="30" spans="1:17" hidden="1" x14ac:dyDescent="0.25">
      <c r="A30" s="10" t="s">
        <v>179</v>
      </c>
      <c r="C30" s="28">
        <v>0.01</v>
      </c>
    </row>
    <row r="31" spans="1:17" hidden="1" x14ac:dyDescent="0.25">
      <c r="A31" s="10" t="s">
        <v>180</v>
      </c>
      <c r="B31" s="29">
        <v>0</v>
      </c>
      <c r="C31" s="29">
        <v>1</v>
      </c>
      <c r="D31" s="29">
        <v>2</v>
      </c>
      <c r="E31" s="29">
        <v>3</v>
      </c>
      <c r="F31" s="29">
        <v>4</v>
      </c>
      <c r="G31" s="29">
        <v>5</v>
      </c>
      <c r="H31" s="29">
        <v>6</v>
      </c>
      <c r="I31" s="29">
        <v>7</v>
      </c>
      <c r="J31" s="29">
        <v>8</v>
      </c>
      <c r="K31" s="29">
        <v>9</v>
      </c>
      <c r="L31" s="29"/>
      <c r="M31" s="29"/>
      <c r="N31" s="29"/>
      <c r="O31" s="29"/>
      <c r="P31" s="29"/>
    </row>
    <row r="32" spans="1:17" hidden="1" x14ac:dyDescent="0.25">
      <c r="A32" s="10" t="s">
        <v>181</v>
      </c>
      <c r="B32" s="50">
        <f>1/(1+$C$29)^B31</f>
        <v>1</v>
      </c>
      <c r="C32" s="50">
        <f>1/(1+$C$29)^C31</f>
        <v>0.89285714285714279</v>
      </c>
      <c r="D32" s="50">
        <f t="shared" ref="D32:K32" si="4">1/(1+$C$29)^D31</f>
        <v>0.79719387755102034</v>
      </c>
      <c r="E32" s="50">
        <f t="shared" si="4"/>
        <v>0.71178024781341087</v>
      </c>
      <c r="F32" s="50">
        <f t="shared" si="4"/>
        <v>0.63551807840483121</v>
      </c>
      <c r="G32" s="50">
        <f t="shared" si="4"/>
        <v>0.56742685571859919</v>
      </c>
      <c r="H32" s="50">
        <f t="shared" si="4"/>
        <v>0.50663112117732068</v>
      </c>
      <c r="I32" s="50">
        <f t="shared" si="4"/>
        <v>0.45234921533689343</v>
      </c>
      <c r="J32" s="50">
        <f t="shared" si="4"/>
        <v>0.4038832279793691</v>
      </c>
      <c r="K32" s="50">
        <f t="shared" si="4"/>
        <v>0.36061002498157957</v>
      </c>
      <c r="L32" s="50"/>
      <c r="M32" s="50"/>
      <c r="N32" s="50"/>
      <c r="O32" s="50"/>
      <c r="P32" s="50"/>
    </row>
    <row r="33" spans="1:16" hidden="1" x14ac:dyDescent="0.25">
      <c r="A33" s="10" t="s">
        <v>182</v>
      </c>
      <c r="B33" s="10">
        <f>C24*B32</f>
        <v>-2934.9166666666665</v>
      </c>
      <c r="C33" s="29" t="e">
        <f>#REF!*C32</f>
        <v>#REF!</v>
      </c>
      <c r="D33" s="29">
        <f t="shared" ref="D33:K33" si="5">D24*D32</f>
        <v>203.96245216836746</v>
      </c>
      <c r="E33" s="29">
        <f t="shared" si="5"/>
        <v>250.96704688781202</v>
      </c>
      <c r="F33" s="29">
        <f t="shared" si="5"/>
        <v>250.19414276277683</v>
      </c>
      <c r="G33" s="29">
        <f t="shared" si="5"/>
        <v>236.37225925928291</v>
      </c>
      <c r="H33" s="29">
        <f t="shared" si="5"/>
        <v>222.03563581314543</v>
      </c>
      <c r="I33" s="29">
        <f t="shared" si="5"/>
        <v>209.14417471002307</v>
      </c>
      <c r="J33" s="29">
        <f t="shared" si="5"/>
        <v>197.40538318929106</v>
      </c>
      <c r="K33" s="29">
        <f t="shared" si="5"/>
        <v>179.72516645496876</v>
      </c>
      <c r="L33" s="29"/>
      <c r="M33" s="29"/>
      <c r="N33" s="29"/>
      <c r="O33" s="29"/>
      <c r="P33" s="29"/>
    </row>
    <row r="34" spans="1:16" hidden="1" x14ac:dyDescent="0.25">
      <c r="A34" s="10" t="s">
        <v>183</v>
      </c>
      <c r="K34" s="50">
        <f>K24*(1+C30)/(C29-C30)</f>
        <v>4576.1451062566157</v>
      </c>
      <c r="L34" s="50"/>
      <c r="M34" s="50"/>
      <c r="N34" s="50"/>
      <c r="O34" s="50"/>
      <c r="P34" s="50"/>
    </row>
    <row r="35" spans="1:16" hidden="1" x14ac:dyDescent="0.25">
      <c r="A35" s="10" t="s">
        <v>184</v>
      </c>
      <c r="K35" s="29">
        <f>K34*K32</f>
        <v>1650.2038010865313</v>
      </c>
      <c r="L35" s="29"/>
      <c r="M35" s="29"/>
      <c r="N35" s="29"/>
      <c r="O35" s="29"/>
      <c r="P35" s="29"/>
    </row>
    <row r="36" spans="1:16" hidden="1" x14ac:dyDescent="0.25">
      <c r="A36" s="10" t="s">
        <v>185</v>
      </c>
      <c r="B36" s="29">
        <f>B33+B35</f>
        <v>-2934.9166666666665</v>
      </c>
      <c r="C36" s="29" t="e">
        <f t="shared" ref="C36:K36" si="6">C33+C35</f>
        <v>#REF!</v>
      </c>
      <c r="D36" s="29">
        <f t="shared" si="6"/>
        <v>203.96245216836746</v>
      </c>
      <c r="E36" s="29">
        <f t="shared" si="6"/>
        <v>250.96704688781202</v>
      </c>
      <c r="F36" s="29">
        <f t="shared" si="6"/>
        <v>250.19414276277683</v>
      </c>
      <c r="G36" s="29">
        <f t="shared" si="6"/>
        <v>236.37225925928291</v>
      </c>
      <c r="H36" s="29">
        <f t="shared" si="6"/>
        <v>222.03563581314543</v>
      </c>
      <c r="I36" s="29">
        <f t="shared" si="6"/>
        <v>209.14417471002307</v>
      </c>
      <c r="J36" s="29">
        <f t="shared" si="6"/>
        <v>197.40538318929106</v>
      </c>
      <c r="K36" s="29">
        <f t="shared" si="6"/>
        <v>1829.9289675415</v>
      </c>
      <c r="L36" s="29"/>
      <c r="M36" s="29"/>
      <c r="N36" s="29"/>
      <c r="O36" s="29"/>
      <c r="P36" s="29"/>
    </row>
    <row r="37" spans="1:16" hidden="1" x14ac:dyDescent="0.25">
      <c r="A37" s="10" t="s">
        <v>186</v>
      </c>
      <c r="B37" s="29" t="e">
        <f>SUM(B36:K36)</f>
        <v>#REF!</v>
      </c>
      <c r="C37" s="10" t="s">
        <v>189</v>
      </c>
    </row>
    <row r="38" spans="1:16" hidden="1" x14ac:dyDescent="0.25">
      <c r="A38" s="10" t="s">
        <v>186</v>
      </c>
      <c r="B38" s="29" t="e">
        <f>B37/100</f>
        <v>#REF!</v>
      </c>
      <c r="C38" s="10" t="s">
        <v>190</v>
      </c>
    </row>
  </sheetData>
  <mergeCells count="1">
    <mergeCell ref="A1:Q1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9"/>
  <sheetViews>
    <sheetView zoomScaleNormal="100" zoomScaleSheetLayoutView="100" workbookViewId="0">
      <selection activeCell="O18" sqref="O18"/>
    </sheetView>
  </sheetViews>
  <sheetFormatPr defaultRowHeight="12.75" x14ac:dyDescent="0.2"/>
  <cols>
    <col min="1" max="1" width="20" customWidth="1"/>
    <col min="2" max="2" width="13.28515625" customWidth="1"/>
    <col min="3" max="3" width="14.5703125" customWidth="1"/>
    <col min="4" max="5" width="13.42578125" bestFit="1" customWidth="1"/>
    <col min="6" max="6" width="12.28515625" bestFit="1" customWidth="1"/>
    <col min="7" max="7" width="10.28515625" customWidth="1"/>
    <col min="8" max="8" width="9.85546875" customWidth="1"/>
    <col min="9" max="9" width="10.28515625" customWidth="1"/>
    <col min="10" max="10" width="11" customWidth="1"/>
    <col min="11" max="11" width="13.42578125" bestFit="1" customWidth="1"/>
    <col min="12" max="16" width="13.42578125" customWidth="1"/>
    <col min="17" max="17" width="10.28515625" bestFit="1" customWidth="1"/>
  </cols>
  <sheetData>
    <row r="1" spans="1:19" ht="15" x14ac:dyDescent="0.25">
      <c r="A1" s="437" t="s">
        <v>321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</row>
    <row r="2" spans="1:19" x14ac:dyDescent="0.2">
      <c r="A2" s="218" t="s">
        <v>253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345"/>
      <c r="M2" s="345"/>
      <c r="N2" s="345"/>
      <c r="O2" s="345"/>
      <c r="P2" s="345"/>
    </row>
    <row r="3" spans="1:19" x14ac:dyDescent="0.2">
      <c r="A3" s="218" t="s">
        <v>31</v>
      </c>
      <c r="B3" s="218"/>
      <c r="C3" s="218"/>
      <c r="D3" s="347" t="s">
        <v>133</v>
      </c>
      <c r="E3" s="347" t="s">
        <v>134</v>
      </c>
      <c r="F3" s="347" t="s">
        <v>135</v>
      </c>
      <c r="G3" s="347" t="s">
        <v>136</v>
      </c>
      <c r="H3" s="347" t="s">
        <v>137</v>
      </c>
      <c r="I3" s="347" t="s">
        <v>138</v>
      </c>
      <c r="J3" s="347" t="s">
        <v>139</v>
      </c>
      <c r="K3" s="347" t="s">
        <v>376</v>
      </c>
      <c r="L3" s="348" t="s">
        <v>377</v>
      </c>
      <c r="M3" s="348" t="s">
        <v>378</v>
      </c>
      <c r="N3" s="348" t="s">
        <v>379</v>
      </c>
      <c r="O3" s="348" t="s">
        <v>380</v>
      </c>
      <c r="P3" s="348" t="s">
        <v>426</v>
      </c>
    </row>
    <row r="4" spans="1:19" x14ac:dyDescent="0.2">
      <c r="A4" s="208" t="s">
        <v>254</v>
      </c>
      <c r="B4" s="208"/>
      <c r="C4" s="202"/>
      <c r="D4" s="202">
        <f>Profitability!G23</f>
        <v>891.94</v>
      </c>
      <c r="E4" s="202">
        <f>Profitability!H23</f>
        <v>1107.25</v>
      </c>
      <c r="F4" s="202">
        <f>Profitability!I23</f>
        <v>1262.25</v>
      </c>
      <c r="G4" s="202">
        <f>Profitability!J23</f>
        <v>1375.02</v>
      </c>
      <c r="H4" s="202">
        <f>Profitability!K23</f>
        <v>1495.93</v>
      </c>
      <c r="I4" s="202">
        <f>Profitability!L23</f>
        <v>1625.48</v>
      </c>
      <c r="J4" s="202">
        <f>Profitability!M23</f>
        <v>1764.25</v>
      </c>
      <c r="K4" s="202">
        <f>Profitability!N23</f>
        <v>1852.46</v>
      </c>
      <c r="L4" s="202">
        <f>Profitability!O23</f>
        <v>1945.09</v>
      </c>
      <c r="M4" s="202">
        <f>Profitability!P23</f>
        <v>2042.34</v>
      </c>
      <c r="N4" s="202">
        <f>Profitability!Q23</f>
        <v>2144.4499999999998</v>
      </c>
      <c r="O4" s="202">
        <f>Profitability!R23</f>
        <v>2251.6799999999998</v>
      </c>
      <c r="P4" s="202">
        <f>Profitability!S23</f>
        <v>2364.2600000000002</v>
      </c>
    </row>
    <row r="5" spans="1:19" x14ac:dyDescent="0.2">
      <c r="A5" s="208" t="s">
        <v>255</v>
      </c>
      <c r="B5" s="208"/>
      <c r="C5" s="202"/>
      <c r="D5" s="349">
        <f>Profitability!G10</f>
        <v>0.39</v>
      </c>
      <c r="E5" s="349">
        <f>Profitability!H10</f>
        <v>0.45</v>
      </c>
      <c r="F5" s="349">
        <f>Profitability!I10</f>
        <v>0.47</v>
      </c>
      <c r="G5" s="349">
        <f>Profitability!J10</f>
        <v>0.49</v>
      </c>
      <c r="H5" s="349">
        <f>Profitability!K10</f>
        <v>0.51</v>
      </c>
      <c r="I5" s="349">
        <f>Profitability!L10</f>
        <v>0.53</v>
      </c>
      <c r="J5" s="349">
        <f>Profitability!M10</f>
        <v>0.55000000000000004</v>
      </c>
      <c r="K5" s="349">
        <f>Profitability!N10</f>
        <v>0.55000000000000004</v>
      </c>
      <c r="L5" s="349">
        <f>Profitability!O10</f>
        <v>0.55000000000000004</v>
      </c>
      <c r="M5" s="349">
        <f>Profitability!P10</f>
        <v>0.55000000000000004</v>
      </c>
      <c r="N5" s="349">
        <f>Profitability!Q10</f>
        <v>0.55000000000000004</v>
      </c>
      <c r="O5" s="349">
        <f>Profitability!R10</f>
        <v>0.55000000000000004</v>
      </c>
      <c r="P5" s="349">
        <f>Profitability!S10</f>
        <v>0.55000000000000004</v>
      </c>
    </row>
    <row r="6" spans="1:19" x14ac:dyDescent="0.2">
      <c r="A6" s="203" t="s">
        <v>256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350"/>
      <c r="M6" s="350"/>
      <c r="N6" s="350"/>
      <c r="O6" s="350"/>
      <c r="P6" s="350"/>
    </row>
    <row r="7" spans="1:19" x14ac:dyDescent="0.2">
      <c r="A7" s="212" t="s">
        <v>257</v>
      </c>
      <c r="B7" s="212"/>
      <c r="C7" s="202"/>
      <c r="D7" s="351">
        <f>+(SUM(Profitability!G25:G30))+(50%*(Profitability!G31+Profitability!G32+Profitability!G33+Profitability!G34))+Profitability!G37</f>
        <v>486.37067500000001</v>
      </c>
      <c r="E7" s="351">
        <f>+(SUM(Profitability!H25:H30))+(50%*(Profitability!H31+Profitability!H32+Profitability!H33+Profitability!H34)+Profitability!H37)</f>
        <v>590.04841875</v>
      </c>
      <c r="F7" s="351">
        <f>+(SUM(Profitability!I25:I30))+(50%*(Profitability!I31+Profitability!I32+Profitability!I33+Profitability!I34)+Profitability!I37)</f>
        <v>668.20477718749999</v>
      </c>
      <c r="G7" s="351">
        <f>+(SUM(Profitability!J25:J30))+(50%*(Profitability!J31+Profitability!J32+Profitability!J33+Profitability!J34)+Profitability!J37)</f>
        <v>729.13015354687491</v>
      </c>
      <c r="H7" s="351">
        <f>+(SUM(Profitability!K25:K30))+(50%*(Profitability!K31+Profitability!K32+Profitability!K33+Profitability!K34)+Profitability!K37)</f>
        <v>794.77668122421869</v>
      </c>
      <c r="I7" s="351">
        <f>+(SUM(Profitability!L25:L30))+(50%*(Profitability!L31+Profitability!L32+Profitability!L33+Profitability!L34)+Profitability!L37)</f>
        <v>865.46893278542962</v>
      </c>
      <c r="J7" s="351">
        <f>+(SUM(Profitability!M25:M30))+(50%*(Profitability!M31+Profitability!M32+Profitability!M33+Profitability!M34)+Profitability!M37)</f>
        <v>941.5927894247011</v>
      </c>
      <c r="K7" s="351">
        <f>+(SUM(Profitability!N25:N30))+(50%*(Profitability!N31+Profitability!N32+Profitability!N33+Profitability!N34)+Profitability!N37)</f>
        <v>997.07187189593617</v>
      </c>
      <c r="L7" s="351">
        <f>+(SUM(Profitability!O25:O30))+(50%*(Profitability!O31+Profitability!O32+Profitability!O33+Profitability!O34)+Profitability!O37)</f>
        <v>1056.157284040733</v>
      </c>
      <c r="M7" s="351">
        <f>+(SUM(Profitability!P25:P30))+(50%*(Profitability!P31+Profitability!P32+Profitability!P33+Profitability!P34)+Profitability!P37)</f>
        <v>1119.1520701477698</v>
      </c>
      <c r="N7" s="351">
        <f>+(SUM(Profitability!Q25:Q30))+(50%*(Profitability!Q31+Profitability!Q32+Profitability!Q33+Profitability!Q34)+Profitability!Q37)</f>
        <v>1186.2869875006581</v>
      </c>
      <c r="O7" s="351">
        <f>+(SUM(Profitability!R25:R30))+(50%*(Profitability!R31+Profitability!R32+Profitability!R33+Profitability!R34)+Profitability!R37)</f>
        <v>1257.893595605741</v>
      </c>
      <c r="P7" s="351">
        <f>+(SUM(Profitability!S25:S30))+(50%*(Profitability!S31+Profitability!S32+Profitability!S33+Profitability!S34)+Profitability!S37)</f>
        <v>1334.3407137390832</v>
      </c>
    </row>
    <row r="8" spans="1:19" x14ac:dyDescent="0.2">
      <c r="A8" s="212" t="s">
        <v>258</v>
      </c>
      <c r="B8" s="212"/>
      <c r="C8" s="202"/>
      <c r="D8" s="351">
        <f>D4-D7</f>
        <v>405.56932500000005</v>
      </c>
      <c r="E8" s="351">
        <f t="shared" ref="E8:P8" si="0">E4-E7</f>
        <v>517.20158125</v>
      </c>
      <c r="F8" s="351">
        <f t="shared" si="0"/>
        <v>594.04522281250001</v>
      </c>
      <c r="G8" s="351">
        <f t="shared" si="0"/>
        <v>645.88984645312507</v>
      </c>
      <c r="H8" s="351">
        <f t="shared" si="0"/>
        <v>701.15331877578137</v>
      </c>
      <c r="I8" s="351">
        <f t="shared" si="0"/>
        <v>760.0110672145704</v>
      </c>
      <c r="J8" s="351">
        <f t="shared" si="0"/>
        <v>822.6572105752989</v>
      </c>
      <c r="K8" s="351">
        <f t="shared" si="0"/>
        <v>855.38812810406387</v>
      </c>
      <c r="L8" s="351">
        <f t="shared" si="0"/>
        <v>888.93271595926694</v>
      </c>
      <c r="M8" s="351">
        <f t="shared" si="0"/>
        <v>923.18792985223013</v>
      </c>
      <c r="N8" s="351">
        <f t="shared" si="0"/>
        <v>958.16301249934168</v>
      </c>
      <c r="O8" s="351">
        <f t="shared" si="0"/>
        <v>993.78640439425885</v>
      </c>
      <c r="P8" s="351">
        <f t="shared" si="0"/>
        <v>1029.919286260917</v>
      </c>
    </row>
    <row r="9" spans="1:19" x14ac:dyDescent="0.2">
      <c r="A9" s="212" t="s">
        <v>259</v>
      </c>
      <c r="B9" s="212"/>
      <c r="C9" s="202"/>
      <c r="D9" s="352">
        <f>D8/D4</f>
        <v>0.45470471668497886</v>
      </c>
      <c r="E9" s="352">
        <f t="shared" ref="E9:P9" si="1">E8/E4</f>
        <v>0.46710461165048545</v>
      </c>
      <c r="F9" s="352">
        <f t="shared" si="1"/>
        <v>0.47062406243810656</v>
      </c>
      <c r="G9" s="352">
        <f t="shared" si="1"/>
        <v>0.46973123769336089</v>
      </c>
      <c r="H9" s="352">
        <f t="shared" si="1"/>
        <v>0.46870730500476715</v>
      </c>
      <c r="I9" s="352">
        <f t="shared" si="1"/>
        <v>0.46756100795738514</v>
      </c>
      <c r="J9" s="352">
        <f t="shared" si="1"/>
        <v>0.46629287831956862</v>
      </c>
      <c r="K9" s="352">
        <f t="shared" si="1"/>
        <v>0.46175794786611524</v>
      </c>
      <c r="L9" s="352">
        <f t="shared" si="1"/>
        <v>0.45701366824119549</v>
      </c>
      <c r="M9" s="352">
        <f t="shared" si="1"/>
        <v>0.45202460405820294</v>
      </c>
      <c r="N9" s="352">
        <f t="shared" si="1"/>
        <v>0.4468106099462994</v>
      </c>
      <c r="O9" s="352">
        <f t="shared" si="1"/>
        <v>0.44135330259817512</v>
      </c>
      <c r="P9" s="352">
        <f t="shared" si="1"/>
        <v>0.43562014594880299</v>
      </c>
    </row>
    <row r="10" spans="1:19" x14ac:dyDescent="0.2">
      <c r="A10" s="203" t="s">
        <v>260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350"/>
      <c r="M10" s="350"/>
      <c r="N10" s="350"/>
      <c r="O10" s="350"/>
      <c r="P10" s="350"/>
    </row>
    <row r="11" spans="1:19" x14ac:dyDescent="0.2">
      <c r="A11" s="212" t="s">
        <v>261</v>
      </c>
      <c r="B11" s="212"/>
      <c r="C11" s="202"/>
      <c r="D11" s="351">
        <f>0.5*(Profitability!G31+Profitability!G32+Profitability!G33+Profitability!G34)+Profitability!G35+Profitability!G36+Profitability!G39+Profitability!G38</f>
        <v>614.1558</v>
      </c>
      <c r="E11" s="351">
        <f>0.5*(Profitability!H31+Profitability!H32+Profitability!H33+Profitability!H34)+Profitability!H35+Profitability!H36+Profitability!H39+Profitability!H38</f>
        <v>583.91357500000004</v>
      </c>
      <c r="F11" s="351">
        <f>0.5*(Profitability!I31+Profitability!I32+Profitability!I33+Profitability!I34)+Profitability!I35+Profitability!I36+Profitability!I39+Profitability!I38</f>
        <v>558.31694125000001</v>
      </c>
      <c r="G11" s="351">
        <f>0.5*(Profitability!J31+Profitability!J32+Profitability!J33+Profitability!J34)+Profitability!J35+Profitability!J36+Profitability!J39+Profitability!J38</f>
        <v>537.52592106249995</v>
      </c>
      <c r="H11" s="351">
        <f>0.5*(Profitability!K31+Profitability!K32+Profitability!K33+Profitability!K34)+Profitability!K35+Profitability!K36+Profitability!K39+Profitability!K38</f>
        <v>517.97915705312505</v>
      </c>
      <c r="I11" s="351">
        <f>0.5*(Profitability!L31+Profitability!L32+Profitability!L33+Profitability!L34)+Profitability!L35+Profitability!L36+Profitability!L39+Profitability!L38</f>
        <v>499.79968863015625</v>
      </c>
      <c r="J11" s="351">
        <f>0.5*(Profitability!M31+Profitability!M32+Profitability!M33+Profitability!M34)+Profitability!M35+Profitability!M36+Profitability!M39+Profitability!M38</f>
        <v>485.47664984713276</v>
      </c>
      <c r="K11" s="351">
        <f>0.5*(Profitability!N31+Profitability!N32+Profitability!N33+Profitability!N34)+Profitability!N35+Profitability!N36+Profitability!N39+Profitability!N38</f>
        <v>474.53988951441295</v>
      </c>
      <c r="L11" s="351">
        <f>0.5*(Profitability!O31+Profitability!O32+Profitability!O33+Profitability!O34)+Profitability!O35+Profitability!O36+Profitability!O39+Profitability!O38</f>
        <v>462.83120811756601</v>
      </c>
      <c r="M11" s="351">
        <f>0.5*(Profitability!P31+Profitability!P32+Profitability!P33+Profitability!P34)+Profitability!P35+Profitability!P36+Profitability!P39+Profitability!P38</f>
        <v>448.26287327078791</v>
      </c>
      <c r="N11" s="351">
        <f>0.5*(Profitability!Q31+Profitability!Q32+Profitability!Q33+Profitability!Q34)+Profitability!Q35+Profitability!Q36+Profitability!Q39+Profitability!Q38</f>
        <v>432.21278223675154</v>
      </c>
      <c r="O11" s="351">
        <f>0.5*(Profitability!R31+Profitability!R32+Profitability!R33+Profitability!R34)+Profitability!R35+Profitability!R36+Profitability!R39+Profitability!R38</f>
        <v>413.09940819884883</v>
      </c>
      <c r="P11" s="351">
        <f>0.5*(Profitability!S31+Profitability!S32+Profitability!S33+Profitability!S34)+Profitability!S35+Profitability!S36+Profitability!S39+Profitability!S38</f>
        <v>400.68692157618233</v>
      </c>
    </row>
    <row r="12" spans="1:19" x14ac:dyDescent="0.2">
      <c r="A12" s="212" t="s">
        <v>262</v>
      </c>
      <c r="B12" s="212"/>
      <c r="C12" s="202" t="s">
        <v>279</v>
      </c>
      <c r="D12" s="353">
        <f>D8/D4</f>
        <v>0.45470471668497886</v>
      </c>
      <c r="E12" s="353">
        <f t="shared" ref="E12:P12" si="2">E8/E4</f>
        <v>0.46710461165048545</v>
      </c>
      <c r="F12" s="353">
        <f t="shared" si="2"/>
        <v>0.47062406243810656</v>
      </c>
      <c r="G12" s="353">
        <f t="shared" si="2"/>
        <v>0.46973123769336089</v>
      </c>
      <c r="H12" s="353">
        <f t="shared" si="2"/>
        <v>0.46870730500476715</v>
      </c>
      <c r="I12" s="353">
        <f t="shared" si="2"/>
        <v>0.46756100795738514</v>
      </c>
      <c r="J12" s="353">
        <f t="shared" si="2"/>
        <v>0.46629287831956862</v>
      </c>
      <c r="K12" s="353">
        <f t="shared" si="2"/>
        <v>0.46175794786611524</v>
      </c>
      <c r="L12" s="353">
        <f t="shared" si="2"/>
        <v>0.45701366824119549</v>
      </c>
      <c r="M12" s="353">
        <f t="shared" si="2"/>
        <v>0.45202460405820294</v>
      </c>
      <c r="N12" s="353">
        <f t="shared" si="2"/>
        <v>0.4468106099462994</v>
      </c>
      <c r="O12" s="353">
        <f t="shared" si="2"/>
        <v>0.44135330259817512</v>
      </c>
      <c r="P12" s="353">
        <f t="shared" si="2"/>
        <v>0.43562014594880299</v>
      </c>
    </row>
    <row r="13" spans="1:19" x14ac:dyDescent="0.2">
      <c r="A13" s="203" t="s">
        <v>263</v>
      </c>
      <c r="B13" s="203"/>
      <c r="C13" s="203"/>
      <c r="D13" s="351">
        <f>D11/D12</f>
        <v>1350.6695168624992</v>
      </c>
      <c r="E13" s="351">
        <f t="shared" ref="E13:P13" si="3">E11/E12</f>
        <v>1250.0702421600533</v>
      </c>
      <c r="F13" s="351">
        <f t="shared" si="3"/>
        <v>1186.3331814306164</v>
      </c>
      <c r="G13" s="351">
        <f t="shared" si="3"/>
        <v>1144.3265380902669</v>
      </c>
      <c r="H13" s="351">
        <f t="shared" si="3"/>
        <v>1105.1228592391083</v>
      </c>
      <c r="I13" s="351">
        <f t="shared" si="3"/>
        <v>1068.9507467990347</v>
      </c>
      <c r="J13" s="351">
        <f t="shared" si="3"/>
        <v>1041.1410347863318</v>
      </c>
      <c r="K13" s="351">
        <f t="shared" si="3"/>
        <v>1027.681043081913</v>
      </c>
      <c r="L13" s="351">
        <f t="shared" si="3"/>
        <v>1012.7294658358013</v>
      </c>
      <c r="M13" s="351">
        <f t="shared" si="3"/>
        <v>991.6780397490694</v>
      </c>
      <c r="N13" s="351">
        <f t="shared" si="3"/>
        <v>967.32882482064974</v>
      </c>
      <c r="O13" s="351">
        <f t="shared" si="3"/>
        <v>935.98349840592516</v>
      </c>
      <c r="P13" s="351">
        <f t="shared" si="3"/>
        <v>919.80806053738786</v>
      </c>
    </row>
    <row r="14" spans="1:19" x14ac:dyDescent="0.2">
      <c r="A14" s="202" t="s">
        <v>264</v>
      </c>
      <c r="B14" s="202"/>
      <c r="C14" s="202"/>
      <c r="D14" s="352">
        <f>D13/D4</f>
        <v>1.5143053533449549</v>
      </c>
      <c r="E14" s="352">
        <f t="shared" ref="E14:P14" si="4">E13/E4</f>
        <v>1.1289864458433536</v>
      </c>
      <c r="F14" s="352">
        <f t="shared" si="4"/>
        <v>0.93985595676816513</v>
      </c>
      <c r="G14" s="352">
        <f t="shared" si="4"/>
        <v>0.83222537715107192</v>
      </c>
      <c r="H14" s="352">
        <f t="shared" si="4"/>
        <v>0.73875305611833986</v>
      </c>
      <c r="I14" s="352">
        <f t="shared" si="4"/>
        <v>0.65762159288273903</v>
      </c>
      <c r="J14" s="352">
        <f t="shared" si="4"/>
        <v>0.59013237057465318</v>
      </c>
      <c r="K14" s="352">
        <f t="shared" si="4"/>
        <v>0.55476557824833628</v>
      </c>
      <c r="L14" s="352">
        <f t="shared" si="4"/>
        <v>0.52065943778221124</v>
      </c>
      <c r="M14" s="352">
        <f t="shared" si="4"/>
        <v>0.4855597205896518</v>
      </c>
      <c r="N14" s="352">
        <f t="shared" si="4"/>
        <v>0.45108481187281113</v>
      </c>
      <c r="O14" s="352">
        <f t="shared" si="4"/>
        <v>0.41568228984843547</v>
      </c>
      <c r="P14" s="352">
        <f t="shared" si="4"/>
        <v>0.38904691554117898</v>
      </c>
    </row>
    <row r="15" spans="1:19" x14ac:dyDescent="0.2"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</row>
    <row r="18" spans="1:17" x14ac:dyDescent="0.2">
      <c r="A18" s="196"/>
    </row>
    <row r="21" spans="1:17" ht="15.75" x14ac:dyDescent="0.2">
      <c r="A21" s="461" t="s">
        <v>280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346"/>
      <c r="M21" s="346"/>
      <c r="N21" s="346"/>
      <c r="O21" s="346"/>
      <c r="P21" s="346"/>
      <c r="Q21" s="198"/>
    </row>
    <row r="22" spans="1:17" x14ac:dyDescent="0.2">
      <c r="A22" s="211" t="s">
        <v>265</v>
      </c>
      <c r="B22" s="212"/>
      <c r="C22" s="208"/>
      <c r="D22" s="208" t="s">
        <v>133</v>
      </c>
      <c r="E22" s="208" t="s">
        <v>134</v>
      </c>
      <c r="F22" s="208" t="s">
        <v>135</v>
      </c>
      <c r="G22" s="208" t="s">
        <v>136</v>
      </c>
      <c r="H22" s="208" t="s">
        <v>137</v>
      </c>
      <c r="I22" s="208" t="s">
        <v>138</v>
      </c>
      <c r="J22" s="208" t="s">
        <v>139</v>
      </c>
      <c r="K22" s="208" t="s">
        <v>376</v>
      </c>
      <c r="L22" s="208" t="s">
        <v>377</v>
      </c>
      <c r="M22" s="208" t="s">
        <v>378</v>
      </c>
      <c r="N22" s="208" t="s">
        <v>379</v>
      </c>
      <c r="O22" s="208" t="s">
        <v>380</v>
      </c>
      <c r="P22" s="208" t="s">
        <v>426</v>
      </c>
    </row>
    <row r="23" spans="1:17" x14ac:dyDescent="0.2">
      <c r="A23" s="202"/>
      <c r="B23" s="202"/>
      <c r="C23" s="202"/>
      <c r="D23" s="204"/>
      <c r="E23" s="205"/>
      <c r="F23" s="204"/>
      <c r="G23" s="204"/>
      <c r="H23" s="204"/>
      <c r="I23" s="204"/>
      <c r="J23" s="202"/>
      <c r="K23" s="133"/>
    </row>
    <row r="24" spans="1:17" x14ac:dyDescent="0.2">
      <c r="A24" s="203" t="s">
        <v>266</v>
      </c>
      <c r="B24" s="202"/>
      <c r="C24" s="202"/>
      <c r="D24" s="204"/>
      <c r="E24" s="205"/>
      <c r="F24" s="204"/>
      <c r="G24" s="204"/>
      <c r="H24" s="204"/>
      <c r="I24" s="204"/>
      <c r="J24" s="202"/>
      <c r="K24" s="133"/>
    </row>
    <row r="25" spans="1:17" x14ac:dyDescent="0.2">
      <c r="A25" s="202" t="s">
        <v>276</v>
      </c>
      <c r="B25" s="202"/>
      <c r="C25" s="202"/>
      <c r="D25" s="206">
        <f>Profitability!G17*0.95+Profitability!G18+Profitability!G19+Profitability!G20+Profitability!G21+Profitability!G22</f>
        <v>859.91300000000001</v>
      </c>
      <c r="E25" s="206">
        <f>Profitability!H17*0.95+Profitability!H18+Profitability!H19+Profitability!H20+Profitability!H21+Profitability!H22</f>
        <v>1066.5949624999998</v>
      </c>
      <c r="F25" s="206">
        <f>Profitability!I17*0.95+Profitability!I18+Profitability!I19+Profitability!I20+Profitability!I21+Profitability!I22</f>
        <v>1215.5428368749999</v>
      </c>
      <c r="G25" s="206">
        <f>Profitability!J17*0.95+Profitability!J18+Profitability!J19+Profitability!J20+Profitability!J21+Profitability!J22</f>
        <v>1323.8957184687499</v>
      </c>
      <c r="H25" s="206">
        <f>Profitability!K17*0.95+Profitability!K18+Profitability!K19+Profitability!K20+Profitability!K21+Profitability!K22</f>
        <v>1440.0554198796876</v>
      </c>
      <c r="I25" s="206">
        <f>Profitability!L17*0.95+Profitability!L18+Profitability!L19+Profitability!L20+Profitability!L21+Profitability!L22</f>
        <v>1564.509360885547</v>
      </c>
      <c r="J25" s="206">
        <f>Profitability!M17*0.95+Profitability!M18+Profitability!M19+Profitability!M20+Profitability!M21+Profitability!M22</f>
        <v>1697.8167724422929</v>
      </c>
      <c r="K25" s="206">
        <f>Profitability!N17*0.95+Profitability!N18+Profitability!N19+Profitability!N20+Profitability!N21+Profitability!N22</f>
        <v>1782.7032360644075</v>
      </c>
      <c r="L25" s="206">
        <f>Profitability!O17*0.95+Profitability!O18+Profitability!O19+Profitability!O20+Profitability!O21+Profitability!O22</f>
        <v>1871.8435978676282</v>
      </c>
      <c r="M25" s="206">
        <f>Profitability!P17*0.95+Profitability!P18+Profitability!P19+Profitability!P20+Profitability!P21+Profitability!P22</f>
        <v>1965.4348777610094</v>
      </c>
      <c r="N25" s="206">
        <f>Profitability!Q17*0.95+Profitability!Q18+Profitability!Q19+Profitability!Q20+Profitability!Q21+Profitability!Q22</f>
        <v>2063.7043216490601</v>
      </c>
      <c r="O25" s="206">
        <f>Profitability!R17*0.95+Profitability!R18+Profitability!R19+Profitability!R20+Profitability!R21+Profitability!R22</f>
        <v>2166.8904877315131</v>
      </c>
      <c r="P25" s="206">
        <f>Profitability!S17*0.95+Profitability!S18+Profitability!S19+Profitability!S20+Profitability!S21+Profitability!S22</f>
        <v>2275.233837118089</v>
      </c>
    </row>
    <row r="26" spans="1:17" x14ac:dyDescent="0.2">
      <c r="A26" s="202"/>
      <c r="B26" s="202"/>
      <c r="C26" s="202"/>
      <c r="D26" s="204"/>
      <c r="E26" s="205"/>
      <c r="F26" s="204"/>
      <c r="G26" s="204"/>
      <c r="H26" s="204"/>
      <c r="I26" s="204"/>
      <c r="J26" s="202"/>
      <c r="K26" s="204"/>
      <c r="L26" s="200"/>
      <c r="M26" s="200"/>
      <c r="N26" s="200"/>
      <c r="O26" s="200"/>
      <c r="P26" s="200"/>
    </row>
    <row r="27" spans="1:17" x14ac:dyDescent="0.2">
      <c r="A27" s="203" t="s">
        <v>267</v>
      </c>
      <c r="B27" s="202"/>
      <c r="C27" s="202"/>
      <c r="D27" s="204"/>
      <c r="E27" s="205"/>
      <c r="F27" s="204"/>
      <c r="G27" s="204"/>
      <c r="H27" s="204"/>
      <c r="I27" s="204"/>
      <c r="J27" s="202"/>
      <c r="K27" s="204"/>
      <c r="L27" s="200"/>
      <c r="M27" s="200"/>
      <c r="N27" s="200"/>
      <c r="O27" s="200"/>
      <c r="P27" s="200"/>
    </row>
    <row r="28" spans="1:17" x14ac:dyDescent="0.2">
      <c r="A28" s="202" t="s">
        <v>282</v>
      </c>
      <c r="B28" s="202"/>
      <c r="C28" s="202"/>
      <c r="D28" s="204">
        <f>++(SUM(Profitability!G25:G30))+(50%*(Profitability!G31+Profitability!G32+Profitability!G33+Profitability!G34)+Profitability!G37)</f>
        <v>486.37067500000001</v>
      </c>
      <c r="E28" s="204">
        <f>++(SUM(Profitability!H25:H30))+(50%*(Profitability!H31+Profitability!H32+Profitability!H33+Profitability!H34)+Profitability!H37)</f>
        <v>590.04841875</v>
      </c>
      <c r="F28" s="204">
        <f>++(SUM(Profitability!I25:I30))+(50%*(Profitability!I31+Profitability!I32+Profitability!I33+Profitability!I34)+Profitability!I37)</f>
        <v>668.20477718749999</v>
      </c>
      <c r="G28" s="204">
        <f>++(SUM(Profitability!J25:J30))+(50%*(Profitability!J31+Profitability!J32+Profitability!J33+Profitability!J34)+Profitability!J37)</f>
        <v>729.13015354687491</v>
      </c>
      <c r="H28" s="204">
        <f>++(SUM(Profitability!K25:K30))+(50%*(Profitability!K31+Profitability!K32+Profitability!K33+Profitability!K34)+Profitability!K37)</f>
        <v>794.77668122421869</v>
      </c>
      <c r="I28" s="204">
        <f>++(SUM(Profitability!L25:L30))+(50%*(Profitability!L31+Profitability!L32+Profitability!L33+Profitability!L34)+Profitability!L37)</f>
        <v>865.46893278542962</v>
      </c>
      <c r="J28" s="204">
        <f>++(SUM(Profitability!M25:M30))+(50%*(Profitability!M31+Profitability!M32+Profitability!M33+Profitability!M34)+Profitability!M37)</f>
        <v>941.5927894247011</v>
      </c>
      <c r="K28" s="204">
        <f>++(SUM(Profitability!N25:N30))+(50%*(Profitability!N31+Profitability!N32+Profitability!N33+Profitability!N34)+Profitability!N37)</f>
        <v>997.07187189593617</v>
      </c>
      <c r="L28" s="204">
        <f>++(SUM(Profitability!O25:O30))+(50%*(Profitability!O31+Profitability!O32+Profitability!O33+Profitability!O34)+Profitability!O37)</f>
        <v>1056.157284040733</v>
      </c>
      <c r="M28" s="204">
        <f>++(SUM(Profitability!P25:P30))+(50%*(Profitability!P31+Profitability!P32+Profitability!P33+Profitability!P34)+Profitability!P37)</f>
        <v>1119.1520701477698</v>
      </c>
      <c r="N28" s="204">
        <f>++(SUM(Profitability!Q25:Q30))+(50%*(Profitability!Q31+Profitability!Q32+Profitability!Q33+Profitability!Q34)+Profitability!Q37)</f>
        <v>1186.2869875006581</v>
      </c>
      <c r="O28" s="204">
        <f>++(SUM(Profitability!R25:R30))+(50%*(Profitability!R31+Profitability!R32+Profitability!R33+Profitability!R34)+Profitability!R37)</f>
        <v>1257.893595605741</v>
      </c>
      <c r="P28" s="204">
        <f>++(SUM(Profitability!S25:S30))+(50%*(Profitability!S31+Profitability!S32+Profitability!S33+Profitability!S34)+Profitability!S37)</f>
        <v>1334.3407137390832</v>
      </c>
    </row>
    <row r="29" spans="1:17" x14ac:dyDescent="0.2">
      <c r="A29" s="202" t="s">
        <v>283</v>
      </c>
      <c r="B29" s="202"/>
      <c r="C29" s="202"/>
      <c r="D29" s="204">
        <f>(50%*(Profitability!G31+Profitability!G32+Profitability!G33+Profitability!G34)+Profitability!G36)</f>
        <v>101.3373</v>
      </c>
      <c r="E29" s="204">
        <f>(50%*(Profitability!H31+Profitability!H32+Profitability!H33+Profitability!H34)+Profitability!H36)</f>
        <v>112.10124999999999</v>
      </c>
      <c r="F29" s="204">
        <f>(50%*(Profitability!I31+Profitability!I32+Profitability!I33+Profitability!I34)+Profitability!I36)</f>
        <v>123.53125</v>
      </c>
      <c r="G29" s="204">
        <f>(50%*(Profitability!J31+Profitability!J32+Profitability!J33+Profitability!J34)+Profitability!J36)</f>
        <v>135.82210000000001</v>
      </c>
      <c r="H29" s="204">
        <f>(50%*(Profitability!K31+Profitability!K32+Profitability!K33+Profitability!K34)+Profitability!K36)</f>
        <v>149.32384999999999</v>
      </c>
      <c r="I29" s="204">
        <f>(50%*(Profitability!L31+Profitability!L32+Profitability!L33+Profitability!L34)+Profitability!L36)</f>
        <v>164.15851999999998</v>
      </c>
      <c r="J29" s="204">
        <f>(50%*(Profitability!M31+Profitability!M32+Profitability!M33+Profitability!M34)+Profitability!M36)</f>
        <v>180.454982</v>
      </c>
      <c r="K29" s="204">
        <f>(50%*(Profitability!N31+Profitability!N32+Profitability!N33+Profitability!N34)+Profitability!N36)</f>
        <v>198.05690520000002</v>
      </c>
      <c r="L29" s="204">
        <f>(50%*(Profitability!O31+Profitability!O32+Profitability!O33+Profitability!O34)+Profitability!O36)</f>
        <v>217.39851572000003</v>
      </c>
      <c r="M29" s="204">
        <f>(50%*(Profitability!P31+Profitability!P32+Profitability!P33+Profitability!P34)+Profitability!P36)</f>
        <v>238.65207229200004</v>
      </c>
      <c r="N29" s="204">
        <f>(50%*(Profitability!Q31+Profitability!Q32+Profitability!Q33+Profitability!Q34)+Profitability!Q36)</f>
        <v>262.00715952120004</v>
      </c>
      <c r="O29" s="204">
        <f>(50%*(Profitability!R31+Profitability!R32+Profitability!R33+Profitability!R34)+Profitability!R36)</f>
        <v>287.67080047332001</v>
      </c>
      <c r="P29" s="204">
        <f>(50%*(Profitability!S31+Profitability!S32+Profitability!S33+Profitability!S34)+Profitability!S36)</f>
        <v>315.87744052065204</v>
      </c>
    </row>
    <row r="30" spans="1:17" x14ac:dyDescent="0.2">
      <c r="A30" s="202" t="s">
        <v>268</v>
      </c>
      <c r="B30" s="202"/>
      <c r="C30" s="202"/>
      <c r="D30" s="204">
        <f>Profitability!G39</f>
        <v>199.37500000000003</v>
      </c>
      <c r="E30" s="204">
        <f>Profitability!H39</f>
        <v>194.25000000000003</v>
      </c>
      <c r="F30" s="204">
        <f>Profitability!I39</f>
        <v>188.25</v>
      </c>
      <c r="G30" s="204">
        <f>Profitability!J39</f>
        <v>182.25</v>
      </c>
      <c r="H30" s="204">
        <f>Profitability!K39</f>
        <v>173</v>
      </c>
      <c r="I30" s="204">
        <f>Profitability!L39</f>
        <v>161</v>
      </c>
      <c r="J30" s="204">
        <f>Profitability!M39</f>
        <v>149</v>
      </c>
      <c r="K30" s="204">
        <f>Profitability!N39</f>
        <v>137</v>
      </c>
      <c r="L30" s="204">
        <f>Profitability!O39</f>
        <v>120.66671000000001</v>
      </c>
      <c r="M30" s="204">
        <f>Profitability!P39</f>
        <v>97.958413333333326</v>
      </c>
      <c r="N30" s="204">
        <f>Profitability!Q39</f>
        <v>70.250079999999969</v>
      </c>
      <c r="O30" s="204">
        <f>Profitability!R39</f>
        <v>35.91457999999998</v>
      </c>
      <c r="P30" s="204">
        <f>Profitability!S39</f>
        <v>4.6223799999999793</v>
      </c>
    </row>
    <row r="31" spans="1:17" x14ac:dyDescent="0.2">
      <c r="A31" s="202" t="s">
        <v>15</v>
      </c>
      <c r="B31" s="202"/>
      <c r="C31" s="202"/>
      <c r="D31" s="204">
        <f>Profitability!G35</f>
        <v>313.44350000000003</v>
      </c>
      <c r="E31" s="204">
        <f>Profitability!H35</f>
        <v>277.56232499999999</v>
      </c>
      <c r="F31" s="204">
        <f>Profitability!I35</f>
        <v>246.53569125000001</v>
      </c>
      <c r="G31" s="204">
        <f>Profitability!J35</f>
        <v>219.4538210625</v>
      </c>
      <c r="H31" s="204">
        <f>Profitability!K35</f>
        <v>195.655307053125</v>
      </c>
      <c r="I31" s="204">
        <f>Profitability!L35</f>
        <v>174.64116863015627</v>
      </c>
      <c r="J31" s="204">
        <f>Profitability!M35</f>
        <v>156.02166784713279</v>
      </c>
      <c r="K31" s="204">
        <f>Profitability!N35</f>
        <v>139.4829843144129</v>
      </c>
      <c r="L31" s="204">
        <f>Profitability!O35</f>
        <v>124.76598239756595</v>
      </c>
      <c r="M31" s="204">
        <f>Profitability!P35</f>
        <v>111.65238764545455</v>
      </c>
      <c r="N31" s="204">
        <f>Profitability!Q35</f>
        <v>99.955542715551516</v>
      </c>
      <c r="O31" s="204">
        <f>Profitability!R35</f>
        <v>89.51402772552882</v>
      </c>
      <c r="P31" s="204">
        <f>Profitability!S35</f>
        <v>80.187101055530363</v>
      </c>
    </row>
    <row r="32" spans="1:17" x14ac:dyDescent="0.2">
      <c r="A32" s="202" t="s">
        <v>269</v>
      </c>
      <c r="B32" s="202"/>
      <c r="C32" s="202"/>
      <c r="D32" s="204">
        <f>Profitability!G38</f>
        <v>0</v>
      </c>
      <c r="E32" s="204">
        <f>Profitability!H38</f>
        <v>0</v>
      </c>
      <c r="F32" s="204">
        <f>Profitability!I38</f>
        <v>0</v>
      </c>
      <c r="G32" s="204">
        <f>Profitability!J38</f>
        <v>0</v>
      </c>
      <c r="H32" s="204">
        <f>Profitability!K38</f>
        <v>0</v>
      </c>
      <c r="I32" s="204">
        <f>Profitability!L38</f>
        <v>0</v>
      </c>
      <c r="J32" s="204">
        <f>Profitability!M38</f>
        <v>0</v>
      </c>
      <c r="K32" s="204">
        <f>Profitability!N38</f>
        <v>0</v>
      </c>
      <c r="L32" s="204">
        <f>Profitability!O38</f>
        <v>0</v>
      </c>
      <c r="M32" s="204">
        <f>Profitability!P38</f>
        <v>0</v>
      </c>
      <c r="N32" s="204">
        <f>Profitability!Q38</f>
        <v>0</v>
      </c>
      <c r="O32" s="204">
        <f>Profitability!R38</f>
        <v>0</v>
      </c>
      <c r="P32" s="204">
        <f>Profitability!S38</f>
        <v>0</v>
      </c>
    </row>
    <row r="33" spans="1:25" x14ac:dyDescent="0.2">
      <c r="A33" s="203" t="s">
        <v>270</v>
      </c>
      <c r="B33" s="202"/>
      <c r="C33" s="202"/>
      <c r="D33" s="206">
        <f>SUM(D28:D32)</f>
        <v>1100.5264750000001</v>
      </c>
      <c r="E33" s="206">
        <f t="shared" ref="E33:P33" si="5">SUM(E28:E32)</f>
        <v>1173.9619937500001</v>
      </c>
      <c r="F33" s="206">
        <f t="shared" si="5"/>
        <v>1226.5217184375001</v>
      </c>
      <c r="G33" s="206">
        <f t="shared" si="5"/>
        <v>1266.6560746093751</v>
      </c>
      <c r="H33" s="206">
        <f t="shared" si="5"/>
        <v>1312.7558382773436</v>
      </c>
      <c r="I33" s="206">
        <f t="shared" si="5"/>
        <v>1365.2686214155858</v>
      </c>
      <c r="J33" s="206">
        <f t="shared" si="5"/>
        <v>1427.0694392718337</v>
      </c>
      <c r="K33" s="206">
        <f t="shared" si="5"/>
        <v>1471.6117614103491</v>
      </c>
      <c r="L33" s="206">
        <f t="shared" si="5"/>
        <v>1518.9884921582989</v>
      </c>
      <c r="M33" s="206">
        <f t="shared" si="5"/>
        <v>1567.4149434185576</v>
      </c>
      <c r="N33" s="206">
        <f t="shared" si="5"/>
        <v>1618.4997697374097</v>
      </c>
      <c r="O33" s="206">
        <f t="shared" si="5"/>
        <v>1670.9930038045898</v>
      </c>
      <c r="P33" s="206">
        <f t="shared" si="5"/>
        <v>1735.0276353152656</v>
      </c>
    </row>
    <row r="34" spans="1:25" x14ac:dyDescent="0.2">
      <c r="A34" s="198"/>
      <c r="B34" s="198"/>
      <c r="C34" s="198"/>
      <c r="D34" s="198"/>
      <c r="E34" s="200"/>
      <c r="F34" s="200"/>
      <c r="G34" s="200"/>
      <c r="H34" s="200"/>
      <c r="I34" s="200"/>
      <c r="J34" s="200"/>
      <c r="K34" s="198"/>
      <c r="L34" s="198"/>
      <c r="M34" s="198"/>
      <c r="N34" s="198"/>
      <c r="O34" s="198"/>
      <c r="P34" s="198"/>
      <c r="Q34" s="198"/>
    </row>
    <row r="35" spans="1:25" x14ac:dyDescent="0.2">
      <c r="A35" s="198"/>
      <c r="B35" s="198"/>
      <c r="C35" s="198"/>
      <c r="D35" s="198"/>
      <c r="E35" s="200"/>
      <c r="F35" s="200"/>
      <c r="G35" s="200"/>
      <c r="H35" s="200"/>
      <c r="I35" s="200"/>
      <c r="J35" s="200"/>
      <c r="K35" s="198"/>
      <c r="L35" s="198"/>
      <c r="M35" s="198"/>
      <c r="N35" s="198"/>
      <c r="O35" s="198"/>
      <c r="P35" s="198"/>
      <c r="Q35" s="198"/>
    </row>
    <row r="36" spans="1:25" x14ac:dyDescent="0.2">
      <c r="A36" s="198"/>
      <c r="B36" s="198"/>
      <c r="C36" s="198"/>
      <c r="D36" s="198"/>
      <c r="E36" s="200"/>
      <c r="F36" s="200"/>
      <c r="G36" s="200"/>
      <c r="H36" s="201"/>
      <c r="I36" s="200"/>
      <c r="J36" s="200"/>
      <c r="K36" s="198"/>
      <c r="L36" s="198"/>
      <c r="M36" s="198"/>
      <c r="N36" s="198"/>
      <c r="O36" s="198"/>
      <c r="P36" s="198"/>
    </row>
    <row r="37" spans="1:25" x14ac:dyDescent="0.2">
      <c r="A37" s="202" t="s">
        <v>271</v>
      </c>
      <c r="B37" s="202"/>
      <c r="C37" s="202"/>
      <c r="D37" s="204">
        <f>D25-D33</f>
        <v>-240.61347500000011</v>
      </c>
      <c r="E37" s="204">
        <f t="shared" ref="E37:P37" si="6">E25-E33</f>
        <v>-107.36703125000031</v>
      </c>
      <c r="F37" s="204">
        <f t="shared" si="6"/>
        <v>-10.978881562500192</v>
      </c>
      <c r="G37" s="204">
        <f t="shared" si="6"/>
        <v>57.239643859374837</v>
      </c>
      <c r="H37" s="204">
        <f>H25-H33</f>
        <v>127.29958160234401</v>
      </c>
      <c r="I37" s="204">
        <f t="shared" si="6"/>
        <v>199.24073946996123</v>
      </c>
      <c r="J37" s="204">
        <f t="shared" si="6"/>
        <v>270.74733317045911</v>
      </c>
      <c r="K37" s="204">
        <f t="shared" si="6"/>
        <v>311.0914746540584</v>
      </c>
      <c r="L37" s="204">
        <f t="shared" si="6"/>
        <v>352.85510570932934</v>
      </c>
      <c r="M37" s="204">
        <f t="shared" si="6"/>
        <v>398.01993434245173</v>
      </c>
      <c r="N37" s="204">
        <f t="shared" si="6"/>
        <v>445.20455191165047</v>
      </c>
      <c r="O37" s="204">
        <f t="shared" si="6"/>
        <v>495.89748392692331</v>
      </c>
      <c r="P37" s="204">
        <f t="shared" si="6"/>
        <v>540.20620180282344</v>
      </c>
    </row>
    <row r="38" spans="1:25" ht="15" x14ac:dyDescent="0.25">
      <c r="A38" s="202" t="s">
        <v>23</v>
      </c>
      <c r="B38" s="202"/>
      <c r="C38" s="207">
        <f>30%</f>
        <v>0.3</v>
      </c>
      <c r="D38" s="204">
        <f>+IF(D37&gt;0,D37*$C$38,0)</f>
        <v>0</v>
      </c>
      <c r="E38" s="204">
        <v>0</v>
      </c>
      <c r="F38" s="204">
        <f>+IF(F37&gt;0,F37*$C$38,0)</f>
        <v>0</v>
      </c>
      <c r="G38" s="204">
        <v>0</v>
      </c>
      <c r="H38" s="204">
        <v>0</v>
      </c>
      <c r="I38" s="204">
        <f>+SUM(D37:I37)*$C$38</f>
        <v>7.4461731357538383</v>
      </c>
      <c r="J38" s="204">
        <f>+IF(J37&gt;0,J37*$C$38,0)</f>
        <v>81.224199951137734</v>
      </c>
      <c r="K38" s="204">
        <f>+IF(K37&gt;0,K37*$C$38,0)</f>
        <v>93.327442396217521</v>
      </c>
      <c r="L38" s="204">
        <f>+IF(L37&gt;0,L37*$C$38,0)</f>
        <v>105.8565317127988</v>
      </c>
      <c r="M38" s="204">
        <f>+IF(M37&gt;0,M37*$C$38,0)</f>
        <v>119.40598030273551</v>
      </c>
      <c r="N38" s="204">
        <f t="shared" ref="N38:P38" si="7">+IF(N37&gt;0,N37*$C$38,0)</f>
        <v>133.56136557349512</v>
      </c>
      <c r="O38" s="204">
        <f t="shared" si="7"/>
        <v>148.769245178077</v>
      </c>
      <c r="P38" s="204">
        <f t="shared" si="7"/>
        <v>162.06186054084702</v>
      </c>
    </row>
    <row r="39" spans="1:25" x14ac:dyDescent="0.2">
      <c r="A39" s="202" t="s">
        <v>272</v>
      </c>
      <c r="B39" s="202"/>
      <c r="C39" s="202"/>
      <c r="D39" s="204">
        <f>D37-D38</f>
        <v>-240.61347500000011</v>
      </c>
      <c r="E39" s="204">
        <f>E37-E38</f>
        <v>-107.36703125000031</v>
      </c>
      <c r="F39" s="204">
        <f>F37-F38</f>
        <v>-10.978881562500192</v>
      </c>
      <c r="G39" s="204">
        <f>G37-G38</f>
        <v>57.239643859374837</v>
      </c>
      <c r="H39" s="204">
        <f>+H37-H38</f>
        <v>127.29958160234401</v>
      </c>
      <c r="I39" s="204">
        <f>I37-I38</f>
        <v>191.79456633420739</v>
      </c>
      <c r="J39" s="204">
        <f t="shared" ref="J39:P39" si="8">J37-J38</f>
        <v>189.52313321932138</v>
      </c>
      <c r="K39" s="204">
        <f t="shared" si="8"/>
        <v>217.76403225784088</v>
      </c>
      <c r="L39" s="204">
        <f t="shared" si="8"/>
        <v>246.99857399653052</v>
      </c>
      <c r="M39" s="204">
        <f t="shared" si="8"/>
        <v>278.61395403971619</v>
      </c>
      <c r="N39" s="204">
        <f t="shared" si="8"/>
        <v>311.64318633815537</v>
      </c>
      <c r="O39" s="204">
        <f t="shared" si="8"/>
        <v>347.12823874884634</v>
      </c>
      <c r="P39" s="204">
        <f t="shared" si="8"/>
        <v>378.14434126197642</v>
      </c>
    </row>
    <row r="40" spans="1:25" x14ac:dyDescent="0.2">
      <c r="A40" s="202" t="s">
        <v>273</v>
      </c>
      <c r="B40" s="202"/>
      <c r="C40" s="202"/>
      <c r="D40" s="204">
        <f>D39+D31+D32</f>
        <v>72.830024999999921</v>
      </c>
      <c r="E40" s="204">
        <f t="shared" ref="E40:P40" si="9">E39+E31+E32</f>
        <v>170.19529374999968</v>
      </c>
      <c r="F40" s="204">
        <f t="shared" si="9"/>
        <v>235.55680968749982</v>
      </c>
      <c r="G40" s="204">
        <f t="shared" si="9"/>
        <v>276.69346492187481</v>
      </c>
      <c r="H40" s="204">
        <f>H39+H31+H32</f>
        <v>322.95488865546901</v>
      </c>
      <c r="I40" s="204">
        <f t="shared" si="9"/>
        <v>366.43573496436363</v>
      </c>
      <c r="J40" s="204">
        <f t="shared" si="9"/>
        <v>345.54480106645417</v>
      </c>
      <c r="K40" s="204">
        <f t="shared" si="9"/>
        <v>357.24701657225376</v>
      </c>
      <c r="L40" s="204">
        <f t="shared" si="9"/>
        <v>371.76455639409647</v>
      </c>
      <c r="M40" s="204">
        <f t="shared" si="9"/>
        <v>390.26634168517074</v>
      </c>
      <c r="N40" s="204">
        <f t="shared" si="9"/>
        <v>411.5987290537069</v>
      </c>
      <c r="O40" s="204">
        <f t="shared" si="9"/>
        <v>436.64226647437516</v>
      </c>
      <c r="P40" s="204">
        <f t="shared" si="9"/>
        <v>458.3314423175068</v>
      </c>
      <c r="Q40" s="251">
        <f>SUM(D40:P40)</f>
        <v>4216.0613705427704</v>
      </c>
    </row>
    <row r="41" spans="1:25" x14ac:dyDescent="0.2">
      <c r="A41" s="202" t="s">
        <v>274</v>
      </c>
      <c r="B41" s="202"/>
      <c r="C41" s="202"/>
      <c r="D41" s="204">
        <f>Profitability!G39</f>
        <v>199.37500000000003</v>
      </c>
      <c r="E41" s="204">
        <f>Profitability!H39</f>
        <v>194.25000000000003</v>
      </c>
      <c r="F41" s="204">
        <f>Profitability!I39</f>
        <v>188.25</v>
      </c>
      <c r="G41" s="204">
        <f>Profitability!J39</f>
        <v>182.25</v>
      </c>
      <c r="H41" s="204">
        <f>Profitability!K39</f>
        <v>173</v>
      </c>
      <c r="I41" s="204">
        <f>Profitability!L39</f>
        <v>161</v>
      </c>
      <c r="J41" s="204">
        <f>Profitability!M39</f>
        <v>149</v>
      </c>
      <c r="K41" s="204">
        <f>Profitability!N39</f>
        <v>137</v>
      </c>
      <c r="L41" s="204">
        <f>Profitability!O39</f>
        <v>120.66671000000001</v>
      </c>
      <c r="M41" s="204">
        <f>Profitability!P39</f>
        <v>97.958413333333326</v>
      </c>
      <c r="N41" s="204">
        <f>Profitability!Q39</f>
        <v>70.250079999999969</v>
      </c>
      <c r="O41" s="204">
        <f>Profitability!R39</f>
        <v>35.91457999999998</v>
      </c>
      <c r="P41" s="204">
        <f>Profitability!S39</f>
        <v>4.6223799999999793</v>
      </c>
      <c r="Q41" s="251">
        <f>SUM(D41:P41)</f>
        <v>1713.5371633333332</v>
      </c>
    </row>
    <row r="42" spans="1:25" x14ac:dyDescent="0.2">
      <c r="A42" s="202" t="s">
        <v>275</v>
      </c>
      <c r="B42" s="202"/>
      <c r="C42" s="202"/>
      <c r="D42" s="204">
        <f>+'Debt Schedule '!E238</f>
        <v>25</v>
      </c>
      <c r="E42" s="204">
        <f>+'Debt Schedule '!F238</f>
        <v>60</v>
      </c>
      <c r="F42" s="204">
        <f>+'Debt Schedule '!G238</f>
        <v>60</v>
      </c>
      <c r="G42" s="204">
        <f>+'Debt Schedule '!H238</f>
        <v>60</v>
      </c>
      <c r="H42" s="204">
        <f>+'Debt Schedule '!I238</f>
        <v>120</v>
      </c>
      <c r="I42" s="204">
        <f>+'Debt Schedule '!J238</f>
        <v>120</v>
      </c>
      <c r="J42" s="204">
        <f>+'Debt Schedule '!K238</f>
        <v>120</v>
      </c>
      <c r="K42" s="204">
        <f>+'Debt Schedule '!L238</f>
        <v>120</v>
      </c>
      <c r="L42" s="204">
        <f>+'Debt Schedule '!M238</f>
        <v>199.99919999999995</v>
      </c>
      <c r="M42" s="204">
        <f>+'Debt Schedule '!N238</f>
        <v>250.00000000000003</v>
      </c>
      <c r="N42" s="204">
        <f>+'Debt Schedule '!O238</f>
        <v>300</v>
      </c>
      <c r="O42" s="204">
        <f>+'Debt Schedule '!P238</f>
        <v>380.00000000000011</v>
      </c>
      <c r="P42" s="204">
        <f>+'Debt Schedule '!Q238</f>
        <v>185.00000000000003</v>
      </c>
      <c r="Q42" s="251">
        <f>SUM(D42:P42)</f>
        <v>1999.9992000000002</v>
      </c>
    </row>
    <row r="43" spans="1:25" x14ac:dyDescent="0.2">
      <c r="A43" s="203" t="s">
        <v>170</v>
      </c>
      <c r="B43" s="203"/>
      <c r="C43" s="203"/>
      <c r="D43" s="206">
        <f>(D40+D41)/(D41+D42)</f>
        <v>1.2131700278551529</v>
      </c>
      <c r="E43" s="206">
        <f t="shared" ref="E43:P43" si="10">(E40+E41)/(E41+E42)</f>
        <v>1.4334131514257606</v>
      </c>
      <c r="F43" s="206">
        <f t="shared" si="10"/>
        <v>1.707177481117824</v>
      </c>
      <c r="G43" s="206">
        <f t="shared" si="10"/>
        <v>1.8945034671697618</v>
      </c>
      <c r="H43" s="206">
        <f t="shared" si="10"/>
        <v>1.6926788008719078</v>
      </c>
      <c r="I43" s="206">
        <f t="shared" si="10"/>
        <v>1.8769954980938208</v>
      </c>
      <c r="J43" s="206">
        <f t="shared" si="10"/>
        <v>1.8384565095407219</v>
      </c>
      <c r="K43" s="206">
        <f t="shared" si="10"/>
        <v>1.9231401423044894</v>
      </c>
      <c r="L43" s="206">
        <f t="shared" si="10"/>
        <v>1.5356520635264803</v>
      </c>
      <c r="M43" s="206">
        <f t="shared" si="10"/>
        <v>1.4031123729455564</v>
      </c>
      <c r="N43" s="206">
        <f t="shared" si="10"/>
        <v>1.3014144630399727</v>
      </c>
      <c r="O43" s="206">
        <f t="shared" si="10"/>
        <v>1.1361872586298249</v>
      </c>
      <c r="P43" s="206">
        <f t="shared" si="10"/>
        <v>2.4414513852083637</v>
      </c>
    </row>
    <row r="44" spans="1:25" x14ac:dyDescent="0.2">
      <c r="A44" s="208" t="s">
        <v>278</v>
      </c>
      <c r="B44" s="209"/>
      <c r="C44" s="209"/>
      <c r="D44" s="210">
        <f>+(Q40+Q41)/(Q41+Q42)</f>
        <v>1.5967525166640875</v>
      </c>
      <c r="E44" s="204"/>
      <c r="F44" s="204"/>
      <c r="G44" s="205"/>
      <c r="H44" s="204"/>
      <c r="I44" s="204"/>
      <c r="J44" s="204"/>
      <c r="K44" s="204"/>
      <c r="L44" s="200"/>
      <c r="M44" s="200"/>
      <c r="N44" s="200"/>
      <c r="O44" s="200"/>
      <c r="P44" s="200"/>
    </row>
    <row r="45" spans="1:25" x14ac:dyDescent="0.2">
      <c r="A45" s="199"/>
      <c r="B45" s="198"/>
      <c r="C45" s="198"/>
      <c r="D45" s="198"/>
      <c r="E45" s="200"/>
      <c r="F45" s="200"/>
      <c r="G45" s="200"/>
      <c r="H45" s="201"/>
      <c r="I45" s="200"/>
      <c r="J45" s="200"/>
      <c r="K45" s="198"/>
      <c r="L45" s="198"/>
      <c r="M45" s="198"/>
      <c r="N45" s="198"/>
      <c r="O45" s="198"/>
      <c r="P45" s="198"/>
      <c r="R45" s="251"/>
      <c r="S45" s="251"/>
      <c r="T45" s="251"/>
      <c r="U45" s="251"/>
      <c r="V45" s="251"/>
      <c r="W45" s="251"/>
      <c r="X45" s="251"/>
      <c r="Y45" s="251"/>
    </row>
    <row r="46" spans="1:25" x14ac:dyDescent="0.2"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</row>
    <row r="47" spans="1:25" ht="15.75" x14ac:dyDescent="0.2">
      <c r="A47" s="461" t="s">
        <v>281</v>
      </c>
      <c r="B47" s="462"/>
      <c r="C47" s="462"/>
      <c r="D47" s="462"/>
      <c r="E47" s="462"/>
      <c r="F47" s="462"/>
      <c r="G47" s="462"/>
      <c r="H47" s="462"/>
      <c r="I47" s="462"/>
      <c r="J47" s="462"/>
      <c r="K47" s="462"/>
      <c r="L47" s="346"/>
      <c r="M47" s="346"/>
      <c r="N47" s="346"/>
      <c r="O47" s="346"/>
      <c r="P47" s="346"/>
    </row>
    <row r="48" spans="1:25" x14ac:dyDescent="0.2">
      <c r="A48" s="213" t="s">
        <v>265</v>
      </c>
      <c r="B48" s="216"/>
      <c r="C48" s="217"/>
      <c r="D48" s="208" t="s">
        <v>133</v>
      </c>
      <c r="E48" s="208" t="s">
        <v>134</v>
      </c>
      <c r="F48" s="208" t="s">
        <v>135</v>
      </c>
      <c r="G48" s="208" t="s">
        <v>136</v>
      </c>
      <c r="H48" s="208" t="s">
        <v>137</v>
      </c>
      <c r="I48" s="208" t="s">
        <v>138</v>
      </c>
      <c r="J48" s="208" t="s">
        <v>139</v>
      </c>
      <c r="K48" s="208" t="s">
        <v>376</v>
      </c>
      <c r="L48" s="208" t="s">
        <v>377</v>
      </c>
      <c r="M48" s="208" t="s">
        <v>378</v>
      </c>
      <c r="N48" s="208" t="s">
        <v>379</v>
      </c>
      <c r="O48" s="208" t="s">
        <v>380</v>
      </c>
      <c r="P48" s="208" t="s">
        <v>426</v>
      </c>
    </row>
    <row r="49" spans="1:16" x14ac:dyDescent="0.2">
      <c r="A49" s="199"/>
      <c r="B49" s="198"/>
      <c r="C49" s="198"/>
      <c r="D49" s="200"/>
      <c r="E49" s="201"/>
      <c r="F49" s="200"/>
      <c r="G49" s="200"/>
      <c r="H49" s="200"/>
      <c r="I49" s="200"/>
      <c r="J49" s="198"/>
    </row>
    <row r="50" spans="1:16" x14ac:dyDescent="0.2">
      <c r="A50" s="203" t="s">
        <v>266</v>
      </c>
      <c r="B50" s="198"/>
      <c r="C50" s="198"/>
      <c r="D50" s="200"/>
      <c r="E50" s="201"/>
      <c r="F50" s="200"/>
      <c r="G50" s="200"/>
      <c r="H50" s="200"/>
      <c r="I50" s="200"/>
      <c r="J50" s="198"/>
    </row>
    <row r="51" spans="1:16" x14ac:dyDescent="0.2">
      <c r="A51" s="202" t="s">
        <v>276</v>
      </c>
      <c r="B51" s="202"/>
      <c r="C51" s="202"/>
      <c r="D51" s="206">
        <f>Profitability!G23</f>
        <v>891.94</v>
      </c>
      <c r="E51" s="206">
        <f>Profitability!H23</f>
        <v>1107.25</v>
      </c>
      <c r="F51" s="206">
        <f>Profitability!I23</f>
        <v>1262.25</v>
      </c>
      <c r="G51" s="206">
        <f>Profitability!J23</f>
        <v>1375.02</v>
      </c>
      <c r="H51" s="206">
        <f>Profitability!K23</f>
        <v>1495.93</v>
      </c>
      <c r="I51" s="206">
        <f>Profitability!L23</f>
        <v>1625.48</v>
      </c>
      <c r="J51" s="206">
        <f>Profitability!M23</f>
        <v>1764.25</v>
      </c>
      <c r="K51" s="206">
        <f>Profitability!N23</f>
        <v>1852.46</v>
      </c>
      <c r="L51" s="206">
        <f>Profitability!O23</f>
        <v>1945.09</v>
      </c>
      <c r="M51" s="206">
        <f>Profitability!P23</f>
        <v>2042.34</v>
      </c>
      <c r="N51" s="206">
        <f>Profitability!Q23</f>
        <v>2144.4499999999998</v>
      </c>
      <c r="O51" s="206">
        <f>Profitability!R23</f>
        <v>2251.6799999999998</v>
      </c>
      <c r="P51" s="206">
        <f>Profitability!S23</f>
        <v>2364.2600000000002</v>
      </c>
    </row>
    <row r="52" spans="1:16" x14ac:dyDescent="0.2">
      <c r="A52" s="198"/>
      <c r="B52" s="198"/>
      <c r="C52" s="198"/>
      <c r="D52" s="200"/>
      <c r="E52" s="201"/>
      <c r="F52" s="200"/>
      <c r="G52" s="200"/>
      <c r="H52" s="200"/>
      <c r="I52" s="200"/>
      <c r="J52" s="198"/>
      <c r="K52" s="200"/>
      <c r="L52" s="200"/>
      <c r="M52" s="200"/>
      <c r="N52" s="200"/>
      <c r="O52" s="200"/>
      <c r="P52" s="200"/>
    </row>
    <row r="53" spans="1:16" x14ac:dyDescent="0.2">
      <c r="A53" s="203" t="s">
        <v>267</v>
      </c>
      <c r="B53" s="202"/>
      <c r="C53" s="198"/>
      <c r="D53" s="200"/>
      <c r="E53" s="201"/>
      <c r="F53" s="200"/>
      <c r="G53" s="200"/>
      <c r="H53" s="200"/>
      <c r="I53" s="200"/>
      <c r="J53" s="198"/>
      <c r="K53" s="200"/>
      <c r="L53" s="200"/>
      <c r="M53" s="200"/>
      <c r="N53" s="200"/>
      <c r="O53" s="200"/>
      <c r="P53" s="200"/>
    </row>
    <row r="54" spans="1:16" x14ac:dyDescent="0.2">
      <c r="A54" s="202" t="s">
        <v>282</v>
      </c>
      <c r="B54" s="202"/>
      <c r="C54" s="202"/>
      <c r="D54" s="204">
        <f>+D28*1.05</f>
        <v>510.68920875000003</v>
      </c>
      <c r="E54" s="204">
        <f t="shared" ref="E54:P54" si="11">+E28*1.05</f>
        <v>619.5508396875</v>
      </c>
      <c r="F54" s="204">
        <f t="shared" si="11"/>
        <v>701.61501604687498</v>
      </c>
      <c r="G54" s="204">
        <f t="shared" si="11"/>
        <v>765.58666122421869</v>
      </c>
      <c r="H54" s="204">
        <f t="shared" si="11"/>
        <v>834.51551528542961</v>
      </c>
      <c r="I54" s="204">
        <f t="shared" si="11"/>
        <v>908.74237942470108</v>
      </c>
      <c r="J54" s="204">
        <f t="shared" si="11"/>
        <v>988.67242889593615</v>
      </c>
      <c r="K54" s="204">
        <f t="shared" si="11"/>
        <v>1046.9254654907331</v>
      </c>
      <c r="L54" s="204">
        <f t="shared" si="11"/>
        <v>1108.9651482427696</v>
      </c>
      <c r="M54" s="204">
        <f t="shared" si="11"/>
        <v>1175.1096736551583</v>
      </c>
      <c r="N54" s="204">
        <f t="shared" si="11"/>
        <v>1245.601336875691</v>
      </c>
      <c r="O54" s="204">
        <f t="shared" si="11"/>
        <v>1320.7882753860281</v>
      </c>
      <c r="P54" s="204">
        <f t="shared" si="11"/>
        <v>1401.0577494260374</v>
      </c>
    </row>
    <row r="55" spans="1:16" x14ac:dyDescent="0.2">
      <c r="A55" s="202" t="s">
        <v>283</v>
      </c>
      <c r="B55" s="202"/>
      <c r="C55" s="202"/>
      <c r="D55" s="204">
        <f>+D29</f>
        <v>101.3373</v>
      </c>
      <c r="E55" s="204">
        <f t="shared" ref="E55:P55" si="12">+E29</f>
        <v>112.10124999999999</v>
      </c>
      <c r="F55" s="204">
        <f t="shared" si="12"/>
        <v>123.53125</v>
      </c>
      <c r="G55" s="204">
        <f t="shared" si="12"/>
        <v>135.82210000000001</v>
      </c>
      <c r="H55" s="204">
        <f t="shared" si="12"/>
        <v>149.32384999999999</v>
      </c>
      <c r="I55" s="204">
        <f t="shared" si="12"/>
        <v>164.15851999999998</v>
      </c>
      <c r="J55" s="204">
        <f t="shared" si="12"/>
        <v>180.454982</v>
      </c>
      <c r="K55" s="204">
        <f t="shared" si="12"/>
        <v>198.05690520000002</v>
      </c>
      <c r="L55" s="204">
        <f t="shared" si="12"/>
        <v>217.39851572000003</v>
      </c>
      <c r="M55" s="204">
        <f t="shared" si="12"/>
        <v>238.65207229200004</v>
      </c>
      <c r="N55" s="204">
        <f t="shared" si="12"/>
        <v>262.00715952120004</v>
      </c>
      <c r="O55" s="204">
        <f t="shared" si="12"/>
        <v>287.67080047332001</v>
      </c>
      <c r="P55" s="204">
        <f t="shared" si="12"/>
        <v>315.87744052065204</v>
      </c>
    </row>
    <row r="56" spans="1:16" x14ac:dyDescent="0.2">
      <c r="A56" s="202" t="s">
        <v>268</v>
      </c>
      <c r="B56" s="202"/>
      <c r="C56" s="202"/>
      <c r="D56" s="204">
        <v>188.3505625</v>
      </c>
      <c r="E56" s="204">
        <v>174.82517499999989</v>
      </c>
      <c r="F56" s="204">
        <v>158.99057499999978</v>
      </c>
      <c r="G56" s="204">
        <v>143.15597499999967</v>
      </c>
      <c r="H56" s="204">
        <v>127.32137499999955</v>
      </c>
      <c r="I56" s="204">
        <v>111.48677499999944</v>
      </c>
      <c r="J56" s="204">
        <v>95.652174999999346</v>
      </c>
      <c r="K56" s="204">
        <v>79.817574999999351</v>
      </c>
      <c r="L56" s="204">
        <v>63.982974999999371</v>
      </c>
      <c r="M56" s="204">
        <v>48.148374999999383</v>
      </c>
      <c r="N56" s="204">
        <v>32.313774999999403</v>
      </c>
      <c r="O56" s="204">
        <v>16.479174999999419</v>
      </c>
      <c r="P56" s="204">
        <v>2.3016124999996599</v>
      </c>
    </row>
    <row r="57" spans="1:16" x14ac:dyDescent="0.2">
      <c r="A57" s="202" t="s">
        <v>15</v>
      </c>
      <c r="B57" s="202"/>
      <c r="C57" s="202"/>
      <c r="D57" s="204">
        <v>313.51100000000002</v>
      </c>
      <c r="E57" s="204">
        <v>276.50280000000004</v>
      </c>
      <c r="F57" s="204">
        <v>244.88368500000001</v>
      </c>
      <c r="G57" s="204">
        <v>217.52562675000001</v>
      </c>
      <c r="H57" s="204">
        <v>193.63611978750001</v>
      </c>
      <c r="I57" s="204">
        <v>172.63748036437497</v>
      </c>
      <c r="J57" s="204">
        <v>154.09278412021879</v>
      </c>
      <c r="K57" s="204">
        <v>137.65999480363595</v>
      </c>
      <c r="L57" s="204">
        <v>123.06318809759557</v>
      </c>
      <c r="M57" s="204">
        <v>110.07418937193071</v>
      </c>
      <c r="N57" s="204">
        <v>98.500596241770154</v>
      </c>
      <c r="O57" s="204">
        <v>88.177750794901968</v>
      </c>
      <c r="P57" s="204">
        <v>78.963185110923007</v>
      </c>
    </row>
    <row r="58" spans="1:16" x14ac:dyDescent="0.2">
      <c r="A58" s="202" t="s">
        <v>269</v>
      </c>
      <c r="B58" s="202"/>
      <c r="C58" s="202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</row>
    <row r="59" spans="1:16" x14ac:dyDescent="0.2">
      <c r="A59" s="203" t="s">
        <v>270</v>
      </c>
      <c r="B59" s="202"/>
      <c r="C59" s="202"/>
      <c r="D59" s="206">
        <f>SUM(D54:D58)</f>
        <v>1113.8880712500002</v>
      </c>
      <c r="E59" s="206">
        <f t="shared" ref="E59:P59" si="13">SUM(E54:E58)</f>
        <v>1182.9800646874999</v>
      </c>
      <c r="F59" s="206">
        <f t="shared" si="13"/>
        <v>1229.0205260468747</v>
      </c>
      <c r="G59" s="206">
        <f t="shared" si="13"/>
        <v>1262.0903629742184</v>
      </c>
      <c r="H59" s="206">
        <f t="shared" si="13"/>
        <v>1304.7968600729293</v>
      </c>
      <c r="I59" s="206">
        <f t="shared" si="13"/>
        <v>1357.0251547890755</v>
      </c>
      <c r="J59" s="206">
        <f t="shared" si="13"/>
        <v>1418.8723700161543</v>
      </c>
      <c r="K59" s="206">
        <f t="shared" si="13"/>
        <v>1462.4599404943685</v>
      </c>
      <c r="L59" s="206">
        <f t="shared" si="13"/>
        <v>1513.4098270603645</v>
      </c>
      <c r="M59" s="206">
        <f t="shared" si="13"/>
        <v>1571.9843103190883</v>
      </c>
      <c r="N59" s="206">
        <f t="shared" si="13"/>
        <v>1638.4228676386606</v>
      </c>
      <c r="O59" s="206">
        <f t="shared" si="13"/>
        <v>1713.1160016542497</v>
      </c>
      <c r="P59" s="206">
        <f t="shared" si="13"/>
        <v>1798.1999875576121</v>
      </c>
    </row>
    <row r="60" spans="1:16" x14ac:dyDescent="0.2">
      <c r="A60" s="199"/>
      <c r="B60" s="198"/>
      <c r="C60" s="198"/>
      <c r="D60" s="198"/>
      <c r="E60" s="200"/>
      <c r="F60" s="200"/>
      <c r="G60" s="200"/>
      <c r="H60" s="200"/>
      <c r="I60" s="200"/>
      <c r="J60" s="200"/>
      <c r="K60" s="198"/>
      <c r="L60" s="198"/>
      <c r="M60" s="198"/>
      <c r="N60" s="198"/>
      <c r="O60" s="198"/>
      <c r="P60" s="198"/>
    </row>
    <row r="61" spans="1:16" x14ac:dyDescent="0.2">
      <c r="A61" s="199"/>
      <c r="B61" s="198"/>
      <c r="C61" s="198"/>
      <c r="D61" s="198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</row>
    <row r="62" spans="1:16" x14ac:dyDescent="0.2">
      <c r="A62" s="199"/>
      <c r="B62" s="198"/>
      <c r="C62" s="198"/>
      <c r="D62" s="198"/>
      <c r="E62" s="200"/>
      <c r="F62" s="200"/>
      <c r="G62" s="200"/>
      <c r="H62" s="201"/>
      <c r="I62" s="200"/>
      <c r="J62" s="200"/>
      <c r="K62" s="198"/>
      <c r="L62" s="198"/>
      <c r="M62" s="198"/>
      <c r="N62" s="198"/>
      <c r="O62" s="198"/>
      <c r="P62" s="198"/>
    </row>
    <row r="63" spans="1:16" x14ac:dyDescent="0.2">
      <c r="A63" s="202" t="s">
        <v>271</v>
      </c>
      <c r="B63" s="202"/>
      <c r="C63" s="202"/>
      <c r="D63" s="204">
        <f>D51-D59</f>
        <v>-221.94807125000011</v>
      </c>
      <c r="E63" s="204">
        <f t="shared" ref="E63:P63" si="14">E51-E59</f>
        <v>-75.730064687499862</v>
      </c>
      <c r="F63" s="204">
        <f t="shared" si="14"/>
        <v>33.229473953125307</v>
      </c>
      <c r="G63" s="204">
        <f t="shared" si="14"/>
        <v>112.92963702578163</v>
      </c>
      <c r="H63" s="204">
        <f t="shared" si="14"/>
        <v>191.13313992707072</v>
      </c>
      <c r="I63" s="204">
        <f t="shared" si="14"/>
        <v>268.45484521092453</v>
      </c>
      <c r="J63" s="204">
        <f t="shared" si="14"/>
        <v>345.37762998384574</v>
      </c>
      <c r="K63" s="204">
        <f t="shared" si="14"/>
        <v>390.0000595056315</v>
      </c>
      <c r="L63" s="204">
        <f t="shared" si="14"/>
        <v>431.68017293963544</v>
      </c>
      <c r="M63" s="204">
        <f t="shared" si="14"/>
        <v>470.35568968091161</v>
      </c>
      <c r="N63" s="204">
        <f t="shared" si="14"/>
        <v>506.02713236133923</v>
      </c>
      <c r="O63" s="204">
        <f t="shared" si="14"/>
        <v>538.56399834575018</v>
      </c>
      <c r="P63" s="204">
        <f t="shared" si="14"/>
        <v>566.06001244238814</v>
      </c>
    </row>
    <row r="64" spans="1:16" ht="15" x14ac:dyDescent="0.25">
      <c r="A64" s="202" t="s">
        <v>23</v>
      </c>
      <c r="B64" s="202"/>
      <c r="C64" s="207">
        <v>0.3</v>
      </c>
      <c r="D64" s="204">
        <v>0</v>
      </c>
      <c r="E64" s="204">
        <v>0</v>
      </c>
      <c r="F64" s="204">
        <v>0</v>
      </c>
      <c r="G64" s="204">
        <v>0</v>
      </c>
      <c r="H64" s="204">
        <f>+(H63+G63+F63+E63+D63)*$C$64</f>
        <v>11.884234490543303</v>
      </c>
      <c r="I64" s="204">
        <f>I63*$C$64</f>
        <v>80.536453563277362</v>
      </c>
      <c r="J64" s="204">
        <f>J63*$C$64</f>
        <v>103.61328899515372</v>
      </c>
      <c r="K64" s="204">
        <f>K63*$C$64</f>
        <v>117.00001785168945</v>
      </c>
      <c r="L64" s="204">
        <f t="shared" ref="L64:P64" si="15">L63*$C$64</f>
        <v>129.50405188189063</v>
      </c>
      <c r="M64" s="204">
        <f t="shared" si="15"/>
        <v>141.10670690427347</v>
      </c>
      <c r="N64" s="204">
        <f t="shared" si="15"/>
        <v>151.80813970840177</v>
      </c>
      <c r="O64" s="204">
        <f t="shared" si="15"/>
        <v>161.56919950372506</v>
      </c>
      <c r="P64" s="204">
        <f t="shared" si="15"/>
        <v>169.81800373271645</v>
      </c>
    </row>
    <row r="65" spans="1:25" x14ac:dyDescent="0.2">
      <c r="A65" s="202" t="s">
        <v>272</v>
      </c>
      <c r="B65" s="202"/>
      <c r="C65" s="202"/>
      <c r="D65" s="204">
        <f>D63-D64</f>
        <v>-221.94807125000011</v>
      </c>
      <c r="E65" s="204">
        <f>E63-E64</f>
        <v>-75.730064687499862</v>
      </c>
      <c r="F65" s="204">
        <f>F63-F64</f>
        <v>33.229473953125307</v>
      </c>
      <c r="G65" s="204">
        <f t="shared" ref="G65:P65" si="16">G63-G64</f>
        <v>112.92963702578163</v>
      </c>
      <c r="H65" s="204">
        <f t="shared" si="16"/>
        <v>179.24890543652742</v>
      </c>
      <c r="I65" s="204">
        <f t="shared" si="16"/>
        <v>187.91839164764718</v>
      </c>
      <c r="J65" s="204">
        <f t="shared" si="16"/>
        <v>241.76434098869203</v>
      </c>
      <c r="K65" s="204">
        <f t="shared" si="16"/>
        <v>273.00004165394205</v>
      </c>
      <c r="L65" s="204">
        <f t="shared" si="16"/>
        <v>302.17612105774481</v>
      </c>
      <c r="M65" s="204">
        <f t="shared" si="16"/>
        <v>329.24898277663817</v>
      </c>
      <c r="N65" s="204">
        <f t="shared" si="16"/>
        <v>354.21899265293746</v>
      </c>
      <c r="O65" s="204">
        <f t="shared" si="16"/>
        <v>376.99479884202515</v>
      </c>
      <c r="P65" s="204">
        <f t="shared" si="16"/>
        <v>396.24200870967172</v>
      </c>
    </row>
    <row r="66" spans="1:25" x14ac:dyDescent="0.2">
      <c r="A66" s="202" t="s">
        <v>273</v>
      </c>
      <c r="B66" s="202"/>
      <c r="C66" s="202"/>
      <c r="D66" s="204">
        <f>D65+D57+D58</f>
        <v>91.562928749999912</v>
      </c>
      <c r="E66" s="204">
        <f>E65+E57+E58</f>
        <v>200.77273531250017</v>
      </c>
      <c r="F66" s="204">
        <f t="shared" ref="F66:P66" si="17">F65+F57+F58</f>
        <v>278.11315895312532</v>
      </c>
      <c r="G66" s="204">
        <f t="shared" si="17"/>
        <v>330.45526377578165</v>
      </c>
      <c r="H66" s="204">
        <f t="shared" si="17"/>
        <v>372.88502522402746</v>
      </c>
      <c r="I66" s="204">
        <f t="shared" si="17"/>
        <v>360.55587201202218</v>
      </c>
      <c r="J66" s="204">
        <f t="shared" si="17"/>
        <v>395.85712510891085</v>
      </c>
      <c r="K66" s="204">
        <f t="shared" si="17"/>
        <v>410.66003645757803</v>
      </c>
      <c r="L66" s="204">
        <f t="shared" si="17"/>
        <v>425.23930915534038</v>
      </c>
      <c r="M66" s="204">
        <f t="shared" si="17"/>
        <v>439.32317214856891</v>
      </c>
      <c r="N66" s="204">
        <f t="shared" si="17"/>
        <v>452.71958889470761</v>
      </c>
      <c r="O66" s="204">
        <f t="shared" si="17"/>
        <v>465.1725496369271</v>
      </c>
      <c r="P66" s="204">
        <f t="shared" si="17"/>
        <v>475.20519382059473</v>
      </c>
      <c r="Q66" s="251">
        <f>SUM(D66:P66)</f>
        <v>4698.5219592500844</v>
      </c>
    </row>
    <row r="67" spans="1:25" x14ac:dyDescent="0.2">
      <c r="A67" s="202" t="s">
        <v>274</v>
      </c>
      <c r="B67" s="202"/>
      <c r="C67" s="202"/>
      <c r="D67" s="204">
        <f>D41</f>
        <v>199.37500000000003</v>
      </c>
      <c r="E67" s="204">
        <f t="shared" ref="E67:P67" si="18">E41</f>
        <v>194.25000000000003</v>
      </c>
      <c r="F67" s="204">
        <f t="shared" si="18"/>
        <v>188.25</v>
      </c>
      <c r="G67" s="204">
        <f t="shared" si="18"/>
        <v>182.25</v>
      </c>
      <c r="H67" s="204">
        <f t="shared" si="18"/>
        <v>173</v>
      </c>
      <c r="I67" s="204">
        <f t="shared" si="18"/>
        <v>161</v>
      </c>
      <c r="J67" s="204">
        <f t="shared" si="18"/>
        <v>149</v>
      </c>
      <c r="K67" s="204">
        <f t="shared" si="18"/>
        <v>137</v>
      </c>
      <c r="L67" s="204">
        <f t="shared" si="18"/>
        <v>120.66671000000001</v>
      </c>
      <c r="M67" s="204">
        <f t="shared" si="18"/>
        <v>97.958413333333326</v>
      </c>
      <c r="N67" s="204">
        <f t="shared" si="18"/>
        <v>70.250079999999969</v>
      </c>
      <c r="O67" s="204">
        <f t="shared" si="18"/>
        <v>35.91457999999998</v>
      </c>
      <c r="P67" s="204">
        <f t="shared" si="18"/>
        <v>4.6223799999999793</v>
      </c>
      <c r="Q67" s="251">
        <f>SUM(D67:P67)</f>
        <v>1713.5371633333332</v>
      </c>
    </row>
    <row r="68" spans="1:25" x14ac:dyDescent="0.2">
      <c r="A68" s="202" t="s">
        <v>275</v>
      </c>
      <c r="B68" s="202"/>
      <c r="C68" s="202"/>
      <c r="D68" s="204">
        <f>D42</f>
        <v>25</v>
      </c>
      <c r="E68" s="204">
        <f t="shared" ref="E68:P68" si="19">E42</f>
        <v>60</v>
      </c>
      <c r="F68" s="204">
        <f t="shared" si="19"/>
        <v>60</v>
      </c>
      <c r="G68" s="204">
        <f t="shared" si="19"/>
        <v>60</v>
      </c>
      <c r="H68" s="204">
        <f t="shared" si="19"/>
        <v>120</v>
      </c>
      <c r="I68" s="204">
        <f t="shared" si="19"/>
        <v>120</v>
      </c>
      <c r="J68" s="204">
        <f t="shared" si="19"/>
        <v>120</v>
      </c>
      <c r="K68" s="204">
        <f t="shared" si="19"/>
        <v>120</v>
      </c>
      <c r="L68" s="204">
        <f t="shared" si="19"/>
        <v>199.99919999999995</v>
      </c>
      <c r="M68" s="204">
        <f t="shared" si="19"/>
        <v>250.00000000000003</v>
      </c>
      <c r="N68" s="204">
        <f t="shared" si="19"/>
        <v>300</v>
      </c>
      <c r="O68" s="204">
        <f t="shared" si="19"/>
        <v>380.00000000000011</v>
      </c>
      <c r="P68" s="204">
        <f t="shared" si="19"/>
        <v>185.00000000000003</v>
      </c>
      <c r="Q68" s="251">
        <f>SUM(D68:P68)</f>
        <v>1999.9992000000002</v>
      </c>
    </row>
    <row r="69" spans="1:25" x14ac:dyDescent="0.2">
      <c r="A69" s="203" t="s">
        <v>170</v>
      </c>
      <c r="B69" s="203"/>
      <c r="C69" s="203"/>
      <c r="D69" s="206">
        <f>(D66+D67)/(D67+D68)</f>
        <v>1.2966592924791083</v>
      </c>
      <c r="E69" s="206">
        <f t="shared" ref="E69:P69" si="20">(E66+E67)/(E67+E68)</f>
        <v>1.553678408308752</v>
      </c>
      <c r="F69" s="206">
        <f t="shared" si="20"/>
        <v>1.8786028558031231</v>
      </c>
      <c r="G69" s="206">
        <f t="shared" si="20"/>
        <v>2.1164303974232475</v>
      </c>
      <c r="H69" s="206">
        <f t="shared" si="20"/>
        <v>1.8630888232901961</v>
      </c>
      <c r="I69" s="206">
        <f t="shared" si="20"/>
        <v>1.8560707189039936</v>
      </c>
      <c r="J69" s="206">
        <f t="shared" si="20"/>
        <v>2.0254911714085906</v>
      </c>
      <c r="K69" s="206">
        <f t="shared" si="20"/>
        <v>2.1309729045041945</v>
      </c>
      <c r="L69" s="206">
        <f t="shared" si="20"/>
        <v>1.7024136402754519</v>
      </c>
      <c r="M69" s="206">
        <f t="shared" si="20"/>
        <v>1.5440971245239101</v>
      </c>
      <c r="N69" s="206">
        <f t="shared" si="20"/>
        <v>1.4124768558988769</v>
      </c>
      <c r="O69" s="206">
        <f t="shared" si="20"/>
        <v>1.2047837554454739</v>
      </c>
      <c r="P69" s="206">
        <f t="shared" si="20"/>
        <v>2.5304374611298237</v>
      </c>
    </row>
    <row r="70" spans="1:25" x14ac:dyDescent="0.2">
      <c r="A70" s="208" t="s">
        <v>278</v>
      </c>
      <c r="B70" s="209"/>
      <c r="C70" s="209"/>
      <c r="D70" s="210">
        <f>+(Q66+Q67)/(Q67+Q68)</f>
        <v>1.7266719631170768</v>
      </c>
      <c r="E70" s="200"/>
      <c r="F70" s="200"/>
      <c r="G70" s="201"/>
      <c r="H70" s="200"/>
      <c r="I70" s="200"/>
      <c r="J70" s="200"/>
      <c r="K70" s="200"/>
      <c r="L70" s="200"/>
      <c r="M70" s="200"/>
      <c r="N70" s="200"/>
      <c r="O70" s="200"/>
      <c r="P70" s="200"/>
    </row>
    <row r="71" spans="1:25" x14ac:dyDescent="0.2">
      <c r="R71" s="251"/>
      <c r="S71" s="251"/>
      <c r="T71" s="251"/>
      <c r="U71" s="251"/>
      <c r="V71" s="251"/>
      <c r="W71" s="251"/>
      <c r="X71" s="251"/>
      <c r="Y71" s="251"/>
    </row>
    <row r="72" spans="1:25" ht="15.75" x14ac:dyDescent="0.2">
      <c r="A72" s="461" t="s">
        <v>284</v>
      </c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346"/>
      <c r="M72" s="346"/>
      <c r="N72" s="346"/>
      <c r="O72" s="346"/>
      <c r="P72" s="346"/>
    </row>
    <row r="73" spans="1:25" x14ac:dyDescent="0.2">
      <c r="A73" s="213" t="s">
        <v>265</v>
      </c>
      <c r="B73" s="214"/>
      <c r="C73" s="215"/>
      <c r="D73" s="208" t="s">
        <v>133</v>
      </c>
      <c r="E73" s="208" t="s">
        <v>134</v>
      </c>
      <c r="F73" s="208" t="s">
        <v>135</v>
      </c>
      <c r="G73" s="208" t="s">
        <v>136</v>
      </c>
      <c r="H73" s="208" t="s">
        <v>137</v>
      </c>
      <c r="I73" s="208" t="s">
        <v>138</v>
      </c>
      <c r="J73" s="208" t="s">
        <v>139</v>
      </c>
      <c r="K73" s="208" t="s">
        <v>376</v>
      </c>
      <c r="L73" s="208" t="s">
        <v>377</v>
      </c>
      <c r="M73" s="208" t="s">
        <v>378</v>
      </c>
      <c r="N73" s="208" t="s">
        <v>379</v>
      </c>
      <c r="O73" s="208" t="s">
        <v>380</v>
      </c>
      <c r="P73" s="208" t="s">
        <v>426</v>
      </c>
    </row>
    <row r="74" spans="1:25" x14ac:dyDescent="0.2">
      <c r="A74" s="199"/>
      <c r="B74" s="198"/>
      <c r="C74" s="198"/>
      <c r="D74" s="200"/>
      <c r="E74" s="201"/>
      <c r="F74" s="200"/>
      <c r="G74" s="200"/>
      <c r="H74" s="200"/>
      <c r="I74" s="200"/>
      <c r="J74" s="198"/>
    </row>
    <row r="75" spans="1:25" x14ac:dyDescent="0.2">
      <c r="A75" s="203" t="s">
        <v>266</v>
      </c>
      <c r="B75" s="198"/>
      <c r="C75" s="198"/>
      <c r="D75" s="200"/>
      <c r="E75" s="201"/>
      <c r="F75" s="200"/>
      <c r="G75" s="200"/>
      <c r="H75" s="200"/>
      <c r="I75" s="200"/>
      <c r="J75" s="198"/>
    </row>
    <row r="76" spans="1:25" x14ac:dyDescent="0.2">
      <c r="A76" s="202" t="s">
        <v>276</v>
      </c>
      <c r="B76" s="202"/>
      <c r="C76" s="202"/>
      <c r="D76" s="206">
        <f>D51</f>
        <v>891.94</v>
      </c>
      <c r="E76" s="206">
        <f t="shared" ref="E76:P76" si="21">E51</f>
        <v>1107.25</v>
      </c>
      <c r="F76" s="206">
        <f t="shared" si="21"/>
        <v>1262.25</v>
      </c>
      <c r="G76" s="206">
        <f t="shared" si="21"/>
        <v>1375.02</v>
      </c>
      <c r="H76" s="206">
        <f t="shared" si="21"/>
        <v>1495.93</v>
      </c>
      <c r="I76" s="206">
        <f t="shared" si="21"/>
        <v>1625.48</v>
      </c>
      <c r="J76" s="206">
        <f t="shared" si="21"/>
        <v>1764.25</v>
      </c>
      <c r="K76" s="206">
        <f t="shared" si="21"/>
        <v>1852.46</v>
      </c>
      <c r="L76" s="206">
        <f t="shared" si="21"/>
        <v>1945.09</v>
      </c>
      <c r="M76" s="206">
        <f t="shared" si="21"/>
        <v>2042.34</v>
      </c>
      <c r="N76" s="206">
        <f t="shared" si="21"/>
        <v>2144.4499999999998</v>
      </c>
      <c r="O76" s="206">
        <f t="shared" si="21"/>
        <v>2251.6799999999998</v>
      </c>
      <c r="P76" s="206">
        <f t="shared" si="21"/>
        <v>2364.2600000000002</v>
      </c>
    </row>
    <row r="77" spans="1:25" x14ac:dyDescent="0.2">
      <c r="A77" s="198"/>
      <c r="B77" s="198"/>
      <c r="C77" s="198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</row>
    <row r="78" spans="1:25" x14ac:dyDescent="0.2">
      <c r="A78" s="203" t="s">
        <v>267</v>
      </c>
      <c r="B78" s="202"/>
      <c r="C78" s="198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</row>
    <row r="79" spans="1:25" x14ac:dyDescent="0.2">
      <c r="A79" s="202" t="s">
        <v>282</v>
      </c>
      <c r="B79" s="202"/>
      <c r="C79" s="202"/>
      <c r="D79" s="204">
        <f>+D28</f>
        <v>486.37067500000001</v>
      </c>
      <c r="E79" s="204">
        <f t="shared" ref="E79:P79" si="22">+E28</f>
        <v>590.04841875</v>
      </c>
      <c r="F79" s="204">
        <f t="shared" si="22"/>
        <v>668.20477718749999</v>
      </c>
      <c r="G79" s="204">
        <f t="shared" si="22"/>
        <v>729.13015354687491</v>
      </c>
      <c r="H79" s="204">
        <f t="shared" si="22"/>
        <v>794.77668122421869</v>
      </c>
      <c r="I79" s="204">
        <f t="shared" si="22"/>
        <v>865.46893278542962</v>
      </c>
      <c r="J79" s="204">
        <f t="shared" si="22"/>
        <v>941.5927894247011</v>
      </c>
      <c r="K79" s="204">
        <f t="shared" si="22"/>
        <v>997.07187189593617</v>
      </c>
      <c r="L79" s="204">
        <f t="shared" si="22"/>
        <v>1056.157284040733</v>
      </c>
      <c r="M79" s="204">
        <f t="shared" si="22"/>
        <v>1119.1520701477698</v>
      </c>
      <c r="N79" s="204">
        <f t="shared" si="22"/>
        <v>1186.2869875006581</v>
      </c>
      <c r="O79" s="204">
        <f t="shared" si="22"/>
        <v>1257.893595605741</v>
      </c>
      <c r="P79" s="204">
        <f t="shared" si="22"/>
        <v>1334.3407137390832</v>
      </c>
    </row>
    <row r="80" spans="1:25" x14ac:dyDescent="0.2">
      <c r="A80" s="202" t="s">
        <v>283</v>
      </c>
      <c r="B80" s="202"/>
      <c r="C80" s="202"/>
      <c r="D80" s="204">
        <f>+D55</f>
        <v>101.3373</v>
      </c>
      <c r="E80" s="204">
        <f t="shared" ref="E80:P80" si="23">+E55</f>
        <v>112.10124999999999</v>
      </c>
      <c r="F80" s="204">
        <f t="shared" si="23"/>
        <v>123.53125</v>
      </c>
      <c r="G80" s="204">
        <f t="shared" si="23"/>
        <v>135.82210000000001</v>
      </c>
      <c r="H80" s="204">
        <f t="shared" si="23"/>
        <v>149.32384999999999</v>
      </c>
      <c r="I80" s="204">
        <f t="shared" si="23"/>
        <v>164.15851999999998</v>
      </c>
      <c r="J80" s="204">
        <f t="shared" si="23"/>
        <v>180.454982</v>
      </c>
      <c r="K80" s="204">
        <f t="shared" si="23"/>
        <v>198.05690520000002</v>
      </c>
      <c r="L80" s="204">
        <f t="shared" si="23"/>
        <v>217.39851572000003</v>
      </c>
      <c r="M80" s="204">
        <f t="shared" si="23"/>
        <v>238.65207229200004</v>
      </c>
      <c r="N80" s="204">
        <f t="shared" si="23"/>
        <v>262.00715952120004</v>
      </c>
      <c r="O80" s="204">
        <f t="shared" si="23"/>
        <v>287.67080047332001</v>
      </c>
      <c r="P80" s="204">
        <f t="shared" si="23"/>
        <v>315.87744052065204</v>
      </c>
    </row>
    <row r="81" spans="1:25" x14ac:dyDescent="0.2">
      <c r="A81" s="202" t="s">
        <v>268</v>
      </c>
      <c r="B81" s="202"/>
      <c r="C81" s="202"/>
      <c r="D81" s="204">
        <f>+D67*10.5/9.5</f>
        <v>220.36184210526321</v>
      </c>
      <c r="E81" s="204">
        <f t="shared" ref="E81:P81" si="24">+E67*10.5/9.5</f>
        <v>214.69736842105266</v>
      </c>
      <c r="F81" s="204">
        <f t="shared" si="24"/>
        <v>208.06578947368422</v>
      </c>
      <c r="G81" s="204">
        <f t="shared" si="24"/>
        <v>201.43421052631578</v>
      </c>
      <c r="H81" s="204">
        <f t="shared" si="24"/>
        <v>191.21052631578948</v>
      </c>
      <c r="I81" s="204">
        <f t="shared" si="24"/>
        <v>177.94736842105263</v>
      </c>
      <c r="J81" s="204">
        <f t="shared" si="24"/>
        <v>164.68421052631578</v>
      </c>
      <c r="K81" s="204">
        <f t="shared" si="24"/>
        <v>151.42105263157896</v>
      </c>
      <c r="L81" s="204">
        <f t="shared" si="24"/>
        <v>133.36846894736843</v>
      </c>
      <c r="M81" s="204">
        <f t="shared" si="24"/>
        <v>108.26982526315788</v>
      </c>
      <c r="N81" s="204">
        <f t="shared" si="24"/>
        <v>77.64482526315787</v>
      </c>
      <c r="O81" s="204">
        <f t="shared" si="24"/>
        <v>39.695062105263133</v>
      </c>
      <c r="P81" s="204">
        <f t="shared" si="24"/>
        <v>5.1089463157894501</v>
      </c>
    </row>
    <row r="82" spans="1:25" x14ac:dyDescent="0.2">
      <c r="A82" s="202" t="s">
        <v>15</v>
      </c>
      <c r="B82" s="202"/>
      <c r="C82" s="202"/>
      <c r="D82" s="204">
        <f>D57</f>
        <v>313.51100000000002</v>
      </c>
      <c r="E82" s="204">
        <f t="shared" ref="E82:P82" si="25">E57</f>
        <v>276.50280000000004</v>
      </c>
      <c r="F82" s="204">
        <f t="shared" si="25"/>
        <v>244.88368500000001</v>
      </c>
      <c r="G82" s="204">
        <f t="shared" si="25"/>
        <v>217.52562675000001</v>
      </c>
      <c r="H82" s="204">
        <f t="shared" si="25"/>
        <v>193.63611978750001</v>
      </c>
      <c r="I82" s="204">
        <f t="shared" si="25"/>
        <v>172.63748036437497</v>
      </c>
      <c r="J82" s="204">
        <f t="shared" si="25"/>
        <v>154.09278412021879</v>
      </c>
      <c r="K82" s="204">
        <f t="shared" si="25"/>
        <v>137.65999480363595</v>
      </c>
      <c r="L82" s="204">
        <f t="shared" si="25"/>
        <v>123.06318809759557</v>
      </c>
      <c r="M82" s="204">
        <f t="shared" si="25"/>
        <v>110.07418937193071</v>
      </c>
      <c r="N82" s="204">
        <f t="shared" si="25"/>
        <v>98.500596241770154</v>
      </c>
      <c r="O82" s="204">
        <f t="shared" si="25"/>
        <v>88.177750794901968</v>
      </c>
      <c r="P82" s="204">
        <f t="shared" si="25"/>
        <v>78.963185110923007</v>
      </c>
    </row>
    <row r="83" spans="1:25" x14ac:dyDescent="0.2">
      <c r="A83" s="202" t="s">
        <v>269</v>
      </c>
      <c r="B83" s="202"/>
      <c r="C83" s="202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</row>
    <row r="84" spans="1:25" x14ac:dyDescent="0.2">
      <c r="A84" s="203" t="s">
        <v>270</v>
      </c>
      <c r="B84" s="202"/>
      <c r="C84" s="202"/>
      <c r="D84" s="206">
        <f>SUM(D79:D83)</f>
        <v>1121.5808171052633</v>
      </c>
      <c r="E84" s="206">
        <f>SUM(E79:E83)</f>
        <v>1193.3498371710527</v>
      </c>
      <c r="F84" s="206">
        <f>SUM(F79:F83)</f>
        <v>1244.6855016611842</v>
      </c>
      <c r="G84" s="206">
        <f t="shared" ref="G84" si="26">SUM(G79:G83)</f>
        <v>1283.9120908231907</v>
      </c>
      <c r="H84" s="206">
        <f t="shared" ref="H84" si="27">SUM(H79:H83)</f>
        <v>1328.9471773275084</v>
      </c>
      <c r="I84" s="206">
        <f t="shared" ref="I84" si="28">SUM(I79:I83)</f>
        <v>1380.2123015708573</v>
      </c>
      <c r="J84" s="206">
        <f t="shared" ref="J84" si="29">SUM(J79:J83)</f>
        <v>1440.8247660712357</v>
      </c>
      <c r="K84" s="206">
        <f t="shared" ref="K84:P84" si="30">SUM(K79:K83)</f>
        <v>1484.2098245311511</v>
      </c>
      <c r="L84" s="206">
        <f t="shared" si="30"/>
        <v>1529.9874568056971</v>
      </c>
      <c r="M84" s="206">
        <f t="shared" si="30"/>
        <v>1576.1481570748583</v>
      </c>
      <c r="N84" s="206">
        <f t="shared" si="30"/>
        <v>1624.4395685267862</v>
      </c>
      <c r="O84" s="206">
        <f t="shared" si="30"/>
        <v>1673.4372089792262</v>
      </c>
      <c r="P84" s="206">
        <f t="shared" si="30"/>
        <v>1734.2902856864475</v>
      </c>
    </row>
    <row r="85" spans="1:25" x14ac:dyDescent="0.2">
      <c r="A85" s="199"/>
      <c r="B85" s="198"/>
      <c r="C85" s="198"/>
      <c r="D85" s="198"/>
      <c r="E85" s="200"/>
      <c r="F85" s="200"/>
      <c r="G85" s="200"/>
      <c r="H85" s="200"/>
      <c r="I85" s="200"/>
      <c r="J85" s="200"/>
      <c r="K85" s="198"/>
      <c r="L85" s="198"/>
      <c r="M85" s="198"/>
      <c r="N85" s="198"/>
      <c r="O85" s="198"/>
      <c r="P85" s="198"/>
    </row>
    <row r="86" spans="1:25" x14ac:dyDescent="0.2">
      <c r="A86" s="199"/>
      <c r="B86" s="198"/>
      <c r="C86" s="198"/>
      <c r="D86" s="198"/>
      <c r="E86" s="200"/>
      <c r="F86" s="200"/>
      <c r="G86" s="200"/>
      <c r="H86" s="200"/>
      <c r="I86" s="200"/>
      <c r="J86" s="200"/>
      <c r="K86" s="198"/>
      <c r="L86" s="198"/>
      <c r="M86" s="198"/>
      <c r="N86" s="198"/>
      <c r="O86" s="198"/>
      <c r="P86" s="198"/>
    </row>
    <row r="87" spans="1:25" x14ac:dyDescent="0.2">
      <c r="A87" s="199"/>
      <c r="B87" s="198"/>
      <c r="C87" s="198"/>
      <c r="D87" s="198"/>
      <c r="E87" s="200"/>
      <c r="F87" s="200"/>
      <c r="G87" s="200"/>
      <c r="H87" s="201"/>
      <c r="I87" s="200"/>
      <c r="J87" s="200"/>
      <c r="K87" s="198"/>
      <c r="L87" s="198"/>
      <c r="M87" s="198"/>
      <c r="N87" s="198"/>
      <c r="O87" s="198"/>
      <c r="P87" s="198"/>
    </row>
    <row r="88" spans="1:25" x14ac:dyDescent="0.2">
      <c r="A88" s="202" t="s">
        <v>271</v>
      </c>
      <c r="B88" s="202"/>
      <c r="C88" s="202"/>
      <c r="D88" s="204">
        <f>D76-D84</f>
        <v>-229.6408171052633</v>
      </c>
      <c r="E88" s="204">
        <f t="shared" ref="E88:P88" si="31">E76-E84</f>
        <v>-86.099837171052741</v>
      </c>
      <c r="F88" s="204">
        <f>F76-F84</f>
        <v>17.564498338815838</v>
      </c>
      <c r="G88" s="204">
        <f t="shared" si="31"/>
        <v>91.107909176809244</v>
      </c>
      <c r="H88" s="204">
        <f t="shared" si="31"/>
        <v>166.98282267249169</v>
      </c>
      <c r="I88" s="204">
        <f t="shared" si="31"/>
        <v>245.26769842914268</v>
      </c>
      <c r="J88" s="204">
        <f t="shared" si="31"/>
        <v>323.42523392876433</v>
      </c>
      <c r="K88" s="204">
        <f t="shared" si="31"/>
        <v>368.25017546884897</v>
      </c>
      <c r="L88" s="204">
        <f t="shared" si="31"/>
        <v>415.10254319430283</v>
      </c>
      <c r="M88" s="204">
        <f t="shared" si="31"/>
        <v>466.1918429251416</v>
      </c>
      <c r="N88" s="204">
        <f t="shared" si="31"/>
        <v>520.01043147321366</v>
      </c>
      <c r="O88" s="204">
        <f t="shared" si="31"/>
        <v>578.24279102077367</v>
      </c>
      <c r="P88" s="204">
        <f t="shared" si="31"/>
        <v>629.96971431355269</v>
      </c>
    </row>
    <row r="89" spans="1:25" ht="15" x14ac:dyDescent="0.25">
      <c r="A89" s="202" t="s">
        <v>23</v>
      </c>
      <c r="B89" s="202"/>
      <c r="C89" s="207">
        <v>0.3</v>
      </c>
      <c r="D89" s="204">
        <f>IF(D88&gt;0,D88*$E$919,0)</f>
        <v>0</v>
      </c>
      <c r="E89" s="204">
        <v>0</v>
      </c>
      <c r="F89" s="204">
        <v>0</v>
      </c>
      <c r="G89" s="204">
        <v>0</v>
      </c>
      <c r="H89" s="204">
        <v>0</v>
      </c>
      <c r="I89" s="204">
        <f>+(I88+H88+G88+F88+E88+D88)*$C$89</f>
        <v>61.554682302283027</v>
      </c>
      <c r="J89" s="204">
        <f>J88*$C$89</f>
        <v>97.02757017862929</v>
      </c>
      <c r="K89" s="204">
        <f t="shared" ref="K89:P89" si="32">K88*$C$89</f>
        <v>110.47505264065468</v>
      </c>
      <c r="L89" s="204">
        <f t="shared" si="32"/>
        <v>124.53076295829084</v>
      </c>
      <c r="M89" s="204">
        <f t="shared" si="32"/>
        <v>139.85755287754247</v>
      </c>
      <c r="N89" s="204">
        <f t="shared" si="32"/>
        <v>156.00312944196409</v>
      </c>
      <c r="O89" s="204">
        <f t="shared" si="32"/>
        <v>173.47283730623209</v>
      </c>
      <c r="P89" s="204">
        <f t="shared" si="32"/>
        <v>188.99091429406579</v>
      </c>
    </row>
    <row r="90" spans="1:25" x14ac:dyDescent="0.2">
      <c r="A90" s="202" t="s">
        <v>272</v>
      </c>
      <c r="B90" s="202"/>
      <c r="C90" s="202"/>
      <c r="D90" s="204">
        <f>D88-D89</f>
        <v>-229.6408171052633</v>
      </c>
      <c r="E90" s="204">
        <f>E88-E89</f>
        <v>-86.099837171052741</v>
      </c>
      <c r="F90" s="204">
        <f t="shared" ref="F90:P90" si="33">F88-F89</f>
        <v>17.564498338815838</v>
      </c>
      <c r="G90" s="204">
        <f t="shared" si="33"/>
        <v>91.107909176809244</v>
      </c>
      <c r="H90" s="204">
        <f t="shared" si="33"/>
        <v>166.98282267249169</v>
      </c>
      <c r="I90" s="204">
        <f t="shared" si="33"/>
        <v>183.71301612685966</v>
      </c>
      <c r="J90" s="204">
        <f t="shared" si="33"/>
        <v>226.39766375013505</v>
      </c>
      <c r="K90" s="204">
        <f t="shared" si="33"/>
        <v>257.7751228281943</v>
      </c>
      <c r="L90" s="204">
        <f t="shared" si="33"/>
        <v>290.57178023601199</v>
      </c>
      <c r="M90" s="204">
        <f t="shared" si="33"/>
        <v>326.3342900475991</v>
      </c>
      <c r="N90" s="204">
        <f t="shared" si="33"/>
        <v>364.00730203124954</v>
      </c>
      <c r="O90" s="204">
        <f t="shared" si="33"/>
        <v>404.76995371454154</v>
      </c>
      <c r="P90" s="204">
        <f t="shared" si="33"/>
        <v>440.97880001948693</v>
      </c>
    </row>
    <row r="91" spans="1:25" x14ac:dyDescent="0.2">
      <c r="A91" s="202" t="s">
        <v>273</v>
      </c>
      <c r="B91" s="202"/>
      <c r="C91" s="202"/>
      <c r="D91" s="204">
        <f>D90+D82+D83</f>
        <v>83.870182894736729</v>
      </c>
      <c r="E91" s="204">
        <f t="shared" ref="E91:P91" si="34">E90+E82+E83</f>
        <v>190.4029628289473</v>
      </c>
      <c r="F91" s="204">
        <f t="shared" si="34"/>
        <v>262.44818333881585</v>
      </c>
      <c r="G91" s="204">
        <f t="shared" si="34"/>
        <v>308.63353592680926</v>
      </c>
      <c r="H91" s="204">
        <f t="shared" si="34"/>
        <v>360.61894245999167</v>
      </c>
      <c r="I91" s="204">
        <f t="shared" si="34"/>
        <v>356.35049649123459</v>
      </c>
      <c r="J91" s="204">
        <f t="shared" si="34"/>
        <v>380.49044787035382</v>
      </c>
      <c r="K91" s="204">
        <f t="shared" si="34"/>
        <v>395.43511763183028</v>
      </c>
      <c r="L91" s="204">
        <f t="shared" si="34"/>
        <v>413.63496833360756</v>
      </c>
      <c r="M91" s="204">
        <f t="shared" si="34"/>
        <v>436.40847941952984</v>
      </c>
      <c r="N91" s="204">
        <f t="shared" si="34"/>
        <v>462.50789827301969</v>
      </c>
      <c r="O91" s="204">
        <f t="shared" si="34"/>
        <v>492.9477045094435</v>
      </c>
      <c r="P91" s="204">
        <f t="shared" si="34"/>
        <v>519.94198513040988</v>
      </c>
      <c r="Q91" s="251">
        <f>SUM(D91:P91)</f>
        <v>4663.6909051087296</v>
      </c>
    </row>
    <row r="92" spans="1:25" x14ac:dyDescent="0.2">
      <c r="A92" s="202" t="s">
        <v>274</v>
      </c>
      <c r="B92" s="202"/>
      <c r="C92" s="202"/>
      <c r="D92" s="204">
        <f>+D81</f>
        <v>220.36184210526321</v>
      </c>
      <c r="E92" s="204">
        <f t="shared" ref="E92:P92" si="35">+E81</f>
        <v>214.69736842105266</v>
      </c>
      <c r="F92" s="204">
        <f t="shared" si="35"/>
        <v>208.06578947368422</v>
      </c>
      <c r="G92" s="204">
        <f t="shared" si="35"/>
        <v>201.43421052631578</v>
      </c>
      <c r="H92" s="204">
        <f t="shared" si="35"/>
        <v>191.21052631578948</v>
      </c>
      <c r="I92" s="204">
        <f t="shared" si="35"/>
        <v>177.94736842105263</v>
      </c>
      <c r="J92" s="204">
        <f t="shared" si="35"/>
        <v>164.68421052631578</v>
      </c>
      <c r="K92" s="204">
        <f t="shared" si="35"/>
        <v>151.42105263157896</v>
      </c>
      <c r="L92" s="204">
        <f t="shared" si="35"/>
        <v>133.36846894736843</v>
      </c>
      <c r="M92" s="204">
        <f t="shared" si="35"/>
        <v>108.26982526315788</v>
      </c>
      <c r="N92" s="204">
        <f t="shared" si="35"/>
        <v>77.64482526315787</v>
      </c>
      <c r="O92" s="204">
        <f t="shared" si="35"/>
        <v>39.695062105263133</v>
      </c>
      <c r="P92" s="204">
        <f t="shared" si="35"/>
        <v>5.1089463157894501</v>
      </c>
      <c r="Q92" s="251">
        <f>SUM(D92:P92)</f>
        <v>1893.9094963157895</v>
      </c>
    </row>
    <row r="93" spans="1:25" x14ac:dyDescent="0.2">
      <c r="A93" s="202" t="s">
        <v>275</v>
      </c>
      <c r="B93" s="202"/>
      <c r="C93" s="202"/>
      <c r="D93" s="204">
        <f>'Debt Schedule '!E238</f>
        <v>25</v>
      </c>
      <c r="E93" s="204">
        <f>'Debt Schedule '!F238</f>
        <v>60</v>
      </c>
      <c r="F93" s="204">
        <f>'Debt Schedule '!G238</f>
        <v>60</v>
      </c>
      <c r="G93" s="204">
        <f>'Debt Schedule '!H238</f>
        <v>60</v>
      </c>
      <c r="H93" s="204">
        <f>'Debt Schedule '!I238</f>
        <v>120</v>
      </c>
      <c r="I93" s="204">
        <f>'Debt Schedule '!J238</f>
        <v>120</v>
      </c>
      <c r="J93" s="204">
        <f>'Debt Schedule '!K238</f>
        <v>120</v>
      </c>
      <c r="K93" s="204">
        <f>'Debt Schedule '!L238</f>
        <v>120</v>
      </c>
      <c r="L93" s="204">
        <f>'Debt Schedule '!M238</f>
        <v>199.99919999999995</v>
      </c>
      <c r="M93" s="204">
        <f>'Debt Schedule '!N238</f>
        <v>250.00000000000003</v>
      </c>
      <c r="N93" s="204">
        <f>'Debt Schedule '!O238</f>
        <v>300</v>
      </c>
      <c r="O93" s="204">
        <f>'Debt Schedule '!P238</f>
        <v>380.00000000000011</v>
      </c>
      <c r="P93" s="204">
        <f>'Debt Schedule '!Q238</f>
        <v>185.00000000000003</v>
      </c>
      <c r="Q93" s="251">
        <f>SUM(D93:P93)</f>
        <v>1999.9992000000002</v>
      </c>
    </row>
    <row r="94" spans="1:25" x14ac:dyDescent="0.2">
      <c r="A94" s="203" t="s">
        <v>170</v>
      </c>
      <c r="B94" s="203"/>
      <c r="C94" s="203"/>
      <c r="D94" s="206">
        <f>(D91+D92)/(D92+D93)</f>
        <v>1.239932103499128</v>
      </c>
      <c r="E94" s="206">
        <f t="shared" ref="E94:P94" si="36">(E91+E92)/(E92+E93)</f>
        <v>1.4747150057479519</v>
      </c>
      <c r="F94" s="206">
        <f t="shared" si="36"/>
        <v>1.7552182758430277</v>
      </c>
      <c r="G94" s="206">
        <f t="shared" si="36"/>
        <v>1.9510367270842772</v>
      </c>
      <c r="H94" s="206">
        <f t="shared" si="36"/>
        <v>1.773170963426322</v>
      </c>
      <c r="I94" s="206">
        <f t="shared" si="36"/>
        <v>1.7932625743390669</v>
      </c>
      <c r="J94" s="206">
        <f t="shared" si="36"/>
        <v>1.9150154389973606</v>
      </c>
      <c r="K94" s="206">
        <f t="shared" si="36"/>
        <v>2.0147890701967763</v>
      </c>
      <c r="L94" s="206">
        <f t="shared" si="36"/>
        <v>1.6408412939628412</v>
      </c>
      <c r="M94" s="206">
        <f t="shared" si="36"/>
        <v>1.5203019240668905</v>
      </c>
      <c r="N94" s="206">
        <f t="shared" si="36"/>
        <v>1.4303194096722434</v>
      </c>
      <c r="O94" s="206">
        <f t="shared" si="36"/>
        <v>1.2691184974702301</v>
      </c>
      <c r="P94" s="206">
        <f t="shared" si="36"/>
        <v>2.7618423100091176</v>
      </c>
    </row>
    <row r="95" spans="1:25" x14ac:dyDescent="0.2">
      <c r="A95" s="208" t="s">
        <v>278</v>
      </c>
      <c r="B95" s="209"/>
      <c r="C95" s="209"/>
      <c r="D95" s="210">
        <f>+(Q91+Q92)/(Q92+Q93)</f>
        <v>1.6840662976070737</v>
      </c>
    </row>
    <row r="96" spans="1:25" x14ac:dyDescent="0.2"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R96" s="251"/>
      <c r="S96" s="251"/>
      <c r="T96" s="251"/>
      <c r="U96" s="251"/>
      <c r="V96" s="251"/>
      <c r="W96" s="251"/>
      <c r="X96" s="251"/>
      <c r="Y96" s="251"/>
    </row>
    <row r="97" spans="1:17" ht="15.75" x14ac:dyDescent="0.2">
      <c r="A97" s="461" t="s">
        <v>462</v>
      </c>
      <c r="B97" s="462"/>
      <c r="C97" s="462"/>
      <c r="D97" s="462"/>
      <c r="E97" s="462"/>
      <c r="F97" s="462"/>
      <c r="G97" s="462"/>
      <c r="H97" s="462"/>
      <c r="I97" s="462"/>
      <c r="J97" s="462"/>
      <c r="K97" s="462"/>
      <c r="L97" s="346"/>
      <c r="M97" s="346"/>
      <c r="N97" s="346"/>
      <c r="O97" s="346"/>
      <c r="P97" s="346"/>
    </row>
    <row r="98" spans="1:17" x14ac:dyDescent="0.2">
      <c r="A98" s="380" t="s">
        <v>265</v>
      </c>
      <c r="B98" s="380"/>
      <c r="C98" s="380"/>
      <c r="D98" s="380" t="s">
        <v>133</v>
      </c>
      <c r="E98" s="380" t="s">
        <v>134</v>
      </c>
      <c r="F98" s="380" t="s">
        <v>135</v>
      </c>
      <c r="G98" s="380" t="s">
        <v>136</v>
      </c>
      <c r="H98" s="380" t="s">
        <v>137</v>
      </c>
      <c r="I98" s="380" t="s">
        <v>138</v>
      </c>
      <c r="J98" s="380" t="s">
        <v>139</v>
      </c>
      <c r="K98" s="380" t="s">
        <v>376</v>
      </c>
      <c r="L98" s="380" t="s">
        <v>377</v>
      </c>
      <c r="M98" s="380" t="s">
        <v>378</v>
      </c>
      <c r="N98" s="380" t="s">
        <v>379</v>
      </c>
      <c r="O98" s="380" t="s">
        <v>380</v>
      </c>
      <c r="P98" s="380" t="s">
        <v>426</v>
      </c>
    </row>
    <row r="99" spans="1:17" x14ac:dyDescent="0.2">
      <c r="A99" s="203" t="s">
        <v>266</v>
      </c>
      <c r="B99" s="198"/>
      <c r="C99" s="198"/>
      <c r="D99" s="200"/>
      <c r="E99" s="201"/>
      <c r="F99" s="200"/>
      <c r="G99" s="200"/>
      <c r="H99" s="200"/>
      <c r="I99" s="200"/>
      <c r="J99" s="198"/>
    </row>
    <row r="100" spans="1:17" x14ac:dyDescent="0.2">
      <c r="A100" s="133" t="s">
        <v>277</v>
      </c>
      <c r="B100" s="202"/>
      <c r="C100" s="202"/>
      <c r="D100" s="253">
        <f>Profitability!G10-5%</f>
        <v>0.34</v>
      </c>
      <c r="E100" s="253">
        <f>Profitability!H10-5%</f>
        <v>0.4</v>
      </c>
      <c r="F100" s="253">
        <f>Profitability!I10-5%</f>
        <v>0.42</v>
      </c>
      <c r="G100" s="253">
        <f>Profitability!J10-5%</f>
        <v>0.44</v>
      </c>
      <c r="H100" s="253">
        <f>Profitability!K10-5%</f>
        <v>0.46</v>
      </c>
      <c r="I100" s="253">
        <f>Profitability!L10-5%</f>
        <v>0.48000000000000004</v>
      </c>
      <c r="J100" s="253">
        <f>Profitability!M10-5%</f>
        <v>0.5</v>
      </c>
      <c r="K100" s="253">
        <f>Profitability!N10-5%</f>
        <v>0.5</v>
      </c>
      <c r="L100" s="253">
        <f>Profitability!O10-5%</f>
        <v>0.5</v>
      </c>
      <c r="M100" s="253">
        <f>Profitability!P10-5%</f>
        <v>0.5</v>
      </c>
      <c r="N100" s="253">
        <f>Profitability!Q10-5%</f>
        <v>0.5</v>
      </c>
      <c r="O100" s="253">
        <f>Profitability!R10-5%</f>
        <v>0.5</v>
      </c>
      <c r="P100" s="253">
        <f>Profitability!S10-5%</f>
        <v>0.5</v>
      </c>
    </row>
    <row r="101" spans="1:17" x14ac:dyDescent="0.2">
      <c r="A101" s="202" t="s">
        <v>276</v>
      </c>
      <c r="B101" s="202"/>
      <c r="C101" s="202"/>
      <c r="D101" s="202">
        <f>+'working '!H22</f>
        <v>783.21</v>
      </c>
      <c r="E101" s="202">
        <f>+'working '!I22</f>
        <v>988.02</v>
      </c>
      <c r="F101" s="202">
        <f>+'working '!J22</f>
        <v>1131.5</v>
      </c>
      <c r="G101" s="202">
        <f>+'working '!K22</f>
        <v>1237.73</v>
      </c>
      <c r="H101" s="202">
        <f>+'working '!L22</f>
        <v>1351.76</v>
      </c>
      <c r="I101" s="202">
        <f>+'working '!M22</f>
        <v>1474.11</v>
      </c>
      <c r="J101" s="202">
        <f>+'working '!N22</f>
        <v>1605.3</v>
      </c>
      <c r="K101" s="202">
        <f>+'working '!O22</f>
        <v>1685.58</v>
      </c>
      <c r="L101" s="202">
        <f>+'working '!P22</f>
        <v>1769.86</v>
      </c>
      <c r="M101" s="202">
        <f>+'working '!Q22</f>
        <v>1858.35</v>
      </c>
      <c r="N101" s="202">
        <f>+'working '!R22</f>
        <v>1951.27</v>
      </c>
      <c r="O101" s="202">
        <f>+'working '!S22</f>
        <v>2048.83</v>
      </c>
      <c r="P101" s="202">
        <f>+'working '!T22</f>
        <v>2151.27</v>
      </c>
      <c r="Q101">
        <f>SUM(D101:P101)</f>
        <v>20036.79</v>
      </c>
    </row>
    <row r="102" spans="1:17" x14ac:dyDescent="0.2">
      <c r="A102" s="198"/>
      <c r="B102" s="198"/>
      <c r="C102" s="198"/>
      <c r="D102" s="200"/>
      <c r="E102" s="201"/>
      <c r="F102" s="200"/>
      <c r="G102" s="200"/>
      <c r="H102" s="200"/>
      <c r="I102" s="200"/>
      <c r="J102" s="198"/>
      <c r="K102" s="200"/>
      <c r="L102" s="200"/>
      <c r="M102" s="200"/>
      <c r="N102" s="200"/>
      <c r="O102" s="200"/>
      <c r="P102" s="200"/>
    </row>
    <row r="103" spans="1:17" x14ac:dyDescent="0.2">
      <c r="A103" s="203" t="s">
        <v>267</v>
      </c>
      <c r="B103" s="202"/>
      <c r="C103" s="198"/>
      <c r="D103" s="200"/>
      <c r="E103" s="201"/>
      <c r="F103" s="200"/>
      <c r="G103" s="200"/>
      <c r="H103" s="200"/>
      <c r="I103" s="200"/>
      <c r="J103" s="198"/>
      <c r="K103" s="200"/>
      <c r="L103" s="200"/>
      <c r="M103" s="200"/>
      <c r="N103" s="200"/>
      <c r="O103" s="200"/>
      <c r="P103" s="200"/>
    </row>
    <row r="104" spans="1:17" x14ac:dyDescent="0.2">
      <c r="A104" s="202" t="s">
        <v>282</v>
      </c>
      <c r="B104" s="202"/>
      <c r="C104" s="202"/>
      <c r="D104" s="204">
        <f>+SUM('working '!H24:H29)+0.5*(SUM('working '!H30:H33))+'working '!H36</f>
        <v>433.93570000000005</v>
      </c>
      <c r="E104" s="204">
        <f>+SUM('working '!I24:I29)+0.5*(SUM('working '!I30:I33))+'working '!I36</f>
        <v>532.56886249999991</v>
      </c>
      <c r="F104" s="204">
        <f>+SUM('working '!J24:J29)+0.5*(SUM('working '!J30:J33))+'working '!J36</f>
        <v>605.1901006249999</v>
      </c>
      <c r="G104" s="204">
        <f>+SUM('working '!K24:K29)+0.5*(SUM('working '!K30:K33))+'working '!K36</f>
        <v>662.69955565624991</v>
      </c>
      <c r="H104" s="204">
        <f>+SUM('working '!L24:L29)+0.5*(SUM('working '!L30:L33))+'working '!L36</f>
        <v>724.73027593906249</v>
      </c>
      <c r="I104" s="204">
        <f>+SUM('working '!M24:M29)+0.5*(SUM('working '!M30:M33))+'working '!M36</f>
        <v>791.5864247360156</v>
      </c>
      <c r="J104" s="204">
        <f>+SUM('working '!N24:N29)+0.5*(SUM('working '!N30:N33))+'working '!N36</f>
        <v>863.68404847281647</v>
      </c>
      <c r="K104" s="204">
        <f>+SUM('working '!O24:O29)+0.5*(SUM('working '!O30:O33))+'working '!O36</f>
        <v>914.8833563964572</v>
      </c>
      <c r="L104" s="204">
        <f>+SUM('working '!P24:P29)+0.5*(SUM('working '!P30:P33))+'working '!P36</f>
        <v>969.45351276628014</v>
      </c>
      <c r="M104" s="204">
        <f>+SUM('working '!Q24:Q29)+0.5*(SUM('working '!Q30:Q33))+'working '!Q36</f>
        <v>1027.630492809594</v>
      </c>
      <c r="N104" s="204">
        <f>+SUM('working '!R24:R29)+0.5*(SUM('working '!R30:R33))+'working '!R36</f>
        <v>1089.6908037955736</v>
      </c>
      <c r="O104" s="204">
        <f>+SUM('working '!S24:S29)+0.5*(SUM('working '!S30:S33))+'working '!S36</f>
        <v>1155.9125727154023</v>
      </c>
      <c r="P104" s="204">
        <f>+SUM('working '!T24:T29)+0.5*(SUM('working '!T30:T33))+'working '!T36</f>
        <v>1226.6274522042277</v>
      </c>
    </row>
    <row r="105" spans="1:17" x14ac:dyDescent="0.2">
      <c r="A105" s="202" t="s">
        <v>283</v>
      </c>
      <c r="B105" s="202"/>
      <c r="C105" s="202"/>
      <c r="D105" s="204">
        <f>+SUM('working '!H30:H33)*0.5+'working '!H35</f>
        <v>96.444450000000003</v>
      </c>
      <c r="E105" s="204">
        <f>+SUM('working '!I30:I33)*0.5+'working '!I35</f>
        <v>106.72510000000001</v>
      </c>
      <c r="F105" s="204">
        <f>+SUM('working '!J30:J33)*0.5+'working '!J35</f>
        <v>117.6225</v>
      </c>
      <c r="G105" s="204">
        <f>+SUM('working '!K30:K33)*0.5+'working '!K35</f>
        <v>129.35065</v>
      </c>
      <c r="H105" s="204">
        <f>+SUM('working '!L30:L33)*0.5+'working '!L35</f>
        <v>142.238</v>
      </c>
      <c r="I105" s="204">
        <f>+SUM('working '!M30:M33)*0.5+'working '!M35</f>
        <v>156.39667</v>
      </c>
      <c r="J105" s="204">
        <f>+SUM('working '!N30:N33)*0.5+'working '!N35</f>
        <v>171.96023200000002</v>
      </c>
      <c r="K105" s="204">
        <f>+SUM('working '!O30:O33)*0.5+'working '!O35</f>
        <v>188.7525052</v>
      </c>
      <c r="L105" s="204">
        <f>+SUM('working '!P30:P33)*0.5+'working '!P35</f>
        <v>207.20736572000001</v>
      </c>
      <c r="M105" s="204">
        <f>+SUM('working '!Q30:Q33)*0.5+'working '!Q35</f>
        <v>227.48712229200001</v>
      </c>
      <c r="N105" s="204">
        <f>+SUM('working '!R30:R33)*0.5+'working '!R35</f>
        <v>249.77125952119999</v>
      </c>
      <c r="O105" s="204">
        <f>+SUM('working '!S30:S33)*0.5+'working '!S35</f>
        <v>274.26155047332003</v>
      </c>
      <c r="P105" s="204">
        <f>+SUM('working '!T30:T33)*0.5+'working '!T35</f>
        <v>301.18249052065198</v>
      </c>
    </row>
    <row r="106" spans="1:17" x14ac:dyDescent="0.2">
      <c r="A106" s="202" t="s">
        <v>268</v>
      </c>
      <c r="B106" s="202"/>
      <c r="C106" s="202"/>
      <c r="D106" s="204">
        <f>+'working '!H37</f>
        <v>199.37500000000003</v>
      </c>
      <c r="E106" s="204">
        <f>+'working '!I37</f>
        <v>194.25000000000003</v>
      </c>
      <c r="F106" s="204">
        <f>+'working '!J37</f>
        <v>188.25</v>
      </c>
      <c r="G106" s="204">
        <f>+'working '!K37</f>
        <v>182.25</v>
      </c>
      <c r="H106" s="204">
        <f>+'working '!L37</f>
        <v>173</v>
      </c>
      <c r="I106" s="204">
        <f>+'working '!M37</f>
        <v>161</v>
      </c>
      <c r="J106" s="204">
        <f>+'working '!N37</f>
        <v>149</v>
      </c>
      <c r="K106" s="204">
        <f>+'working '!O37</f>
        <v>137</v>
      </c>
      <c r="L106" s="204">
        <f>+'working '!P37</f>
        <v>120.66671000000001</v>
      </c>
      <c r="M106" s="204">
        <f>+'working '!Q37</f>
        <v>97.958413333333326</v>
      </c>
      <c r="N106" s="204">
        <f>+'working '!R37</f>
        <v>70.250079999999969</v>
      </c>
      <c r="O106" s="204">
        <f>+'working '!S37</f>
        <v>35.91457999999998</v>
      </c>
      <c r="P106" s="204">
        <f>+'working '!T37</f>
        <v>4.6223799999999793</v>
      </c>
    </row>
    <row r="107" spans="1:17" x14ac:dyDescent="0.2">
      <c r="A107" s="202" t="s">
        <v>15</v>
      </c>
      <c r="B107" s="202"/>
      <c r="C107" s="202"/>
      <c r="D107" s="204">
        <f>+'working '!H34</f>
        <v>313.44350000000003</v>
      </c>
      <c r="E107" s="204">
        <f>+'working '!I34</f>
        <v>277.56232499999999</v>
      </c>
      <c r="F107" s="204">
        <f>+'working '!J34</f>
        <v>246.53569125000001</v>
      </c>
      <c r="G107" s="204">
        <f>+'working '!K34</f>
        <v>219.4538210625</v>
      </c>
      <c r="H107" s="204">
        <f>+'working '!L34</f>
        <v>195.655307053125</v>
      </c>
      <c r="I107" s="204">
        <f>+'working '!M34</f>
        <v>174.64116863015627</v>
      </c>
      <c r="J107" s="204">
        <f>+'working '!N34</f>
        <v>156.02166784713279</v>
      </c>
      <c r="K107" s="204">
        <f>+'working '!O34</f>
        <v>139.4829843144129</v>
      </c>
      <c r="L107" s="204">
        <f>+'working '!P34</f>
        <v>124.76598239756595</v>
      </c>
      <c r="M107" s="204">
        <f>+'working '!Q34</f>
        <v>111.65238764545455</v>
      </c>
      <c r="N107" s="204">
        <f>+'working '!R34</f>
        <v>99.955542715551516</v>
      </c>
      <c r="O107" s="204">
        <f>+'working '!S34</f>
        <v>89.51402772552882</v>
      </c>
      <c r="P107" s="204">
        <f>+'working '!T34</f>
        <v>80.187101055530363</v>
      </c>
    </row>
    <row r="108" spans="1:17" x14ac:dyDescent="0.2">
      <c r="A108" s="202" t="s">
        <v>269</v>
      </c>
      <c r="B108" s="202"/>
      <c r="C108" s="202"/>
      <c r="D108" s="204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</row>
    <row r="109" spans="1:17" x14ac:dyDescent="0.2">
      <c r="A109" s="203" t="s">
        <v>270</v>
      </c>
      <c r="B109" s="202"/>
      <c r="C109" s="202"/>
      <c r="D109" s="206">
        <f t="shared" ref="D109:P109" si="37">SUM(D104:D108)</f>
        <v>1043.19865</v>
      </c>
      <c r="E109" s="206">
        <f t="shared" si="37"/>
        <v>1111.1062874999998</v>
      </c>
      <c r="F109" s="206">
        <f t="shared" si="37"/>
        <v>1157.5982918750001</v>
      </c>
      <c r="G109" s="206">
        <f t="shared" si="37"/>
        <v>1193.7540267187499</v>
      </c>
      <c r="H109" s="206">
        <f t="shared" si="37"/>
        <v>1235.6235829921875</v>
      </c>
      <c r="I109" s="206">
        <f t="shared" si="37"/>
        <v>1283.6242633661718</v>
      </c>
      <c r="J109" s="206">
        <f t="shared" si="37"/>
        <v>1340.6659483199492</v>
      </c>
      <c r="K109" s="206">
        <f t="shared" si="37"/>
        <v>1380.1188459108703</v>
      </c>
      <c r="L109" s="206">
        <f t="shared" si="37"/>
        <v>1422.093570883846</v>
      </c>
      <c r="M109" s="206">
        <f t="shared" si="37"/>
        <v>1464.728416080382</v>
      </c>
      <c r="N109" s="206">
        <f t="shared" si="37"/>
        <v>1509.667686032325</v>
      </c>
      <c r="O109" s="206">
        <f t="shared" si="37"/>
        <v>1555.6027309142512</v>
      </c>
      <c r="P109" s="206">
        <f t="shared" si="37"/>
        <v>1612.61942378041</v>
      </c>
      <c r="Q109" s="251">
        <f>SUM(D109:P109)</f>
        <v>17310.40172437414</v>
      </c>
    </row>
    <row r="110" spans="1:17" x14ac:dyDescent="0.2">
      <c r="A110" s="199"/>
      <c r="B110" s="198"/>
      <c r="C110" s="198"/>
      <c r="D110" s="198"/>
      <c r="E110" s="200"/>
      <c r="F110" s="200"/>
      <c r="G110" s="200"/>
      <c r="H110" s="201"/>
      <c r="I110" s="200"/>
      <c r="J110" s="200"/>
      <c r="K110" s="198"/>
      <c r="L110" s="198"/>
      <c r="M110" s="198"/>
      <c r="N110" s="198"/>
      <c r="O110" s="198"/>
      <c r="P110" s="198"/>
    </row>
    <row r="111" spans="1:17" x14ac:dyDescent="0.2">
      <c r="A111" s="202" t="s">
        <v>271</v>
      </c>
      <c r="B111" s="202"/>
      <c r="C111" s="202"/>
      <c r="D111" s="204">
        <f t="shared" ref="D111:N111" si="38">D101-D109</f>
        <v>-259.98865000000001</v>
      </c>
      <c r="E111" s="204">
        <f t="shared" si="38"/>
        <v>-123.0862874999998</v>
      </c>
      <c r="F111" s="204">
        <f t="shared" si="38"/>
        <v>-26.098291875000086</v>
      </c>
      <c r="G111" s="204">
        <f t="shared" si="38"/>
        <v>43.975973281250162</v>
      </c>
      <c r="H111" s="204">
        <f t="shared" si="38"/>
        <v>116.1364170078125</v>
      </c>
      <c r="I111" s="204">
        <f t="shared" si="38"/>
        <v>190.48573663382808</v>
      </c>
      <c r="J111" s="204">
        <f t="shared" si="38"/>
        <v>264.63405168005079</v>
      </c>
      <c r="K111" s="204">
        <f t="shared" si="38"/>
        <v>305.46115408912965</v>
      </c>
      <c r="L111" s="204">
        <f t="shared" si="38"/>
        <v>347.76642911615386</v>
      </c>
      <c r="M111" s="204">
        <f t="shared" si="38"/>
        <v>393.62158391961793</v>
      </c>
      <c r="N111" s="204">
        <f t="shared" si="38"/>
        <v>441.60231396767495</v>
      </c>
      <c r="O111" s="204">
        <f>O101-O109</f>
        <v>493.22726908574873</v>
      </c>
      <c r="P111" s="204">
        <f>P101-P109</f>
        <v>538.65057621958999</v>
      </c>
      <c r="Q111" s="251">
        <f>SUM(D111:P111)</f>
        <v>2726.3882756258572</v>
      </c>
    </row>
    <row r="112" spans="1:17" ht="15" x14ac:dyDescent="0.25">
      <c r="A112" s="202" t="s">
        <v>23</v>
      </c>
      <c r="B112" s="202"/>
      <c r="C112" s="376">
        <v>0.3</v>
      </c>
      <c r="D112" s="204">
        <f>IF(D111&gt;0,D111*$E$919,0)</f>
        <v>0</v>
      </c>
      <c r="E112" s="204">
        <v>0</v>
      </c>
      <c r="F112" s="204">
        <v>0</v>
      </c>
      <c r="G112" s="204">
        <v>0</v>
      </c>
      <c r="H112" s="204">
        <v>0</v>
      </c>
      <c r="I112" s="204">
        <v>0</v>
      </c>
      <c r="J112" s="204">
        <f>+SUM(D111:J111)*$C$112</f>
        <v>61.817684768382492</v>
      </c>
      <c r="K112" s="204">
        <f>K111*$C$112</f>
        <v>91.638346226738889</v>
      </c>
      <c r="L112" s="204">
        <f t="shared" ref="L112:P112" si="39">L111*$C$112</f>
        <v>104.32992873484615</v>
      </c>
      <c r="M112" s="204">
        <f t="shared" si="39"/>
        <v>118.08647517588537</v>
      </c>
      <c r="N112" s="204">
        <f t="shared" si="39"/>
        <v>132.48069419030247</v>
      </c>
      <c r="O112" s="204">
        <f t="shared" si="39"/>
        <v>147.96818072572461</v>
      </c>
      <c r="P112" s="204">
        <f t="shared" si="39"/>
        <v>161.595172865877</v>
      </c>
    </row>
    <row r="113" spans="1:25" x14ac:dyDescent="0.2">
      <c r="A113" s="202" t="s">
        <v>272</v>
      </c>
      <c r="B113" s="202"/>
      <c r="C113" s="202"/>
      <c r="D113" s="204">
        <f>D111-D112</f>
        <v>-259.98865000000001</v>
      </c>
      <c r="E113" s="204">
        <f>E111-E112</f>
        <v>-123.0862874999998</v>
      </c>
      <c r="F113" s="204">
        <f t="shared" ref="F113:P113" si="40">F111-F112</f>
        <v>-26.098291875000086</v>
      </c>
      <c r="G113" s="204">
        <f t="shared" si="40"/>
        <v>43.975973281250162</v>
      </c>
      <c r="H113" s="204">
        <f t="shared" si="40"/>
        <v>116.1364170078125</v>
      </c>
      <c r="I113" s="204">
        <f t="shared" si="40"/>
        <v>190.48573663382808</v>
      </c>
      <c r="J113" s="204">
        <f t="shared" si="40"/>
        <v>202.8163669116683</v>
      </c>
      <c r="K113" s="204">
        <f t="shared" si="40"/>
        <v>213.82280786239076</v>
      </c>
      <c r="L113" s="204">
        <f t="shared" si="40"/>
        <v>243.43650038130772</v>
      </c>
      <c r="M113" s="204">
        <f t="shared" si="40"/>
        <v>275.53510874373256</v>
      </c>
      <c r="N113" s="204">
        <f t="shared" si="40"/>
        <v>309.12161977737247</v>
      </c>
      <c r="O113" s="204">
        <f t="shared" si="40"/>
        <v>345.25908836002412</v>
      </c>
      <c r="P113" s="204">
        <f t="shared" si="40"/>
        <v>377.05540335371302</v>
      </c>
      <c r="Q113" s="251">
        <f>SUM(D113:P113)</f>
        <v>1908.4717929380997</v>
      </c>
    </row>
    <row r="114" spans="1:25" x14ac:dyDescent="0.2">
      <c r="A114" s="202" t="s">
        <v>273</v>
      </c>
      <c r="B114" s="202"/>
      <c r="C114" s="202"/>
      <c r="D114" s="204">
        <f>D113+D107+D108</f>
        <v>53.454850000000022</v>
      </c>
      <c r="E114" s="204">
        <f t="shared" ref="E114:P114" si="41">E113+E107+E108</f>
        <v>154.47603750000019</v>
      </c>
      <c r="F114" s="204">
        <f t="shared" si="41"/>
        <v>220.43739937499993</v>
      </c>
      <c r="G114" s="204">
        <f t="shared" si="41"/>
        <v>263.42979434375013</v>
      </c>
      <c r="H114" s="204">
        <f t="shared" si="41"/>
        <v>311.7917240609375</v>
      </c>
      <c r="I114" s="204">
        <f t="shared" si="41"/>
        <v>365.12690526398433</v>
      </c>
      <c r="J114" s="204">
        <f t="shared" si="41"/>
        <v>358.83803475880109</v>
      </c>
      <c r="K114" s="204">
        <f t="shared" si="41"/>
        <v>353.30579217680366</v>
      </c>
      <c r="L114" s="204">
        <f t="shared" si="41"/>
        <v>368.20248277887367</v>
      </c>
      <c r="M114" s="204">
        <f t="shared" si="41"/>
        <v>387.18749638918712</v>
      </c>
      <c r="N114" s="204">
        <f t="shared" si="41"/>
        <v>409.077162492924</v>
      </c>
      <c r="O114" s="204">
        <f t="shared" si="41"/>
        <v>434.77311608555294</v>
      </c>
      <c r="P114" s="204">
        <f t="shared" si="41"/>
        <v>457.2425044092434</v>
      </c>
      <c r="Q114" s="251">
        <f>SUM(D114:P114)</f>
        <v>4137.3432996350575</v>
      </c>
    </row>
    <row r="115" spans="1:25" x14ac:dyDescent="0.2">
      <c r="A115" s="202" t="s">
        <v>274</v>
      </c>
      <c r="B115" s="202"/>
      <c r="C115" s="202"/>
      <c r="D115" s="204">
        <f t="shared" ref="D115:P115" si="42">+D106</f>
        <v>199.37500000000003</v>
      </c>
      <c r="E115" s="204">
        <f t="shared" si="42"/>
        <v>194.25000000000003</v>
      </c>
      <c r="F115" s="204">
        <f t="shared" si="42"/>
        <v>188.25</v>
      </c>
      <c r="G115" s="204">
        <f t="shared" si="42"/>
        <v>182.25</v>
      </c>
      <c r="H115" s="204">
        <f t="shared" si="42"/>
        <v>173</v>
      </c>
      <c r="I115" s="204">
        <f t="shared" si="42"/>
        <v>161</v>
      </c>
      <c r="J115" s="204">
        <f t="shared" si="42"/>
        <v>149</v>
      </c>
      <c r="K115" s="204">
        <f t="shared" si="42"/>
        <v>137</v>
      </c>
      <c r="L115" s="204">
        <f t="shared" si="42"/>
        <v>120.66671000000001</v>
      </c>
      <c r="M115" s="204">
        <f t="shared" si="42"/>
        <v>97.958413333333326</v>
      </c>
      <c r="N115" s="204">
        <f t="shared" si="42"/>
        <v>70.250079999999969</v>
      </c>
      <c r="O115" s="204">
        <f t="shared" si="42"/>
        <v>35.91457999999998</v>
      </c>
      <c r="P115" s="204">
        <f t="shared" si="42"/>
        <v>4.6223799999999793</v>
      </c>
      <c r="Q115" s="251">
        <f>SUM(D115:P115)</f>
        <v>1713.5371633333332</v>
      </c>
    </row>
    <row r="116" spans="1:25" x14ac:dyDescent="0.2">
      <c r="A116" s="202" t="s">
        <v>275</v>
      </c>
      <c r="B116" s="202"/>
      <c r="C116" s="202"/>
      <c r="D116" s="204">
        <f>+'Debt Schedule '!E238</f>
        <v>25</v>
      </c>
      <c r="E116" s="204">
        <f>+'Debt Schedule '!F238</f>
        <v>60</v>
      </c>
      <c r="F116" s="204">
        <f>+'Debt Schedule '!G238</f>
        <v>60</v>
      </c>
      <c r="G116" s="204">
        <f>+'Debt Schedule '!H238</f>
        <v>60</v>
      </c>
      <c r="H116" s="204">
        <f>+'Debt Schedule '!I238</f>
        <v>120</v>
      </c>
      <c r="I116" s="204">
        <f>+'Debt Schedule '!J238</f>
        <v>120</v>
      </c>
      <c r="J116" s="204">
        <f>+'Debt Schedule '!K238</f>
        <v>120</v>
      </c>
      <c r="K116" s="204">
        <f>+'Debt Schedule '!L238</f>
        <v>120</v>
      </c>
      <c r="L116" s="204">
        <f>+'Debt Schedule '!M238</f>
        <v>199.99919999999995</v>
      </c>
      <c r="M116" s="204">
        <f>+'Debt Schedule '!N238</f>
        <v>250.00000000000003</v>
      </c>
      <c r="N116" s="204">
        <f>+'Debt Schedule '!O238</f>
        <v>300</v>
      </c>
      <c r="O116" s="204">
        <f>+'Debt Schedule '!P238</f>
        <v>380.00000000000011</v>
      </c>
      <c r="P116" s="204">
        <f>+'Debt Schedule '!Q238</f>
        <v>185.00000000000003</v>
      </c>
      <c r="Q116" s="251">
        <f>SUM(D116:P116)</f>
        <v>1999.9992000000002</v>
      </c>
    </row>
    <row r="117" spans="1:25" x14ac:dyDescent="0.2">
      <c r="A117" s="203" t="s">
        <v>170</v>
      </c>
      <c r="B117" s="203"/>
      <c r="C117" s="203"/>
      <c r="D117" s="206">
        <f>(D114+D115)/(D115+D116)</f>
        <v>1.1268182729805014</v>
      </c>
      <c r="E117" s="206">
        <f t="shared" ref="E117:P117" si="43">(E114+E115)/(E115+E116)</f>
        <v>1.3715871681415934</v>
      </c>
      <c r="F117" s="206">
        <f t="shared" si="43"/>
        <v>1.6462735120845919</v>
      </c>
      <c r="G117" s="206">
        <f t="shared" si="43"/>
        <v>1.8397514730392162</v>
      </c>
      <c r="H117" s="206">
        <f t="shared" si="43"/>
        <v>1.6545792630066125</v>
      </c>
      <c r="I117" s="206">
        <f t="shared" si="43"/>
        <v>1.8723377411529691</v>
      </c>
      <c r="J117" s="206">
        <f t="shared" si="43"/>
        <v>1.8878737351628294</v>
      </c>
      <c r="K117" s="206">
        <f t="shared" si="43"/>
        <v>1.9078046388202476</v>
      </c>
      <c r="L117" s="206">
        <f t="shared" si="43"/>
        <v>1.5245436996370265</v>
      </c>
      <c r="M117" s="206">
        <f t="shared" si="43"/>
        <v>1.39426405895743</v>
      </c>
      <c r="N117" s="206">
        <f t="shared" si="43"/>
        <v>1.2946040214033823</v>
      </c>
      <c r="O117" s="206">
        <f t="shared" si="43"/>
        <v>1.1316931858593484</v>
      </c>
      <c r="P117" s="206">
        <f t="shared" si="43"/>
        <v>2.4357087196629603</v>
      </c>
    </row>
    <row r="118" spans="1:25" x14ac:dyDescent="0.2">
      <c r="A118" s="377" t="s">
        <v>278</v>
      </c>
      <c r="B118" s="378"/>
      <c r="C118" s="378"/>
      <c r="D118" s="379">
        <f>+(Q114+Q115)/(Q115+Q116)</f>
        <v>1.5755549133000923</v>
      </c>
    </row>
    <row r="119" spans="1:25" x14ac:dyDescent="0.2">
      <c r="R119" s="251"/>
      <c r="S119" s="251"/>
      <c r="T119" s="251"/>
      <c r="U119" s="251"/>
      <c r="V119" s="251"/>
      <c r="W119" s="251"/>
      <c r="X119" s="251"/>
      <c r="Y119" s="251"/>
    </row>
  </sheetData>
  <mergeCells count="5">
    <mergeCell ref="A97:K97"/>
    <mergeCell ref="A21:K21"/>
    <mergeCell ref="A47:K47"/>
    <mergeCell ref="A72:K72"/>
    <mergeCell ref="A1:P1"/>
  </mergeCells>
  <phoneticPr fontId="28" type="noConversion"/>
  <pageMargins left="0.7" right="0.7" top="0.75" bottom="0.75" header="0.3" footer="0.3"/>
  <pageSetup scale="68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view="pageBreakPreview" topLeftCell="C1" zoomScaleNormal="100" zoomScaleSheetLayoutView="100" workbookViewId="0">
      <selection activeCell="U41" sqref="U41"/>
    </sheetView>
  </sheetViews>
  <sheetFormatPr defaultColWidth="9.140625" defaultRowHeight="15" x14ac:dyDescent="0.25"/>
  <cols>
    <col min="1" max="1" width="70" style="10" customWidth="1"/>
    <col min="2" max="2" width="29.85546875" style="10" customWidth="1"/>
    <col min="3" max="3" width="9.140625" style="10"/>
    <col min="4" max="7" width="8.140625" style="10" bestFit="1" customWidth="1"/>
    <col min="8" max="11" width="12.28515625" style="10" bestFit="1" customWidth="1"/>
    <col min="12" max="13" width="12.7109375" style="10" bestFit="1" customWidth="1"/>
    <col min="14" max="14" width="15.28515625" style="10" bestFit="1" customWidth="1"/>
    <col min="15" max="15" width="11.7109375" style="10" customWidth="1"/>
    <col min="16" max="20" width="11" style="10" bestFit="1" customWidth="1"/>
    <col min="21" max="21" width="10.5703125" style="10" bestFit="1" customWidth="1"/>
    <col min="22" max="16384" width="9.140625" style="10"/>
  </cols>
  <sheetData>
    <row r="1" spans="1:21" x14ac:dyDescent="0.25">
      <c r="A1" s="399" t="str">
        <f>Estimation!A1</f>
        <v>Vaayu Suites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0" t="s">
        <v>131</v>
      </c>
      <c r="T1" s="194" t="s">
        <v>429</v>
      </c>
    </row>
    <row r="2" spans="1:21" x14ac:dyDescent="0.25">
      <c r="A2" s="437" t="str">
        <f>+Estimation!A2</f>
        <v>LAND IS SITUATED AT KHASARA NO. 579/546, REVENUE VILLAGE-SENA, TEHSIL-BALI, DISTRICT-PALI, RAJASTHAN, HAVING TOTAL AREA OF 32800 SQUARE METERS.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</row>
    <row r="3" spans="1:21" x14ac:dyDescent="0.25">
      <c r="A3" s="401" t="s">
        <v>94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55" t="s">
        <v>91</v>
      </c>
      <c r="O3" s="13"/>
      <c r="P3" s="10">
        <f>Cost!D1</f>
        <v>0</v>
      </c>
    </row>
    <row r="4" spans="1:21" ht="30" customHeight="1" x14ac:dyDescent="0.25">
      <c r="A4" s="158" t="s">
        <v>12</v>
      </c>
      <c r="B4" s="158"/>
      <c r="C4" s="141"/>
      <c r="D4" s="341" t="s">
        <v>342</v>
      </c>
      <c r="E4" s="341" t="s">
        <v>250</v>
      </c>
      <c r="F4" s="341" t="s">
        <v>251</v>
      </c>
      <c r="G4" s="341" t="s">
        <v>132</v>
      </c>
      <c r="H4" s="143" t="s">
        <v>133</v>
      </c>
      <c r="I4" s="143" t="s">
        <v>134</v>
      </c>
      <c r="J4" s="143" t="s">
        <v>135</v>
      </c>
      <c r="K4" s="143" t="s">
        <v>136</v>
      </c>
      <c r="L4" s="143" t="s">
        <v>137</v>
      </c>
      <c r="M4" s="143" t="s">
        <v>138</v>
      </c>
      <c r="N4" s="143" t="s">
        <v>139</v>
      </c>
      <c r="O4" s="143" t="s">
        <v>376</v>
      </c>
      <c r="P4" s="143" t="s">
        <v>377</v>
      </c>
      <c r="Q4" s="143" t="s">
        <v>378</v>
      </c>
      <c r="R4" s="143" t="s">
        <v>379</v>
      </c>
      <c r="S4" s="143" t="s">
        <v>380</v>
      </c>
      <c r="T4" s="143" t="s">
        <v>426</v>
      </c>
    </row>
    <row r="5" spans="1:21" ht="27" customHeight="1" x14ac:dyDescent="0.25">
      <c r="A5" s="54" t="s">
        <v>108</v>
      </c>
      <c r="B5" s="381"/>
      <c r="C5" s="72"/>
      <c r="D5" s="434" t="s">
        <v>104</v>
      </c>
      <c r="E5" s="434"/>
      <c r="F5" s="434"/>
      <c r="G5" s="435"/>
      <c r="H5" s="25" t="s">
        <v>45</v>
      </c>
      <c r="I5" s="25" t="s">
        <v>45</v>
      </c>
      <c r="J5" s="25" t="s">
        <v>45</v>
      </c>
      <c r="K5" s="25" t="s">
        <v>45</v>
      </c>
      <c r="L5" s="25" t="s">
        <v>45</v>
      </c>
      <c r="M5" s="25" t="s">
        <v>45</v>
      </c>
      <c r="N5" s="26" t="s">
        <v>45</v>
      </c>
      <c r="O5" s="332" t="s">
        <v>45</v>
      </c>
      <c r="P5" s="332" t="s">
        <v>45</v>
      </c>
      <c r="Q5" s="332" t="s">
        <v>45</v>
      </c>
      <c r="R5" s="332" t="s">
        <v>45</v>
      </c>
      <c r="S5" s="332" t="s">
        <v>45</v>
      </c>
      <c r="T5" s="332" t="s">
        <v>45</v>
      </c>
    </row>
    <row r="6" spans="1:21" ht="15.75" customHeight="1" x14ac:dyDescent="0.25">
      <c r="A6" s="44" t="s">
        <v>109</v>
      </c>
      <c r="B6" s="44"/>
      <c r="C6" s="56">
        <f>+((H7*38%)*3)</f>
        <v>7489.7999999999993</v>
      </c>
      <c r="D6" s="330">
        <v>18</v>
      </c>
      <c r="E6" s="331">
        <v>18</v>
      </c>
      <c r="F6" s="331">
        <v>18</v>
      </c>
      <c r="G6" s="331">
        <v>18</v>
      </c>
      <c r="H6" s="57">
        <f>Estimation!B4</f>
        <v>18</v>
      </c>
      <c r="I6" s="58">
        <f>H6</f>
        <v>18</v>
      </c>
      <c r="J6" s="58">
        <f t="shared" ref="J6:T6" si="0">I6</f>
        <v>18</v>
      </c>
      <c r="K6" s="58">
        <f t="shared" si="0"/>
        <v>18</v>
      </c>
      <c r="L6" s="58">
        <f t="shared" si="0"/>
        <v>18</v>
      </c>
      <c r="M6" s="58">
        <f t="shared" si="0"/>
        <v>18</v>
      </c>
      <c r="N6" s="58">
        <f t="shared" si="0"/>
        <v>18</v>
      </c>
      <c r="O6" s="58">
        <f t="shared" si="0"/>
        <v>18</v>
      </c>
      <c r="P6" s="58">
        <f t="shared" si="0"/>
        <v>18</v>
      </c>
      <c r="Q6" s="58">
        <f t="shared" si="0"/>
        <v>18</v>
      </c>
      <c r="R6" s="58">
        <f t="shared" si="0"/>
        <v>18</v>
      </c>
      <c r="S6" s="58">
        <f t="shared" si="0"/>
        <v>18</v>
      </c>
      <c r="T6" s="58">
        <f t="shared" si="0"/>
        <v>18</v>
      </c>
    </row>
    <row r="7" spans="1:21" x14ac:dyDescent="0.25">
      <c r="A7" s="32" t="s">
        <v>65</v>
      </c>
      <c r="B7" s="32"/>
      <c r="C7" s="32"/>
      <c r="D7" s="32">
        <v>0</v>
      </c>
      <c r="E7" s="32">
        <v>0</v>
      </c>
      <c r="F7" s="32">
        <v>0</v>
      </c>
      <c r="G7" s="32">
        <v>0</v>
      </c>
      <c r="H7" s="154">
        <f>H6*365</f>
        <v>6570</v>
      </c>
      <c r="I7" s="154">
        <f t="shared" ref="I7:T7" si="1">I6*365</f>
        <v>6570</v>
      </c>
      <c r="J7" s="154">
        <f t="shared" si="1"/>
        <v>6570</v>
      </c>
      <c r="K7" s="154">
        <f t="shared" si="1"/>
        <v>6570</v>
      </c>
      <c r="L7" s="154">
        <f t="shared" si="1"/>
        <v>6570</v>
      </c>
      <c r="M7" s="154">
        <f t="shared" si="1"/>
        <v>6570</v>
      </c>
      <c r="N7" s="154">
        <f t="shared" si="1"/>
        <v>6570</v>
      </c>
      <c r="O7" s="154">
        <f t="shared" si="1"/>
        <v>6570</v>
      </c>
      <c r="P7" s="154">
        <f t="shared" si="1"/>
        <v>6570</v>
      </c>
      <c r="Q7" s="154">
        <f t="shared" si="1"/>
        <v>6570</v>
      </c>
      <c r="R7" s="154">
        <f t="shared" si="1"/>
        <v>6570</v>
      </c>
      <c r="S7" s="154">
        <f t="shared" si="1"/>
        <v>6570</v>
      </c>
      <c r="T7" s="154">
        <f t="shared" si="1"/>
        <v>6570</v>
      </c>
    </row>
    <row r="8" spans="1:21" x14ac:dyDescent="0.25">
      <c r="A8" s="32" t="s">
        <v>438</v>
      </c>
      <c r="B8" s="32"/>
      <c r="C8" s="32">
        <v>3</v>
      </c>
      <c r="D8" s="32">
        <v>0</v>
      </c>
      <c r="E8" s="32">
        <v>0</v>
      </c>
      <c r="F8" s="32">
        <v>0</v>
      </c>
      <c r="G8" s="32">
        <v>0</v>
      </c>
      <c r="H8" s="333">
        <f>H7*$C$8</f>
        <v>19710</v>
      </c>
      <c r="I8" s="32">
        <f t="shared" ref="I8:T8" si="2">I7*$C$8</f>
        <v>19710</v>
      </c>
      <c r="J8" s="32">
        <f t="shared" si="2"/>
        <v>19710</v>
      </c>
      <c r="K8" s="32">
        <f t="shared" si="2"/>
        <v>19710</v>
      </c>
      <c r="L8" s="32">
        <f t="shared" si="2"/>
        <v>19710</v>
      </c>
      <c r="M8" s="32">
        <f t="shared" si="2"/>
        <v>19710</v>
      </c>
      <c r="N8" s="32">
        <f t="shared" si="2"/>
        <v>19710</v>
      </c>
      <c r="O8" s="32">
        <f t="shared" si="2"/>
        <v>19710</v>
      </c>
      <c r="P8" s="32">
        <f t="shared" si="2"/>
        <v>19710</v>
      </c>
      <c r="Q8" s="32">
        <f t="shared" si="2"/>
        <v>19710</v>
      </c>
      <c r="R8" s="32">
        <f t="shared" si="2"/>
        <v>19710</v>
      </c>
      <c r="S8" s="32">
        <f t="shared" si="2"/>
        <v>19710</v>
      </c>
      <c r="T8" s="32">
        <f t="shared" si="2"/>
        <v>19710</v>
      </c>
    </row>
    <row r="9" spans="1:21" x14ac:dyDescent="0.25">
      <c r="A9" s="38" t="s">
        <v>81</v>
      </c>
      <c r="B9" s="38"/>
      <c r="C9" s="226">
        <v>0.05</v>
      </c>
      <c r="D9" s="32">
        <v>0</v>
      </c>
      <c r="E9" s="32">
        <v>0</v>
      </c>
      <c r="F9" s="32">
        <v>0</v>
      </c>
      <c r="G9" s="32">
        <v>0</v>
      </c>
      <c r="H9" s="355">
        <f>+H10-$C$9</f>
        <v>0.34</v>
      </c>
      <c r="I9" s="355">
        <f t="shared" ref="I9:T9" si="3">+I10-$C$9</f>
        <v>0.4</v>
      </c>
      <c r="J9" s="355">
        <f t="shared" si="3"/>
        <v>0.42</v>
      </c>
      <c r="K9" s="355">
        <f t="shared" si="3"/>
        <v>0.44</v>
      </c>
      <c r="L9" s="355">
        <f t="shared" si="3"/>
        <v>0.46</v>
      </c>
      <c r="M9" s="355">
        <f t="shared" si="3"/>
        <v>0.48000000000000004</v>
      </c>
      <c r="N9" s="355">
        <f t="shared" si="3"/>
        <v>0.5</v>
      </c>
      <c r="O9" s="355">
        <f t="shared" si="3"/>
        <v>0.5</v>
      </c>
      <c r="P9" s="355">
        <f t="shared" si="3"/>
        <v>0.5</v>
      </c>
      <c r="Q9" s="355">
        <f t="shared" si="3"/>
        <v>0.5</v>
      </c>
      <c r="R9" s="355">
        <f t="shared" si="3"/>
        <v>0.5</v>
      </c>
      <c r="S9" s="355">
        <f t="shared" si="3"/>
        <v>0.5</v>
      </c>
      <c r="T9" s="355">
        <f t="shared" si="3"/>
        <v>0.5</v>
      </c>
    </row>
    <row r="10" spans="1:21" x14ac:dyDescent="0.25">
      <c r="A10" s="225" t="s">
        <v>428</v>
      </c>
      <c r="B10" s="225"/>
      <c r="C10" s="32"/>
      <c r="D10" s="32">
        <v>0</v>
      </c>
      <c r="E10" s="32">
        <v>0</v>
      </c>
      <c r="F10" s="32">
        <v>0</v>
      </c>
      <c r="G10" s="32">
        <v>0</v>
      </c>
      <c r="H10" s="385">
        <v>0.39</v>
      </c>
      <c r="I10" s="153">
        <v>0.45</v>
      </c>
      <c r="J10" s="153">
        <v>0.47</v>
      </c>
      <c r="K10" s="153">
        <v>0.49</v>
      </c>
      <c r="L10" s="153">
        <v>0.51</v>
      </c>
      <c r="M10" s="153">
        <v>0.53</v>
      </c>
      <c r="N10" s="153">
        <v>0.55000000000000004</v>
      </c>
      <c r="O10" s="153">
        <v>0.55000000000000004</v>
      </c>
      <c r="P10" s="153">
        <v>0.55000000000000004</v>
      </c>
      <c r="Q10" s="153">
        <v>0.55000000000000004</v>
      </c>
      <c r="R10" s="153">
        <v>0.55000000000000004</v>
      </c>
      <c r="S10" s="153">
        <v>0.55000000000000004</v>
      </c>
      <c r="T10" s="153">
        <v>0.55000000000000004</v>
      </c>
    </row>
    <row r="11" spans="1:21" x14ac:dyDescent="0.25">
      <c r="A11" s="32" t="s">
        <v>427</v>
      </c>
      <c r="B11" s="32"/>
      <c r="C11" s="32"/>
      <c r="D11" s="32">
        <v>0</v>
      </c>
      <c r="E11" s="32">
        <v>0</v>
      </c>
      <c r="F11" s="32">
        <v>0</v>
      </c>
      <c r="G11" s="32">
        <v>0</v>
      </c>
      <c r="H11" s="154">
        <f>Estimation!D10</f>
        <v>25000</v>
      </c>
      <c r="I11" s="154">
        <f>H11*1.1</f>
        <v>27500.000000000004</v>
      </c>
      <c r="J11" s="154">
        <f t="shared" ref="J11:J13" si="4">I11*1.1</f>
        <v>30250.000000000007</v>
      </c>
      <c r="K11" s="154">
        <f>J11*1.05</f>
        <v>31762.500000000007</v>
      </c>
      <c r="L11" s="154">
        <f>K11*1.05</f>
        <v>33350.625000000007</v>
      </c>
      <c r="M11" s="154">
        <f>L11*1.05</f>
        <v>35018.156250000007</v>
      </c>
      <c r="N11" s="154">
        <f t="shared" ref="N11:T12" si="5">M11*1.05</f>
        <v>36769.064062500009</v>
      </c>
      <c r="O11" s="154">
        <f t="shared" si="5"/>
        <v>38607.517265625014</v>
      </c>
      <c r="P11" s="154">
        <f t="shared" si="5"/>
        <v>40537.893128906268</v>
      </c>
      <c r="Q11" s="154">
        <f t="shared" si="5"/>
        <v>42564.787785351582</v>
      </c>
      <c r="R11" s="154">
        <f t="shared" si="5"/>
        <v>44693.027174619165</v>
      </c>
      <c r="S11" s="154">
        <f t="shared" si="5"/>
        <v>46927.678533350125</v>
      </c>
      <c r="T11" s="154">
        <f t="shared" si="5"/>
        <v>49274.062460017631</v>
      </c>
    </row>
    <row r="12" spans="1:21" x14ac:dyDescent="0.25">
      <c r="A12" s="32" t="s">
        <v>347</v>
      </c>
      <c r="B12" s="32"/>
      <c r="C12" s="32"/>
      <c r="D12" s="32">
        <v>0</v>
      </c>
      <c r="E12" s="32">
        <v>0</v>
      </c>
      <c r="F12" s="32">
        <v>0</v>
      </c>
      <c r="G12" s="32">
        <v>0</v>
      </c>
      <c r="H12" s="154">
        <f>Estimation!D13</f>
        <v>1000</v>
      </c>
      <c r="I12" s="154">
        <f>H12*1.1</f>
        <v>1100</v>
      </c>
      <c r="J12" s="154">
        <f t="shared" si="4"/>
        <v>1210</v>
      </c>
      <c r="K12" s="154">
        <f>J12*1.05</f>
        <v>1270.5</v>
      </c>
      <c r="L12" s="154">
        <f t="shared" ref="L12:M12" si="6">K12*1.05</f>
        <v>1334.0250000000001</v>
      </c>
      <c r="M12" s="154">
        <f t="shared" si="6"/>
        <v>1400.7262500000002</v>
      </c>
      <c r="N12" s="154">
        <f t="shared" si="5"/>
        <v>1470.7625625000003</v>
      </c>
      <c r="O12" s="154">
        <f t="shared" si="5"/>
        <v>1544.3006906250005</v>
      </c>
      <c r="P12" s="154">
        <f t="shared" si="5"/>
        <v>1621.5157251562505</v>
      </c>
      <c r="Q12" s="154">
        <f t="shared" si="5"/>
        <v>1702.591511414063</v>
      </c>
      <c r="R12" s="154">
        <f t="shared" si="5"/>
        <v>1787.7210869847663</v>
      </c>
      <c r="S12" s="154">
        <f t="shared" si="5"/>
        <v>1877.1071413340046</v>
      </c>
      <c r="T12" s="154">
        <f t="shared" si="5"/>
        <v>1970.9624984007048</v>
      </c>
    </row>
    <row r="13" spans="1:21" x14ac:dyDescent="0.25">
      <c r="A13" s="32" t="s">
        <v>343</v>
      </c>
      <c r="B13" s="32"/>
      <c r="C13" s="32"/>
      <c r="D13" s="32">
        <v>0</v>
      </c>
      <c r="E13" s="32">
        <v>0</v>
      </c>
      <c r="F13" s="32">
        <v>0</v>
      </c>
      <c r="G13" s="32">
        <v>0</v>
      </c>
      <c r="H13" s="224">
        <f>Estimation!D14</f>
        <v>3500</v>
      </c>
      <c r="I13" s="224">
        <f>H13*1.1</f>
        <v>3850.0000000000005</v>
      </c>
      <c r="J13" s="224">
        <f t="shared" si="4"/>
        <v>4235.0000000000009</v>
      </c>
      <c r="K13" s="224">
        <f>J13*1.05</f>
        <v>4446.7500000000009</v>
      </c>
      <c r="L13" s="224">
        <f>K13*1.05</f>
        <v>4669.0875000000015</v>
      </c>
      <c r="M13" s="224">
        <f t="shared" ref="M13:T13" si="7">L13*1.05</f>
        <v>4902.5418750000017</v>
      </c>
      <c r="N13" s="224">
        <f t="shared" si="7"/>
        <v>5147.668968750002</v>
      </c>
      <c r="O13" s="224">
        <f t="shared" si="7"/>
        <v>5405.0524171875022</v>
      </c>
      <c r="P13" s="224">
        <f t="shared" si="7"/>
        <v>5675.3050380468776</v>
      </c>
      <c r="Q13" s="224">
        <f t="shared" si="7"/>
        <v>5959.0702899492217</v>
      </c>
      <c r="R13" s="224">
        <f t="shared" si="7"/>
        <v>6257.0238044466832</v>
      </c>
      <c r="S13" s="224">
        <f t="shared" si="7"/>
        <v>6569.8749946690177</v>
      </c>
      <c r="T13" s="224">
        <f t="shared" si="7"/>
        <v>6898.368744402469</v>
      </c>
    </row>
    <row r="14" spans="1:21" x14ac:dyDescent="0.25">
      <c r="A14" s="32" t="s">
        <v>338</v>
      </c>
      <c r="B14" s="32"/>
      <c r="C14" s="32"/>
      <c r="D14" s="32">
        <v>0</v>
      </c>
      <c r="E14" s="32">
        <v>0</v>
      </c>
      <c r="F14" s="32">
        <v>0</v>
      </c>
      <c r="G14" s="32">
        <v>0</v>
      </c>
      <c r="H14" s="224">
        <f>+Estimation!D15</f>
        <v>2250</v>
      </c>
      <c r="I14" s="224">
        <f>+H14*1.1</f>
        <v>2475</v>
      </c>
      <c r="J14" s="224">
        <f t="shared" ref="J14" si="8">+I14*1.1</f>
        <v>2722.5</v>
      </c>
      <c r="K14" s="224">
        <f>+J14*1.05</f>
        <v>2858.625</v>
      </c>
      <c r="L14" s="224">
        <f t="shared" ref="L14:T14" si="9">+K14*1.05</f>
        <v>3001.5562500000001</v>
      </c>
      <c r="M14" s="224">
        <f t="shared" si="9"/>
        <v>3151.6340625000003</v>
      </c>
      <c r="N14" s="224">
        <f t="shared" si="9"/>
        <v>3309.2157656250006</v>
      </c>
      <c r="O14" s="224">
        <f t="shared" si="9"/>
        <v>3474.6765539062508</v>
      </c>
      <c r="P14" s="224">
        <f t="shared" si="9"/>
        <v>3648.4103816015636</v>
      </c>
      <c r="Q14" s="224">
        <f t="shared" si="9"/>
        <v>3830.8309006816421</v>
      </c>
      <c r="R14" s="224">
        <f t="shared" si="9"/>
        <v>4022.3724457157246</v>
      </c>
      <c r="S14" s="224">
        <f t="shared" si="9"/>
        <v>4223.4910680015109</v>
      </c>
      <c r="T14" s="224">
        <f t="shared" si="9"/>
        <v>4434.6656214015866</v>
      </c>
    </row>
    <row r="15" spans="1:21" x14ac:dyDescent="0.25">
      <c r="A15" s="225" t="s">
        <v>13</v>
      </c>
      <c r="B15" s="225"/>
      <c r="C15" s="225"/>
      <c r="D15" s="32">
        <v>0</v>
      </c>
      <c r="E15" s="32">
        <v>0</v>
      </c>
      <c r="F15" s="32">
        <v>0</v>
      </c>
      <c r="G15" s="32">
        <v>0</v>
      </c>
      <c r="H15" s="139"/>
      <c r="I15" s="139"/>
      <c r="J15" s="139"/>
      <c r="K15" s="139"/>
      <c r="L15" s="139"/>
      <c r="M15" s="139"/>
      <c r="N15" s="139"/>
      <c r="O15" s="60"/>
    </row>
    <row r="16" spans="1:21" x14ac:dyDescent="0.25">
      <c r="A16" s="32" t="s">
        <v>56</v>
      </c>
      <c r="B16" s="32"/>
      <c r="C16" s="32"/>
      <c r="D16" s="32">
        <v>0</v>
      </c>
      <c r="E16" s="32">
        <v>0</v>
      </c>
      <c r="F16" s="32">
        <v>0</v>
      </c>
      <c r="G16" s="333"/>
      <c r="H16" s="139">
        <f t="shared" ref="H16:T16" si="10">ROUND((H6*H11)*H9*365/100000,2)</f>
        <v>558.45000000000005</v>
      </c>
      <c r="I16" s="139">
        <f t="shared" si="10"/>
        <v>722.7</v>
      </c>
      <c r="J16" s="139">
        <f t="shared" si="10"/>
        <v>834.72</v>
      </c>
      <c r="K16" s="139">
        <f t="shared" si="10"/>
        <v>918.19</v>
      </c>
      <c r="L16" s="139">
        <f t="shared" si="10"/>
        <v>1007.92</v>
      </c>
      <c r="M16" s="139">
        <f t="shared" si="10"/>
        <v>1104.33</v>
      </c>
      <c r="N16" s="139">
        <f t="shared" si="10"/>
        <v>1207.8599999999999</v>
      </c>
      <c r="O16" s="139">
        <f t="shared" si="10"/>
        <v>1268.26</v>
      </c>
      <c r="P16" s="139">
        <f t="shared" si="10"/>
        <v>1331.67</v>
      </c>
      <c r="Q16" s="139">
        <f t="shared" si="10"/>
        <v>1398.25</v>
      </c>
      <c r="R16" s="139">
        <f t="shared" si="10"/>
        <v>1468.17</v>
      </c>
      <c r="S16" s="139">
        <f t="shared" si="10"/>
        <v>1541.57</v>
      </c>
      <c r="T16" s="139">
        <f t="shared" si="10"/>
        <v>1618.65</v>
      </c>
      <c r="U16" s="10">
        <f>SUM(D16:T16)</f>
        <v>14980.739999999998</v>
      </c>
    </row>
    <row r="17" spans="1:21" x14ac:dyDescent="0.25">
      <c r="A17" s="32" t="s">
        <v>348</v>
      </c>
      <c r="B17" s="32"/>
      <c r="C17" s="32"/>
      <c r="D17" s="32">
        <v>0</v>
      </c>
      <c r="E17" s="32">
        <v>0</v>
      </c>
      <c r="F17" s="32">
        <v>0</v>
      </c>
      <c r="G17" s="32">
        <v>0</v>
      </c>
      <c r="H17" s="139">
        <f t="shared" ref="H17:T17" si="11">ROUND((H8*H12)*H9/100000,2)</f>
        <v>67.010000000000005</v>
      </c>
      <c r="I17" s="139">
        <f t="shared" si="11"/>
        <v>86.72</v>
      </c>
      <c r="J17" s="139">
        <f t="shared" si="11"/>
        <v>100.17</v>
      </c>
      <c r="K17" s="139">
        <f t="shared" si="11"/>
        <v>110.18</v>
      </c>
      <c r="L17" s="139">
        <f t="shared" si="11"/>
        <v>120.95</v>
      </c>
      <c r="M17" s="139">
        <f t="shared" si="11"/>
        <v>132.52000000000001</v>
      </c>
      <c r="N17" s="139">
        <f t="shared" si="11"/>
        <v>144.94</v>
      </c>
      <c r="O17" s="139">
        <f t="shared" si="11"/>
        <v>152.19</v>
      </c>
      <c r="P17" s="139">
        <f t="shared" si="11"/>
        <v>159.80000000000001</v>
      </c>
      <c r="Q17" s="139">
        <f t="shared" si="11"/>
        <v>167.79</v>
      </c>
      <c r="R17" s="139">
        <f t="shared" si="11"/>
        <v>176.18</v>
      </c>
      <c r="S17" s="139">
        <f t="shared" si="11"/>
        <v>184.99</v>
      </c>
      <c r="T17" s="139">
        <f t="shared" si="11"/>
        <v>194.24</v>
      </c>
      <c r="U17" s="10">
        <f>SUM(D17:T17)</f>
        <v>1797.68</v>
      </c>
    </row>
    <row r="18" spans="1:21" x14ac:dyDescent="0.25">
      <c r="A18" s="10" t="s">
        <v>345</v>
      </c>
      <c r="C18" s="32"/>
      <c r="D18" s="32">
        <v>0</v>
      </c>
      <c r="E18" s="32">
        <v>0</v>
      </c>
      <c r="F18" s="32">
        <v>0</v>
      </c>
      <c r="G18" s="32">
        <v>0</v>
      </c>
      <c r="H18" s="139">
        <f>(H7*25%*2*H13)*H9/10^5</f>
        <v>39.091500000000003</v>
      </c>
      <c r="I18" s="139">
        <f t="shared" ref="I18:T18" si="12">(I7*25%*2*I13)*I9/10^5</f>
        <v>50.589000000000013</v>
      </c>
      <c r="J18" s="139">
        <f t="shared" si="12"/>
        <v>58.430295000000008</v>
      </c>
      <c r="K18" s="139">
        <f t="shared" si="12"/>
        <v>64.273324500000015</v>
      </c>
      <c r="L18" s="139">
        <f t="shared" si="12"/>
        <v>70.554581212500025</v>
      </c>
      <c r="M18" s="139">
        <f t="shared" si="12"/>
        <v>77.303280285000028</v>
      </c>
      <c r="N18" s="139">
        <f t="shared" si="12"/>
        <v>84.550462811718788</v>
      </c>
      <c r="O18" s="139">
        <f t="shared" si="12"/>
        <v>88.777985952304732</v>
      </c>
      <c r="P18" s="139">
        <f t="shared" si="12"/>
        <v>93.216885249919969</v>
      </c>
      <c r="Q18" s="139">
        <f t="shared" si="12"/>
        <v>97.877729512415954</v>
      </c>
      <c r="R18" s="139">
        <f t="shared" si="12"/>
        <v>102.77161598803677</v>
      </c>
      <c r="S18" s="139">
        <f t="shared" si="12"/>
        <v>107.91019678743862</v>
      </c>
      <c r="T18" s="139">
        <f t="shared" si="12"/>
        <v>113.30570662681056</v>
      </c>
      <c r="U18" s="10">
        <f>SUM(D18:T18)</f>
        <v>1048.6525639261456</v>
      </c>
    </row>
    <row r="19" spans="1:21" x14ac:dyDescent="0.25">
      <c r="A19" s="10" t="s">
        <v>327</v>
      </c>
      <c r="C19" s="32"/>
      <c r="D19" s="32">
        <v>0</v>
      </c>
      <c r="E19" s="32">
        <v>0</v>
      </c>
      <c r="F19" s="32">
        <v>0</v>
      </c>
      <c r="G19" s="32">
        <v>0</v>
      </c>
      <c r="H19" s="139">
        <f>(H14*H7*H9)/10^5</f>
        <v>50.2605</v>
      </c>
      <c r="I19" s="139">
        <f>H19*1.05</f>
        <v>52.773524999999999</v>
      </c>
      <c r="J19" s="139">
        <f t="shared" ref="J19:T20" si="13">I19*1.05</f>
        <v>55.412201250000003</v>
      </c>
      <c r="K19" s="139">
        <f t="shared" si="13"/>
        <v>58.182811312500007</v>
      </c>
      <c r="L19" s="139">
        <f t="shared" si="13"/>
        <v>61.091951878125009</v>
      </c>
      <c r="M19" s="139">
        <f t="shared" si="13"/>
        <v>64.146549472031268</v>
      </c>
      <c r="N19" s="139">
        <f t="shared" si="13"/>
        <v>67.353876945632834</v>
      </c>
      <c r="O19" s="139">
        <f t="shared" si="13"/>
        <v>70.721570792914477</v>
      </c>
      <c r="P19" s="139">
        <f t="shared" si="13"/>
        <v>74.257649332560206</v>
      </c>
      <c r="Q19" s="139">
        <f t="shared" si="13"/>
        <v>77.970531799188223</v>
      </c>
      <c r="R19" s="139">
        <f t="shared" si="13"/>
        <v>81.869058389147639</v>
      </c>
      <c r="S19" s="139">
        <f t="shared" si="13"/>
        <v>85.962511308605031</v>
      </c>
      <c r="T19" s="139">
        <f t="shared" si="13"/>
        <v>90.260636874035285</v>
      </c>
      <c r="U19" s="10">
        <f>SUM(D19:T19)</f>
        <v>890.26337435473988</v>
      </c>
    </row>
    <row r="20" spans="1:21" x14ac:dyDescent="0.25">
      <c r="A20" s="32" t="s">
        <v>346</v>
      </c>
      <c r="B20" s="32"/>
      <c r="C20" s="32"/>
      <c r="D20" s="32">
        <v>0</v>
      </c>
      <c r="E20" s="32">
        <v>0</v>
      </c>
      <c r="F20" s="32">
        <v>0</v>
      </c>
      <c r="G20" s="32">
        <v>0</v>
      </c>
      <c r="H20" s="139">
        <f>+Estimation!B89</f>
        <v>68.400000000000006</v>
      </c>
      <c r="I20" s="139">
        <f>H20*1.1</f>
        <v>75.240000000000009</v>
      </c>
      <c r="J20" s="139">
        <f t="shared" ref="J20" si="14">I20*1.1</f>
        <v>82.76400000000001</v>
      </c>
      <c r="K20" s="139">
        <f>J20*1.05</f>
        <v>86.902200000000008</v>
      </c>
      <c r="L20" s="139">
        <f t="shared" si="13"/>
        <v>91.247310000000013</v>
      </c>
      <c r="M20" s="139">
        <f t="shared" si="13"/>
        <v>95.809675500000012</v>
      </c>
      <c r="N20" s="139">
        <f t="shared" si="13"/>
        <v>100.60015927500001</v>
      </c>
      <c r="O20" s="139">
        <f t="shared" si="13"/>
        <v>105.63016723875002</v>
      </c>
      <c r="P20" s="139">
        <f t="shared" si="13"/>
        <v>110.91167560068753</v>
      </c>
      <c r="Q20" s="139">
        <f t="shared" si="13"/>
        <v>116.45725938072191</v>
      </c>
      <c r="R20" s="139">
        <f t="shared" si="13"/>
        <v>122.280122349758</v>
      </c>
      <c r="S20" s="139">
        <f t="shared" si="13"/>
        <v>128.39412846724591</v>
      </c>
      <c r="T20" s="139">
        <f t="shared" si="13"/>
        <v>134.81383489060821</v>
      </c>
      <c r="U20" s="10">
        <f>SUM(D20:T20)</f>
        <v>1319.4505327027716</v>
      </c>
    </row>
    <row r="21" spans="1:21" x14ac:dyDescent="0.25">
      <c r="A21" s="32" t="s">
        <v>38</v>
      </c>
      <c r="B21" s="32"/>
      <c r="C21" s="32"/>
      <c r="D21" s="32">
        <v>0</v>
      </c>
      <c r="E21" s="32">
        <v>0</v>
      </c>
      <c r="F21" s="32">
        <v>0</v>
      </c>
      <c r="G21" s="32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</row>
    <row r="22" spans="1:21" x14ac:dyDescent="0.25">
      <c r="A22" s="144" t="s">
        <v>41</v>
      </c>
      <c r="B22" s="144"/>
      <c r="C22" s="144"/>
      <c r="D22" s="144">
        <v>0</v>
      </c>
      <c r="E22" s="144">
        <v>0</v>
      </c>
      <c r="F22" s="144">
        <v>0</v>
      </c>
      <c r="G22" s="144">
        <v>0</v>
      </c>
      <c r="H22" s="144">
        <f t="shared" ref="H22:T22" si="15">ROUND(SUM(H16:H21),2)</f>
        <v>783.21</v>
      </c>
      <c r="I22" s="163">
        <f t="shared" si="15"/>
        <v>988.02</v>
      </c>
      <c r="J22" s="163">
        <f t="shared" si="15"/>
        <v>1131.5</v>
      </c>
      <c r="K22" s="163">
        <f t="shared" si="15"/>
        <v>1237.73</v>
      </c>
      <c r="L22" s="163">
        <f t="shared" si="15"/>
        <v>1351.76</v>
      </c>
      <c r="M22" s="163">
        <f t="shared" si="15"/>
        <v>1474.11</v>
      </c>
      <c r="N22" s="163">
        <f t="shared" si="15"/>
        <v>1605.3</v>
      </c>
      <c r="O22" s="163">
        <f t="shared" si="15"/>
        <v>1685.58</v>
      </c>
      <c r="P22" s="163">
        <f t="shared" si="15"/>
        <v>1769.86</v>
      </c>
      <c r="Q22" s="163">
        <f t="shared" si="15"/>
        <v>1858.35</v>
      </c>
      <c r="R22" s="163">
        <f t="shared" si="15"/>
        <v>1951.27</v>
      </c>
      <c r="S22" s="163">
        <f t="shared" si="15"/>
        <v>2048.83</v>
      </c>
      <c r="T22" s="163">
        <f t="shared" si="15"/>
        <v>2151.27</v>
      </c>
      <c r="U22" s="10">
        <f>SUM(D22:T22)</f>
        <v>20036.79</v>
      </c>
    </row>
    <row r="23" spans="1:21" x14ac:dyDescent="0.25">
      <c r="A23" s="225" t="s">
        <v>14</v>
      </c>
      <c r="B23" s="225"/>
      <c r="C23" s="38"/>
      <c r="D23" s="32">
        <v>0</v>
      </c>
      <c r="E23" s="32">
        <v>0</v>
      </c>
      <c r="F23" s="32">
        <v>0</v>
      </c>
      <c r="G23" s="32">
        <v>0</v>
      </c>
      <c r="H23" s="61"/>
      <c r="I23" s="61"/>
      <c r="J23" s="61"/>
      <c r="K23" s="61"/>
      <c r="L23" s="61"/>
      <c r="M23" s="61"/>
      <c r="N23" s="61"/>
      <c r="O23" s="61"/>
      <c r="P23" s="43"/>
      <c r="Q23" s="43"/>
      <c r="R23" s="43"/>
    </row>
    <row r="24" spans="1:21" x14ac:dyDescent="0.25">
      <c r="A24" s="358" t="s">
        <v>370</v>
      </c>
      <c r="B24" s="32"/>
      <c r="C24" s="226">
        <v>0.1</v>
      </c>
      <c r="D24" s="32">
        <v>0</v>
      </c>
      <c r="E24" s="32">
        <v>0</v>
      </c>
      <c r="F24" s="32">
        <v>0</v>
      </c>
      <c r="G24" s="32">
        <v>0</v>
      </c>
      <c r="H24" s="139">
        <f>ROUND((H16)*$C24,2)</f>
        <v>55.85</v>
      </c>
      <c r="I24" s="139">
        <f>ROUND(I16*$C24,2)</f>
        <v>72.27</v>
      </c>
      <c r="J24" s="139">
        <f t="shared" ref="J24:N24" si="16">ROUND(J16*$C24,2)</f>
        <v>83.47</v>
      </c>
      <c r="K24" s="139">
        <f t="shared" si="16"/>
        <v>91.82</v>
      </c>
      <c r="L24" s="139">
        <f t="shared" si="16"/>
        <v>100.79</v>
      </c>
      <c r="M24" s="139">
        <f t="shared" si="16"/>
        <v>110.43</v>
      </c>
      <c r="N24" s="139">
        <f t="shared" si="16"/>
        <v>120.79</v>
      </c>
      <c r="O24" s="139">
        <f>ROUND(O16*$C24,2)</f>
        <v>126.83</v>
      </c>
      <c r="P24" s="139">
        <f t="shared" ref="P24:T24" si="17">ROUND(P16*$C24,2)</f>
        <v>133.16999999999999</v>
      </c>
      <c r="Q24" s="139">
        <f t="shared" si="17"/>
        <v>139.83000000000001</v>
      </c>
      <c r="R24" s="139">
        <f t="shared" si="17"/>
        <v>146.82</v>
      </c>
      <c r="S24" s="139">
        <f t="shared" si="17"/>
        <v>154.16</v>
      </c>
      <c r="T24" s="139">
        <f t="shared" si="17"/>
        <v>161.87</v>
      </c>
    </row>
    <row r="25" spans="1:21" x14ac:dyDescent="0.25">
      <c r="A25" s="358" t="s">
        <v>349</v>
      </c>
      <c r="B25" s="32"/>
      <c r="C25" s="226">
        <v>0.35</v>
      </c>
      <c r="D25" s="32">
        <v>0</v>
      </c>
      <c r="E25" s="32">
        <v>0</v>
      </c>
      <c r="F25" s="32">
        <v>0</v>
      </c>
      <c r="G25" s="32">
        <v>0</v>
      </c>
      <c r="H25" s="139">
        <f>+H16*$C$25</f>
        <v>195.45750000000001</v>
      </c>
      <c r="I25" s="139">
        <f t="shared" ref="I25:T25" si="18">+I16*$C$25</f>
        <v>252.94499999999999</v>
      </c>
      <c r="J25" s="139">
        <f t="shared" si="18"/>
        <v>292.15199999999999</v>
      </c>
      <c r="K25" s="139">
        <f t="shared" si="18"/>
        <v>321.36649999999997</v>
      </c>
      <c r="L25" s="139">
        <f t="shared" si="18"/>
        <v>352.77199999999999</v>
      </c>
      <c r="M25" s="139">
        <f t="shared" si="18"/>
        <v>386.51549999999997</v>
      </c>
      <c r="N25" s="139">
        <f t="shared" si="18"/>
        <v>422.75099999999992</v>
      </c>
      <c r="O25" s="139">
        <f t="shared" si="18"/>
        <v>443.89099999999996</v>
      </c>
      <c r="P25" s="139">
        <f t="shared" si="18"/>
        <v>466.08449999999999</v>
      </c>
      <c r="Q25" s="139">
        <f t="shared" si="18"/>
        <v>489.38749999999999</v>
      </c>
      <c r="R25" s="139">
        <f t="shared" si="18"/>
        <v>513.85950000000003</v>
      </c>
      <c r="S25" s="139">
        <f t="shared" si="18"/>
        <v>539.54949999999997</v>
      </c>
      <c r="T25" s="139">
        <f t="shared" si="18"/>
        <v>566.52750000000003</v>
      </c>
    </row>
    <row r="26" spans="1:21" x14ac:dyDescent="0.25">
      <c r="A26" s="358" t="s">
        <v>350</v>
      </c>
      <c r="B26" s="32"/>
      <c r="C26" s="226">
        <v>0.35</v>
      </c>
      <c r="D26" s="32">
        <v>0</v>
      </c>
      <c r="E26" s="32">
        <v>0</v>
      </c>
      <c r="F26" s="32">
        <v>0</v>
      </c>
      <c r="G26" s="32">
        <v>0</v>
      </c>
      <c r="H26" s="139">
        <f>+H17*$C$26</f>
        <v>23.453500000000002</v>
      </c>
      <c r="I26" s="139">
        <f t="shared" ref="I26:T26" si="19">+I17*$C$26</f>
        <v>30.351999999999997</v>
      </c>
      <c r="J26" s="139">
        <f t="shared" si="19"/>
        <v>35.0595</v>
      </c>
      <c r="K26" s="139">
        <f t="shared" si="19"/>
        <v>38.563000000000002</v>
      </c>
      <c r="L26" s="139">
        <f t="shared" si="19"/>
        <v>42.332499999999996</v>
      </c>
      <c r="M26" s="139">
        <f t="shared" si="19"/>
        <v>46.381999999999998</v>
      </c>
      <c r="N26" s="139">
        <f t="shared" si="19"/>
        <v>50.728999999999999</v>
      </c>
      <c r="O26" s="139">
        <f t="shared" si="19"/>
        <v>53.266499999999994</v>
      </c>
      <c r="P26" s="139">
        <f t="shared" si="19"/>
        <v>55.93</v>
      </c>
      <c r="Q26" s="139">
        <f t="shared" si="19"/>
        <v>58.726499999999994</v>
      </c>
      <c r="R26" s="139">
        <f t="shared" si="19"/>
        <v>61.662999999999997</v>
      </c>
      <c r="S26" s="139">
        <f t="shared" si="19"/>
        <v>64.746499999999997</v>
      </c>
      <c r="T26" s="139">
        <f t="shared" si="19"/>
        <v>67.983999999999995</v>
      </c>
    </row>
    <row r="27" spans="1:21" x14ac:dyDescent="0.25">
      <c r="A27" s="358" t="s">
        <v>82</v>
      </c>
      <c r="B27" s="32"/>
      <c r="C27" s="226">
        <f>Estimation!B32</f>
        <v>0.02</v>
      </c>
      <c r="D27" s="32">
        <v>0</v>
      </c>
      <c r="E27" s="32">
        <v>0</v>
      </c>
      <c r="F27" s="32">
        <v>0</v>
      </c>
      <c r="G27" s="32">
        <v>0</v>
      </c>
      <c r="H27" s="139">
        <f>ROUND($C27*H22,2)</f>
        <v>15.66</v>
      </c>
      <c r="I27" s="139">
        <f t="shared" ref="I27:T27" si="20">ROUND($C27*I22,2)</f>
        <v>19.760000000000002</v>
      </c>
      <c r="J27" s="139">
        <f t="shared" si="20"/>
        <v>22.63</v>
      </c>
      <c r="K27" s="139">
        <f t="shared" si="20"/>
        <v>24.75</v>
      </c>
      <c r="L27" s="139">
        <f t="shared" si="20"/>
        <v>27.04</v>
      </c>
      <c r="M27" s="139">
        <f t="shared" si="20"/>
        <v>29.48</v>
      </c>
      <c r="N27" s="139">
        <f t="shared" si="20"/>
        <v>32.11</v>
      </c>
      <c r="O27" s="139">
        <f t="shared" si="20"/>
        <v>33.71</v>
      </c>
      <c r="P27" s="139">
        <f t="shared" si="20"/>
        <v>35.4</v>
      </c>
      <c r="Q27" s="139">
        <f t="shared" si="20"/>
        <v>37.17</v>
      </c>
      <c r="R27" s="139">
        <f t="shared" si="20"/>
        <v>39.03</v>
      </c>
      <c r="S27" s="139">
        <f t="shared" si="20"/>
        <v>40.98</v>
      </c>
      <c r="T27" s="139">
        <f t="shared" si="20"/>
        <v>43.03</v>
      </c>
    </row>
    <row r="28" spans="1:21" x14ac:dyDescent="0.25">
      <c r="A28" s="358" t="s">
        <v>352</v>
      </c>
      <c r="B28" s="32"/>
      <c r="C28" s="226">
        <v>0.5</v>
      </c>
      <c r="D28" s="32">
        <v>0</v>
      </c>
      <c r="E28" s="32">
        <v>0</v>
      </c>
      <c r="F28" s="32">
        <v>0</v>
      </c>
      <c r="G28" s="32">
        <v>0</v>
      </c>
      <c r="H28" s="139">
        <f t="shared" ref="H28:T28" si="21">+$C$28*H19</f>
        <v>25.13025</v>
      </c>
      <c r="I28" s="139">
        <f t="shared" si="21"/>
        <v>26.3867625</v>
      </c>
      <c r="J28" s="139">
        <f t="shared" si="21"/>
        <v>27.706100625000001</v>
      </c>
      <c r="K28" s="139">
        <f t="shared" si="21"/>
        <v>29.091405656250004</v>
      </c>
      <c r="L28" s="139">
        <f t="shared" si="21"/>
        <v>30.545975939062505</v>
      </c>
      <c r="M28" s="139">
        <f t="shared" si="21"/>
        <v>32.073274736015634</v>
      </c>
      <c r="N28" s="139">
        <f t="shared" si="21"/>
        <v>33.676938472816417</v>
      </c>
      <c r="O28" s="139">
        <f t="shared" si="21"/>
        <v>35.360785396457239</v>
      </c>
      <c r="P28" s="139">
        <f t="shared" si="21"/>
        <v>37.128824666280103</v>
      </c>
      <c r="Q28" s="139">
        <f t="shared" si="21"/>
        <v>38.985265899594111</v>
      </c>
      <c r="R28" s="139">
        <f t="shared" si="21"/>
        <v>40.93452919457382</v>
      </c>
      <c r="S28" s="139">
        <f t="shared" si="21"/>
        <v>42.981255654302515</v>
      </c>
      <c r="T28" s="139">
        <f t="shared" si="21"/>
        <v>45.130318437017642</v>
      </c>
    </row>
    <row r="29" spans="1:21" ht="15.75" x14ac:dyDescent="0.25">
      <c r="A29" s="382" t="s">
        <v>351</v>
      </c>
      <c r="C29" s="226">
        <v>0.35</v>
      </c>
      <c r="D29" s="32">
        <v>0</v>
      </c>
      <c r="E29" s="32">
        <v>0</v>
      </c>
      <c r="F29" s="32">
        <v>0</v>
      </c>
      <c r="G29" s="32">
        <v>0</v>
      </c>
      <c r="H29" s="139">
        <f>ROUND($C29*H20,2)</f>
        <v>23.94</v>
      </c>
      <c r="I29" s="139">
        <f t="shared" ref="I29:T29" si="22">ROUND($C29*I20,2)</f>
        <v>26.33</v>
      </c>
      <c r="J29" s="139">
        <f t="shared" si="22"/>
        <v>28.97</v>
      </c>
      <c r="K29" s="139">
        <f t="shared" si="22"/>
        <v>30.42</v>
      </c>
      <c r="L29" s="139">
        <f t="shared" si="22"/>
        <v>31.94</v>
      </c>
      <c r="M29" s="139">
        <f t="shared" si="22"/>
        <v>33.53</v>
      </c>
      <c r="N29" s="139">
        <f t="shared" si="22"/>
        <v>35.21</v>
      </c>
      <c r="O29" s="139">
        <f t="shared" si="22"/>
        <v>36.97</v>
      </c>
      <c r="P29" s="139">
        <f t="shared" si="22"/>
        <v>38.82</v>
      </c>
      <c r="Q29" s="139">
        <f t="shared" si="22"/>
        <v>40.76</v>
      </c>
      <c r="R29" s="139">
        <f t="shared" si="22"/>
        <v>42.8</v>
      </c>
      <c r="S29" s="139">
        <f t="shared" si="22"/>
        <v>44.94</v>
      </c>
      <c r="T29" s="139">
        <f t="shared" si="22"/>
        <v>47.18</v>
      </c>
    </row>
    <row r="30" spans="1:21" ht="15.75" x14ac:dyDescent="0.25">
      <c r="A30" s="383" t="s">
        <v>8</v>
      </c>
      <c r="B30" s="359">
        <f>169.21/2</f>
        <v>84.605000000000004</v>
      </c>
      <c r="C30" s="32"/>
      <c r="D30" s="32">
        <v>0</v>
      </c>
      <c r="E30" s="32">
        <v>0</v>
      </c>
      <c r="F30" s="32">
        <v>0</v>
      </c>
      <c r="G30" s="32">
        <v>0</v>
      </c>
      <c r="H30" s="139">
        <f>Estimation!G62</f>
        <v>98.4</v>
      </c>
      <c r="I30" s="139">
        <f>ROUND(H30*110%,2)</f>
        <v>108.24</v>
      </c>
      <c r="J30" s="139">
        <f t="shared" ref="J30:T32" si="23">ROUND(I30*110%,2)</f>
        <v>119.06</v>
      </c>
      <c r="K30" s="139">
        <f t="shared" si="23"/>
        <v>130.97</v>
      </c>
      <c r="L30" s="139">
        <f t="shared" si="23"/>
        <v>144.07</v>
      </c>
      <c r="M30" s="139">
        <f t="shared" si="23"/>
        <v>158.47999999999999</v>
      </c>
      <c r="N30" s="139">
        <f t="shared" si="23"/>
        <v>174.33</v>
      </c>
      <c r="O30" s="139">
        <f t="shared" si="23"/>
        <v>191.76</v>
      </c>
      <c r="P30" s="139">
        <f t="shared" si="23"/>
        <v>210.94</v>
      </c>
      <c r="Q30" s="139">
        <f t="shared" si="23"/>
        <v>232.03</v>
      </c>
      <c r="R30" s="139">
        <f t="shared" si="23"/>
        <v>255.23</v>
      </c>
      <c r="S30" s="139">
        <f t="shared" si="23"/>
        <v>280.75</v>
      </c>
      <c r="T30" s="139">
        <f t="shared" si="23"/>
        <v>308.83</v>
      </c>
    </row>
    <row r="31" spans="1:21" x14ac:dyDescent="0.25">
      <c r="A31" s="383" t="s">
        <v>373</v>
      </c>
      <c r="B31" s="32"/>
      <c r="C31" s="226">
        <v>0.03</v>
      </c>
      <c r="D31" s="32">
        <v>0</v>
      </c>
      <c r="E31" s="32">
        <v>0</v>
      </c>
      <c r="F31" s="32">
        <v>0</v>
      </c>
      <c r="G31" s="32">
        <v>0</v>
      </c>
      <c r="H31" s="139">
        <f>+H22*C31</f>
        <v>23.496300000000002</v>
      </c>
      <c r="I31" s="139">
        <f>ROUND(H31*110%,2)</f>
        <v>25.85</v>
      </c>
      <c r="J31" s="139">
        <f t="shared" si="23"/>
        <v>28.44</v>
      </c>
      <c r="K31" s="139">
        <f t="shared" si="23"/>
        <v>31.28</v>
      </c>
      <c r="L31" s="139">
        <f t="shared" si="23"/>
        <v>34.409999999999997</v>
      </c>
      <c r="M31" s="139">
        <f t="shared" si="23"/>
        <v>37.85</v>
      </c>
      <c r="N31" s="139">
        <f t="shared" si="23"/>
        <v>41.64</v>
      </c>
      <c r="O31" s="139">
        <f t="shared" si="23"/>
        <v>45.8</v>
      </c>
      <c r="P31" s="139">
        <f t="shared" si="23"/>
        <v>50.38</v>
      </c>
      <c r="Q31" s="139">
        <f t="shared" si="23"/>
        <v>55.42</v>
      </c>
      <c r="R31" s="139">
        <f t="shared" si="23"/>
        <v>60.96</v>
      </c>
      <c r="S31" s="139">
        <f t="shared" si="23"/>
        <v>67.06</v>
      </c>
      <c r="T31" s="139">
        <f t="shared" si="23"/>
        <v>73.77</v>
      </c>
    </row>
    <row r="32" spans="1:21" x14ac:dyDescent="0.25">
      <c r="A32" s="383" t="s">
        <v>9</v>
      </c>
      <c r="B32" s="32"/>
      <c r="C32" s="226">
        <v>0.05</v>
      </c>
      <c r="D32" s="32">
        <v>0</v>
      </c>
      <c r="E32" s="32">
        <v>0</v>
      </c>
      <c r="F32" s="32">
        <v>0</v>
      </c>
      <c r="G32" s="32">
        <v>0</v>
      </c>
      <c r="H32" s="139">
        <f>+H22*$C$32</f>
        <v>39.160500000000006</v>
      </c>
      <c r="I32" s="139">
        <f>ROUND(H32*110%,2)</f>
        <v>43.08</v>
      </c>
      <c r="J32" s="139">
        <f t="shared" si="23"/>
        <v>47.39</v>
      </c>
      <c r="K32" s="139">
        <f t="shared" si="23"/>
        <v>52.13</v>
      </c>
      <c r="L32" s="139">
        <f t="shared" si="23"/>
        <v>57.34</v>
      </c>
      <c r="M32" s="139">
        <f t="shared" si="23"/>
        <v>63.07</v>
      </c>
      <c r="N32" s="139">
        <f t="shared" si="23"/>
        <v>69.38</v>
      </c>
      <c r="O32" s="139">
        <f t="shared" si="23"/>
        <v>76.319999999999993</v>
      </c>
      <c r="P32" s="139">
        <f t="shared" si="23"/>
        <v>83.95</v>
      </c>
      <c r="Q32" s="139">
        <f t="shared" si="23"/>
        <v>92.35</v>
      </c>
      <c r="R32" s="139">
        <f t="shared" si="23"/>
        <v>101.59</v>
      </c>
      <c r="S32" s="139">
        <f t="shared" si="23"/>
        <v>111.75</v>
      </c>
      <c r="T32" s="139">
        <f t="shared" si="23"/>
        <v>122.93</v>
      </c>
    </row>
    <row r="33" spans="1:21" x14ac:dyDescent="0.25">
      <c r="A33" s="383" t="s">
        <v>372</v>
      </c>
      <c r="B33" s="32"/>
      <c r="C33" s="226">
        <v>0.01</v>
      </c>
      <c r="D33" s="32">
        <v>0</v>
      </c>
      <c r="E33" s="32">
        <v>0</v>
      </c>
      <c r="F33" s="32">
        <v>0</v>
      </c>
      <c r="G33" s="32">
        <v>0</v>
      </c>
      <c r="H33" s="139">
        <f>+H22*$C$33</f>
        <v>7.8321000000000005</v>
      </c>
      <c r="I33" s="139">
        <f t="shared" ref="I33:T33" si="24">+I22*$C$33</f>
        <v>9.8802000000000003</v>
      </c>
      <c r="J33" s="139">
        <f t="shared" si="24"/>
        <v>11.315</v>
      </c>
      <c r="K33" s="139">
        <f t="shared" si="24"/>
        <v>12.3773</v>
      </c>
      <c r="L33" s="139">
        <f t="shared" si="24"/>
        <v>13.5176</v>
      </c>
      <c r="M33" s="139">
        <f t="shared" si="24"/>
        <v>14.741099999999999</v>
      </c>
      <c r="N33" s="139">
        <f t="shared" si="24"/>
        <v>16.053000000000001</v>
      </c>
      <c r="O33" s="139">
        <f t="shared" si="24"/>
        <v>16.855799999999999</v>
      </c>
      <c r="P33" s="139">
        <f t="shared" si="24"/>
        <v>17.698599999999999</v>
      </c>
      <c r="Q33" s="139">
        <f t="shared" si="24"/>
        <v>18.583500000000001</v>
      </c>
      <c r="R33" s="139">
        <f t="shared" si="24"/>
        <v>19.512699999999999</v>
      </c>
      <c r="S33" s="139">
        <f t="shared" si="24"/>
        <v>20.488299999999999</v>
      </c>
      <c r="T33" s="139">
        <f t="shared" si="24"/>
        <v>21.512699999999999</v>
      </c>
    </row>
    <row r="34" spans="1:21" x14ac:dyDescent="0.25">
      <c r="A34" s="384" t="s">
        <v>29</v>
      </c>
      <c r="B34" s="32"/>
      <c r="C34" s="32"/>
      <c r="D34" s="32">
        <v>0</v>
      </c>
      <c r="E34" s="32">
        <v>0</v>
      </c>
      <c r="F34" s="32">
        <v>0</v>
      </c>
      <c r="G34" s="32">
        <v>0</v>
      </c>
      <c r="H34" s="139">
        <f>+Depreciation!G38</f>
        <v>313.44350000000003</v>
      </c>
      <c r="I34" s="139">
        <f>+Depreciation!H38</f>
        <v>277.56232499999999</v>
      </c>
      <c r="J34" s="139">
        <f>+Depreciation!I38</f>
        <v>246.53569125000001</v>
      </c>
      <c r="K34" s="139">
        <f>+Depreciation!J38</f>
        <v>219.4538210625</v>
      </c>
      <c r="L34" s="139">
        <f>+Depreciation!K38</f>
        <v>195.655307053125</v>
      </c>
      <c r="M34" s="139">
        <f>+Depreciation!L38</f>
        <v>174.64116863015627</v>
      </c>
      <c r="N34" s="139">
        <f>+Depreciation!M38</f>
        <v>156.02166784713279</v>
      </c>
      <c r="O34" s="139">
        <f>+Depreciation!N38</f>
        <v>139.4829843144129</v>
      </c>
      <c r="P34" s="139">
        <f>+Depreciation!O38</f>
        <v>124.76598239756595</v>
      </c>
      <c r="Q34" s="139">
        <f>+Depreciation!P38</f>
        <v>111.65238764545455</v>
      </c>
      <c r="R34" s="139">
        <f>+Depreciation!Q38</f>
        <v>99.955542715551516</v>
      </c>
      <c r="S34" s="139">
        <f>+Depreciation!R38</f>
        <v>89.51402772552882</v>
      </c>
      <c r="T34" s="139">
        <f>+Depreciation!S38</f>
        <v>80.187101055530363</v>
      </c>
      <c r="U34" s="10">
        <f>SUM(D34:T34)</f>
        <v>2228.8715066969585</v>
      </c>
    </row>
    <row r="35" spans="1:21" x14ac:dyDescent="0.25">
      <c r="A35" s="384" t="s">
        <v>374</v>
      </c>
      <c r="B35" s="32"/>
      <c r="C35" s="32"/>
      <c r="D35" s="32">
        <v>0</v>
      </c>
      <c r="E35" s="32">
        <v>0</v>
      </c>
      <c r="F35" s="32">
        <v>0</v>
      </c>
      <c r="G35" s="32">
        <v>0</v>
      </c>
      <c r="H35" s="139">
        <f>+Estimation!G37</f>
        <v>12</v>
      </c>
      <c r="I35" s="139">
        <f>+H35*1.1</f>
        <v>13.200000000000001</v>
      </c>
      <c r="J35" s="139">
        <f t="shared" ref="J35:T36" si="25">+I35*1.1</f>
        <v>14.520000000000003</v>
      </c>
      <c r="K35" s="139">
        <f t="shared" si="25"/>
        <v>15.972000000000005</v>
      </c>
      <c r="L35" s="139">
        <f t="shared" si="25"/>
        <v>17.569200000000006</v>
      </c>
      <c r="M35" s="139">
        <f t="shared" si="25"/>
        <v>19.326120000000007</v>
      </c>
      <c r="N35" s="139">
        <f t="shared" si="25"/>
        <v>21.258732000000009</v>
      </c>
      <c r="O35" s="139">
        <f t="shared" si="25"/>
        <v>23.384605200000014</v>
      </c>
      <c r="P35" s="139">
        <f t="shared" si="25"/>
        <v>25.723065720000015</v>
      </c>
      <c r="Q35" s="139">
        <f t="shared" si="25"/>
        <v>28.295372292000017</v>
      </c>
      <c r="R35" s="139">
        <f t="shared" si="25"/>
        <v>31.124909521200021</v>
      </c>
      <c r="S35" s="139">
        <f t="shared" si="25"/>
        <v>34.237400473320022</v>
      </c>
      <c r="T35" s="139">
        <f t="shared" si="25"/>
        <v>37.661140520652026</v>
      </c>
    </row>
    <row r="36" spans="1:21" x14ac:dyDescent="0.25">
      <c r="A36" s="358" t="s">
        <v>375</v>
      </c>
      <c r="B36" s="32"/>
      <c r="C36" s="32"/>
      <c r="D36" s="32">
        <v>0</v>
      </c>
      <c r="E36" s="32">
        <v>0</v>
      </c>
      <c r="F36" s="32">
        <v>0</v>
      </c>
      <c r="G36" s="32">
        <v>0</v>
      </c>
      <c r="H36" s="139">
        <v>10</v>
      </c>
      <c r="I36" s="139">
        <f>+H36*1.1</f>
        <v>11</v>
      </c>
      <c r="J36" s="139">
        <f t="shared" si="25"/>
        <v>12.100000000000001</v>
      </c>
      <c r="K36" s="139">
        <f t="shared" si="25"/>
        <v>13.310000000000002</v>
      </c>
      <c r="L36" s="139">
        <f t="shared" si="25"/>
        <v>14.641000000000004</v>
      </c>
      <c r="M36" s="139">
        <f t="shared" si="25"/>
        <v>16.105100000000004</v>
      </c>
      <c r="N36" s="139">
        <f t="shared" si="25"/>
        <v>17.715610000000005</v>
      </c>
      <c r="O36" s="139">
        <f t="shared" si="25"/>
        <v>19.487171000000007</v>
      </c>
      <c r="P36" s="139">
        <f t="shared" si="25"/>
        <v>21.43588810000001</v>
      </c>
      <c r="Q36" s="139">
        <f t="shared" si="25"/>
        <v>23.579476910000015</v>
      </c>
      <c r="R36" s="139">
        <f t="shared" si="25"/>
        <v>25.937424601000018</v>
      </c>
      <c r="S36" s="139">
        <f t="shared" si="25"/>
        <v>28.531167061100021</v>
      </c>
      <c r="T36" s="139">
        <f t="shared" si="25"/>
        <v>31.384283767210025</v>
      </c>
    </row>
    <row r="37" spans="1:21" x14ac:dyDescent="0.25">
      <c r="A37" s="384" t="s">
        <v>46</v>
      </c>
      <c r="B37" s="32"/>
      <c r="C37" s="32"/>
      <c r="D37" s="32">
        <v>0</v>
      </c>
      <c r="E37" s="32">
        <v>0</v>
      </c>
      <c r="F37" s="32">
        <v>0</v>
      </c>
      <c r="G37" s="32">
        <v>0</v>
      </c>
      <c r="H37" s="139">
        <f>+'Debt Schedule '!E236</f>
        <v>199.37500000000003</v>
      </c>
      <c r="I37" s="139">
        <f>+'Debt Schedule '!F236</f>
        <v>194.25000000000003</v>
      </c>
      <c r="J37" s="139">
        <f>+'Debt Schedule '!G236</f>
        <v>188.25</v>
      </c>
      <c r="K37" s="139">
        <f>+'Debt Schedule '!H236</f>
        <v>182.25</v>
      </c>
      <c r="L37" s="139">
        <f>+'Debt Schedule '!I236</f>
        <v>173</v>
      </c>
      <c r="M37" s="139">
        <f>+'Debt Schedule '!J236</f>
        <v>161</v>
      </c>
      <c r="N37" s="139">
        <f>+'Debt Schedule '!K236</f>
        <v>149</v>
      </c>
      <c r="O37" s="139">
        <f>+'Debt Schedule '!L236</f>
        <v>137</v>
      </c>
      <c r="P37" s="139">
        <f>+'Debt Schedule '!M236</f>
        <v>120.66671000000001</v>
      </c>
      <c r="Q37" s="139">
        <f>+'Debt Schedule '!N236</f>
        <v>97.958413333333326</v>
      </c>
      <c r="R37" s="139">
        <f>+'Debt Schedule '!O236</f>
        <v>70.250079999999969</v>
      </c>
      <c r="S37" s="139">
        <f>+'Debt Schedule '!P236</f>
        <v>35.91457999999998</v>
      </c>
      <c r="T37" s="139">
        <f>+'Debt Schedule '!Q236</f>
        <v>4.6223799999999793</v>
      </c>
      <c r="U37" s="10">
        <f>SUM(D37:T37)</f>
        <v>1713.5371633333332</v>
      </c>
    </row>
    <row r="38" spans="1:21" x14ac:dyDescent="0.25">
      <c r="A38" s="144" t="s">
        <v>42</v>
      </c>
      <c r="B38" s="144"/>
      <c r="C38" s="144"/>
      <c r="D38" s="144"/>
      <c r="E38" s="144"/>
      <c r="F38" s="144"/>
      <c r="G38" s="144"/>
      <c r="H38" s="162">
        <f t="shared" ref="H38:T38" si="26">ROUND(SUM(H24:H37),2)</f>
        <v>1043.2</v>
      </c>
      <c r="I38" s="162">
        <f t="shared" si="26"/>
        <v>1111.1099999999999</v>
      </c>
      <c r="J38" s="162">
        <f t="shared" si="26"/>
        <v>1157.5999999999999</v>
      </c>
      <c r="K38" s="162">
        <f t="shared" si="26"/>
        <v>1193.75</v>
      </c>
      <c r="L38" s="162">
        <f t="shared" si="26"/>
        <v>1235.6199999999999</v>
      </c>
      <c r="M38" s="162">
        <f t="shared" si="26"/>
        <v>1283.6199999999999</v>
      </c>
      <c r="N38" s="162">
        <f t="shared" si="26"/>
        <v>1340.67</v>
      </c>
      <c r="O38" s="162">
        <f t="shared" si="26"/>
        <v>1380.12</v>
      </c>
      <c r="P38" s="162">
        <f t="shared" si="26"/>
        <v>1422.09</v>
      </c>
      <c r="Q38" s="162">
        <f t="shared" si="26"/>
        <v>1464.73</v>
      </c>
      <c r="R38" s="162">
        <f t="shared" si="26"/>
        <v>1509.67</v>
      </c>
      <c r="S38" s="162">
        <f t="shared" si="26"/>
        <v>1555.6</v>
      </c>
      <c r="T38" s="162">
        <f t="shared" si="26"/>
        <v>1612.62</v>
      </c>
      <c r="U38" s="63">
        <f>SUM(H38:T38)</f>
        <v>17310.399999999998</v>
      </c>
    </row>
    <row r="39" spans="1:21" x14ac:dyDescent="0.25">
      <c r="A39" s="39" t="s">
        <v>93</v>
      </c>
      <c r="B39" s="39"/>
      <c r="C39" s="38"/>
      <c r="D39" s="39"/>
      <c r="E39" s="39"/>
      <c r="F39" s="39"/>
      <c r="G39" s="39"/>
      <c r="H39" s="39">
        <f t="shared" ref="H39:T39" si="27">H22-H38</f>
        <v>-259.99</v>
      </c>
      <c r="I39" s="39">
        <f t="shared" si="27"/>
        <v>-123.08999999999992</v>
      </c>
      <c r="J39" s="39">
        <f t="shared" si="27"/>
        <v>-26.099999999999909</v>
      </c>
      <c r="K39" s="39">
        <f t="shared" si="27"/>
        <v>43.980000000000018</v>
      </c>
      <c r="L39" s="39">
        <f t="shared" si="27"/>
        <v>116.1400000000001</v>
      </c>
      <c r="M39" s="39">
        <f t="shared" si="27"/>
        <v>190.49</v>
      </c>
      <c r="N39" s="39">
        <f t="shared" si="27"/>
        <v>264.62999999999988</v>
      </c>
      <c r="O39" s="39">
        <f t="shared" si="27"/>
        <v>305.46000000000004</v>
      </c>
      <c r="P39" s="39">
        <f t="shared" si="27"/>
        <v>347.77</v>
      </c>
      <c r="Q39" s="39">
        <f t="shared" si="27"/>
        <v>393.61999999999989</v>
      </c>
      <c r="R39" s="39">
        <f t="shared" si="27"/>
        <v>441.59999999999991</v>
      </c>
      <c r="S39" s="39">
        <f t="shared" si="27"/>
        <v>493.23</v>
      </c>
      <c r="T39" s="39">
        <f t="shared" si="27"/>
        <v>538.65000000000009</v>
      </c>
      <c r="U39" s="29">
        <f>SUM(H39:T39)</f>
        <v>2726.39</v>
      </c>
    </row>
    <row r="40" spans="1:21" x14ac:dyDescent="0.25">
      <c r="A40" s="32" t="s">
        <v>47</v>
      </c>
      <c r="B40" s="32"/>
      <c r="C40" s="227"/>
      <c r="D40" s="207">
        <f>(30%)</f>
        <v>0.3</v>
      </c>
      <c r="E40" s="207"/>
      <c r="F40" s="207"/>
      <c r="G40" s="207"/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0</v>
      </c>
      <c r="N40" s="155">
        <f>+SUM(H39:N39)*$D$40</f>
        <v>61.818000000000048</v>
      </c>
      <c r="O40" s="155">
        <f t="shared" ref="O40:T40" si="28">+O39*$D$40</f>
        <v>91.638000000000005</v>
      </c>
      <c r="P40" s="155">
        <f t="shared" si="28"/>
        <v>104.33099999999999</v>
      </c>
      <c r="Q40" s="155">
        <f t="shared" si="28"/>
        <v>118.08599999999996</v>
      </c>
      <c r="R40" s="155">
        <f t="shared" si="28"/>
        <v>132.47999999999996</v>
      </c>
      <c r="S40" s="155">
        <f t="shared" si="28"/>
        <v>147.96899999999999</v>
      </c>
      <c r="T40" s="155">
        <f t="shared" si="28"/>
        <v>161.59500000000003</v>
      </c>
    </row>
    <row r="41" spans="1:21" x14ac:dyDescent="0.25">
      <c r="A41" s="144" t="s">
        <v>16</v>
      </c>
      <c r="B41" s="144"/>
      <c r="C41" s="144"/>
      <c r="D41" s="159"/>
      <c r="E41" s="159"/>
      <c r="F41" s="159"/>
      <c r="G41" s="159"/>
      <c r="H41" s="164">
        <f>H39-H40</f>
        <v>-259.99</v>
      </c>
      <c r="I41" s="164">
        <f>I39-I40</f>
        <v>-123.08999999999992</v>
      </c>
      <c r="J41" s="164">
        <f t="shared" ref="J41:T41" si="29">J39-J40</f>
        <v>-26.099999999999909</v>
      </c>
      <c r="K41" s="164">
        <f t="shared" si="29"/>
        <v>43.980000000000018</v>
      </c>
      <c r="L41" s="164">
        <f t="shared" si="29"/>
        <v>116.1400000000001</v>
      </c>
      <c r="M41" s="164">
        <f t="shared" si="29"/>
        <v>190.49</v>
      </c>
      <c r="N41" s="164">
        <f t="shared" si="29"/>
        <v>202.81199999999984</v>
      </c>
      <c r="O41" s="164">
        <f t="shared" si="29"/>
        <v>213.82200000000003</v>
      </c>
      <c r="P41" s="164">
        <f t="shared" si="29"/>
        <v>243.43899999999999</v>
      </c>
      <c r="Q41" s="164">
        <f t="shared" si="29"/>
        <v>275.53399999999993</v>
      </c>
      <c r="R41" s="164">
        <f t="shared" si="29"/>
        <v>309.11999999999995</v>
      </c>
      <c r="S41" s="164">
        <f t="shared" si="29"/>
        <v>345.26100000000002</v>
      </c>
      <c r="T41" s="164">
        <f t="shared" si="29"/>
        <v>377.05500000000006</v>
      </c>
      <c r="U41" s="63">
        <f>SUM(H41:T41)</f>
        <v>1908.473</v>
      </c>
    </row>
  </sheetData>
  <mergeCells count="4">
    <mergeCell ref="A1:R1"/>
    <mergeCell ref="A2:R2"/>
    <mergeCell ref="A3:M3"/>
    <mergeCell ref="D5:G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8"/>
  <sheetViews>
    <sheetView workbookViewId="0"/>
  </sheetViews>
  <sheetFormatPr defaultRowHeight="12.75" x14ac:dyDescent="0.2"/>
  <cols>
    <col min="3" max="3" width="15.140625" customWidth="1"/>
    <col min="4" max="4" width="16.7109375" customWidth="1"/>
    <col min="5" max="5" width="14" bestFit="1" customWidth="1"/>
  </cols>
  <sheetData>
    <row r="3" spans="1:6" x14ac:dyDescent="0.2">
      <c r="C3" s="1" t="s">
        <v>149</v>
      </c>
      <c r="E3" s="2">
        <v>0.09</v>
      </c>
    </row>
    <row r="4" spans="1:6" x14ac:dyDescent="0.2">
      <c r="C4" s="1" t="s">
        <v>150</v>
      </c>
      <c r="E4">
        <v>8</v>
      </c>
    </row>
    <row r="5" spans="1:6" x14ac:dyDescent="0.2">
      <c r="C5" s="1" t="s">
        <v>151</v>
      </c>
      <c r="E5">
        <v>12</v>
      </c>
    </row>
    <row r="6" spans="1:6" x14ac:dyDescent="0.2">
      <c r="C6" s="1" t="s">
        <v>152</v>
      </c>
      <c r="E6" s="3">
        <v>300000000</v>
      </c>
    </row>
    <row r="9" spans="1:6" ht="28.9" customHeight="1" x14ac:dyDescent="0.2">
      <c r="C9" s="5" t="s">
        <v>154</v>
      </c>
      <c r="D9" s="5" t="s">
        <v>155</v>
      </c>
      <c r="E9" s="5" t="s">
        <v>153</v>
      </c>
      <c r="F9" s="5" t="s">
        <v>156</v>
      </c>
    </row>
    <row r="10" spans="1:6" x14ac:dyDescent="0.2">
      <c r="A10">
        <v>1</v>
      </c>
      <c r="B10" s="4">
        <v>46023</v>
      </c>
      <c r="C10" s="6">
        <f>PMT($E$3/$E$5,$E$4*$E$5,$E$6)</f>
        <v>-4395060.9821078908</v>
      </c>
      <c r="D10" s="6">
        <f>IPMT($E$3/$E$5,A10,$E$4*$E$5,$E$6)</f>
        <v>-2250000.0000000005</v>
      </c>
      <c r="E10" s="6">
        <f>PPMT($E$3/$E$5,A10,$E$4*$E$5,$E$6)</f>
        <v>-2145060.9821078903</v>
      </c>
    </row>
    <row r="11" spans="1:6" x14ac:dyDescent="0.2">
      <c r="A11">
        <v>2</v>
      </c>
      <c r="B11" s="4">
        <v>46054</v>
      </c>
      <c r="C11" s="6">
        <f t="shared" ref="C11:C74" si="0">PMT($E$3/$E$5,$E$4*$E$5,$E$6)</f>
        <v>-4395060.9821078908</v>
      </c>
      <c r="D11" s="6">
        <f t="shared" ref="D11:D74" si="1">IPMT($E$3/$E$5,A11,$E$4*$E$5,$E$6)</f>
        <v>-2233912.042634191</v>
      </c>
      <c r="E11" s="6">
        <f t="shared" ref="E11:E74" si="2">PPMT($E$3/$E$5,A11,$E$4*$E$5,$E$6)</f>
        <v>-2161148.9394736998</v>
      </c>
    </row>
    <row r="12" spans="1:6" x14ac:dyDescent="0.2">
      <c r="A12">
        <v>3</v>
      </c>
      <c r="B12" s="4">
        <v>46082</v>
      </c>
      <c r="C12" s="6">
        <f t="shared" si="0"/>
        <v>-4395060.9821078908</v>
      </c>
      <c r="D12" s="6">
        <f t="shared" si="1"/>
        <v>-2217703.4255881384</v>
      </c>
      <c r="E12" s="6">
        <f t="shared" si="2"/>
        <v>-2177357.5565197524</v>
      </c>
    </row>
    <row r="13" spans="1:6" x14ac:dyDescent="0.2">
      <c r="A13">
        <v>4</v>
      </c>
      <c r="B13" s="4">
        <v>46113</v>
      </c>
      <c r="C13" s="6">
        <f t="shared" si="0"/>
        <v>-4395060.9821078908</v>
      </c>
      <c r="D13" s="6">
        <f t="shared" si="1"/>
        <v>-2201373.24391424</v>
      </c>
      <c r="E13" s="6">
        <f t="shared" si="2"/>
        <v>-2193687.7381936503</v>
      </c>
    </row>
    <row r="14" spans="1:6" x14ac:dyDescent="0.2">
      <c r="A14">
        <v>5</v>
      </c>
      <c r="B14" s="4">
        <v>46143</v>
      </c>
      <c r="C14" s="6">
        <f t="shared" si="0"/>
        <v>-4395060.9821078908</v>
      </c>
      <c r="D14" s="6">
        <f t="shared" si="1"/>
        <v>-2184920.5858777873</v>
      </c>
      <c r="E14" s="6">
        <f t="shared" si="2"/>
        <v>-2210140.396230103</v>
      </c>
    </row>
    <row r="15" spans="1:6" x14ac:dyDescent="0.2">
      <c r="A15">
        <v>6</v>
      </c>
      <c r="B15" s="4">
        <v>46174</v>
      </c>
      <c r="C15" s="6">
        <f t="shared" si="0"/>
        <v>-4395060.9821078908</v>
      </c>
      <c r="D15" s="6">
        <f t="shared" si="1"/>
        <v>-2168344.532906062</v>
      </c>
      <c r="E15" s="6">
        <f t="shared" si="2"/>
        <v>-2226716.4492018288</v>
      </c>
    </row>
    <row r="16" spans="1:6" x14ac:dyDescent="0.2">
      <c r="A16">
        <v>7</v>
      </c>
      <c r="B16" s="4">
        <v>46204</v>
      </c>
      <c r="C16" s="6">
        <f t="shared" si="0"/>
        <v>-4395060.9821078908</v>
      </c>
      <c r="D16" s="6">
        <f t="shared" si="1"/>
        <v>-2151644.1595370485</v>
      </c>
      <c r="E16" s="6">
        <f t="shared" si="2"/>
        <v>-2243416.8225708418</v>
      </c>
    </row>
    <row r="17" spans="1:5" x14ac:dyDescent="0.2">
      <c r="A17">
        <v>8</v>
      </c>
      <c r="B17" s="4">
        <v>46235</v>
      </c>
      <c r="C17" s="6">
        <f t="shared" si="0"/>
        <v>-4395060.9821078908</v>
      </c>
      <c r="D17" s="6">
        <f t="shared" si="1"/>
        <v>-2134818.533367767</v>
      </c>
      <c r="E17" s="6">
        <f t="shared" si="2"/>
        <v>-2260242.4487401233</v>
      </c>
    </row>
    <row r="18" spans="1:5" x14ac:dyDescent="0.2">
      <c r="A18">
        <v>9</v>
      </c>
      <c r="B18" s="4">
        <v>46266</v>
      </c>
      <c r="C18" s="6">
        <f t="shared" si="0"/>
        <v>-4395060.9821078908</v>
      </c>
      <c r="D18" s="6">
        <f t="shared" si="1"/>
        <v>-2117866.7150022159</v>
      </c>
      <c r="E18" s="6">
        <f t="shared" si="2"/>
        <v>-2277194.2671056744</v>
      </c>
    </row>
    <row r="19" spans="1:5" x14ac:dyDescent="0.2">
      <c r="A19">
        <v>10</v>
      </c>
      <c r="B19" s="4">
        <v>46296</v>
      </c>
      <c r="C19" s="6">
        <f t="shared" si="0"/>
        <v>-4395060.9821078908</v>
      </c>
      <c r="D19" s="6">
        <f t="shared" si="1"/>
        <v>-2100787.7579989233</v>
      </c>
      <c r="E19" s="6">
        <f t="shared" si="2"/>
        <v>-2294273.224108967</v>
      </c>
    </row>
    <row r="20" spans="1:5" x14ac:dyDescent="0.2">
      <c r="A20">
        <v>11</v>
      </c>
      <c r="B20" s="4">
        <v>46327</v>
      </c>
      <c r="C20" s="6">
        <f t="shared" si="0"/>
        <v>-4395060.9821078908</v>
      </c>
      <c r="D20" s="6">
        <f t="shared" si="1"/>
        <v>-2083580.7088181057</v>
      </c>
      <c r="E20" s="6">
        <f t="shared" si="2"/>
        <v>-2311480.2732897843</v>
      </c>
    </row>
    <row r="21" spans="1:5" x14ac:dyDescent="0.2">
      <c r="A21">
        <v>12</v>
      </c>
      <c r="B21" s="4">
        <v>46357</v>
      </c>
      <c r="C21" s="6">
        <f t="shared" si="0"/>
        <v>-4395060.9821078908</v>
      </c>
      <c r="D21" s="6">
        <f t="shared" si="1"/>
        <v>-2066244.6067684328</v>
      </c>
      <c r="E21" s="6">
        <f t="shared" si="2"/>
        <v>-2328816.3753394578</v>
      </c>
    </row>
    <row r="22" spans="1:5" x14ac:dyDescent="0.2">
      <c r="A22">
        <v>13</v>
      </c>
      <c r="B22" s="4">
        <v>46388</v>
      </c>
      <c r="C22" s="6">
        <f t="shared" si="0"/>
        <v>-4395060.9821078908</v>
      </c>
      <c r="D22" s="6">
        <f t="shared" si="1"/>
        <v>-2048778.483953387</v>
      </c>
      <c r="E22" s="6">
        <f t="shared" si="2"/>
        <v>-2346282.4981545033</v>
      </c>
    </row>
    <row r="23" spans="1:5" x14ac:dyDescent="0.2">
      <c r="A23">
        <v>14</v>
      </c>
      <c r="B23" s="4">
        <v>46419</v>
      </c>
      <c r="C23" s="6">
        <f t="shared" si="0"/>
        <v>-4395060.9821078908</v>
      </c>
      <c r="D23" s="6">
        <f t="shared" si="1"/>
        <v>-2031181.365217228</v>
      </c>
      <c r="E23" s="6">
        <f t="shared" si="2"/>
        <v>-2363879.6168906623</v>
      </c>
    </row>
    <row r="24" spans="1:5" x14ac:dyDescent="0.2">
      <c r="A24">
        <v>15</v>
      </c>
      <c r="B24" s="4">
        <v>46447</v>
      </c>
      <c r="C24" s="6">
        <f t="shared" si="0"/>
        <v>-4395060.9821078908</v>
      </c>
      <c r="D24" s="6">
        <f t="shared" si="1"/>
        <v>-2013452.268090548</v>
      </c>
      <c r="E24" s="6">
        <f t="shared" si="2"/>
        <v>-2381608.7140173423</v>
      </c>
    </row>
    <row r="25" spans="1:5" x14ac:dyDescent="0.2">
      <c r="A25">
        <v>16</v>
      </c>
      <c r="B25" s="4">
        <v>46478</v>
      </c>
      <c r="C25" s="6">
        <f t="shared" si="0"/>
        <v>-4395060.9821078908</v>
      </c>
      <c r="D25" s="6">
        <f t="shared" si="1"/>
        <v>-1995590.2027354178</v>
      </c>
      <c r="E25" s="6">
        <f t="shared" si="2"/>
        <v>-2399470.7793724723</v>
      </c>
    </row>
    <row r="26" spans="1:5" x14ac:dyDescent="0.2">
      <c r="A26">
        <v>17</v>
      </c>
      <c r="B26" s="4">
        <v>46508</v>
      </c>
      <c r="C26" s="6">
        <f t="shared" si="0"/>
        <v>-4395060.9821078908</v>
      </c>
      <c r="D26" s="6">
        <f t="shared" si="1"/>
        <v>-1977594.171890124</v>
      </c>
      <c r="E26" s="6">
        <f t="shared" si="2"/>
        <v>-2417466.8102177661</v>
      </c>
    </row>
    <row r="27" spans="1:5" x14ac:dyDescent="0.2">
      <c r="A27">
        <v>18</v>
      </c>
      <c r="B27" s="4">
        <v>46539</v>
      </c>
      <c r="C27" s="6">
        <f t="shared" si="0"/>
        <v>-4395060.9821078908</v>
      </c>
      <c r="D27" s="6">
        <f t="shared" si="1"/>
        <v>-1959463.1708134911</v>
      </c>
      <c r="E27" s="6">
        <f t="shared" si="2"/>
        <v>-2435597.8112943992</v>
      </c>
    </row>
    <row r="28" spans="1:5" x14ac:dyDescent="0.2">
      <c r="A28">
        <v>19</v>
      </c>
      <c r="B28" s="4">
        <v>46569</v>
      </c>
      <c r="C28" s="6">
        <f t="shared" si="0"/>
        <v>-4395060.9821078908</v>
      </c>
      <c r="D28" s="6">
        <f t="shared" si="1"/>
        <v>-1941196.1872287833</v>
      </c>
      <c r="E28" s="6">
        <f t="shared" si="2"/>
        <v>-2453864.7948791077</v>
      </c>
    </row>
    <row r="29" spans="1:5" x14ac:dyDescent="0.2">
      <c r="A29">
        <v>20</v>
      </c>
      <c r="B29" s="4">
        <v>46600</v>
      </c>
      <c r="C29" s="6">
        <f t="shared" si="0"/>
        <v>-4395060.9821078908</v>
      </c>
      <c r="D29" s="6">
        <f t="shared" si="1"/>
        <v>-1922792.20126719</v>
      </c>
      <c r="E29" s="6">
        <f t="shared" si="2"/>
        <v>-2472268.7808407005</v>
      </c>
    </row>
    <row r="30" spans="1:5" x14ac:dyDescent="0.2">
      <c r="A30">
        <v>21</v>
      </c>
      <c r="B30" s="4">
        <v>46631</v>
      </c>
      <c r="C30" s="6">
        <f t="shared" si="0"/>
        <v>-4395060.9821078908</v>
      </c>
      <c r="D30" s="6">
        <f t="shared" si="1"/>
        <v>-1904250.1854108844</v>
      </c>
      <c r="E30" s="6">
        <f t="shared" si="2"/>
        <v>-2490810.7966970056</v>
      </c>
    </row>
    <row r="31" spans="1:5" x14ac:dyDescent="0.2">
      <c r="A31">
        <v>22</v>
      </c>
      <c r="B31" s="4">
        <v>46661</v>
      </c>
      <c r="C31" s="6">
        <f t="shared" si="0"/>
        <v>-4395060.9821078908</v>
      </c>
      <c r="D31" s="6">
        <f t="shared" si="1"/>
        <v>-1885569.1044356569</v>
      </c>
      <c r="E31" s="6">
        <f t="shared" si="2"/>
        <v>-2509491.8776722336</v>
      </c>
    </row>
    <row r="32" spans="1:5" x14ac:dyDescent="0.2">
      <c r="A32">
        <v>23</v>
      </c>
      <c r="B32" s="4">
        <v>46692</v>
      </c>
      <c r="C32" s="6">
        <f t="shared" si="0"/>
        <v>-4395060.9821078908</v>
      </c>
      <c r="D32" s="6">
        <f t="shared" si="1"/>
        <v>-1866747.9153531152</v>
      </c>
      <c r="E32" s="6">
        <f t="shared" si="2"/>
        <v>-2528313.0667547751</v>
      </c>
    </row>
    <row r="33" spans="1:5" x14ac:dyDescent="0.2">
      <c r="A33">
        <v>24</v>
      </c>
      <c r="B33" s="4">
        <v>46722</v>
      </c>
      <c r="C33" s="6">
        <f t="shared" si="0"/>
        <v>-4395060.9821078908</v>
      </c>
      <c r="D33" s="6">
        <f t="shared" si="1"/>
        <v>-1847785.5673524544</v>
      </c>
      <c r="E33" s="6">
        <f t="shared" si="2"/>
        <v>-2547275.4147554357</v>
      </c>
    </row>
    <row r="34" spans="1:5" x14ac:dyDescent="0.2">
      <c r="A34">
        <v>25</v>
      </c>
      <c r="B34" s="4">
        <v>46753</v>
      </c>
      <c r="C34" s="6">
        <f t="shared" si="0"/>
        <v>-4395060.9821078908</v>
      </c>
      <c r="D34" s="6">
        <f t="shared" si="1"/>
        <v>-1828681.0017417886</v>
      </c>
      <c r="E34" s="6">
        <f t="shared" si="2"/>
        <v>-2566379.980366102</v>
      </c>
    </row>
    <row r="35" spans="1:5" x14ac:dyDescent="0.2">
      <c r="A35">
        <v>26</v>
      </c>
      <c r="B35" s="4">
        <v>46784</v>
      </c>
      <c r="C35" s="6">
        <f t="shared" si="0"/>
        <v>-4395060.9821078908</v>
      </c>
      <c r="D35" s="6">
        <f t="shared" si="1"/>
        <v>-1809433.1518890429</v>
      </c>
      <c r="E35" s="6">
        <f t="shared" si="2"/>
        <v>-2585627.8302188478</v>
      </c>
    </row>
    <row r="36" spans="1:5" x14ac:dyDescent="0.2">
      <c r="A36">
        <v>27</v>
      </c>
      <c r="B36" s="4">
        <v>46813</v>
      </c>
      <c r="C36" s="6">
        <f t="shared" si="0"/>
        <v>-4395060.9821078908</v>
      </c>
      <c r="D36" s="6">
        <f t="shared" si="1"/>
        <v>-1790040.9431624019</v>
      </c>
      <c r="E36" s="6">
        <f t="shared" si="2"/>
        <v>-2605020.0389454886</v>
      </c>
    </row>
    <row r="37" spans="1:5" x14ac:dyDescent="0.2">
      <c r="A37">
        <v>28</v>
      </c>
      <c r="B37" s="4">
        <v>46844</v>
      </c>
      <c r="C37" s="6">
        <f t="shared" si="0"/>
        <v>-4395060.9821078908</v>
      </c>
      <c r="D37" s="6">
        <f t="shared" si="1"/>
        <v>-1770503.2928703104</v>
      </c>
      <c r="E37" s="6">
        <f t="shared" si="2"/>
        <v>-2624557.6892375802</v>
      </c>
    </row>
    <row r="38" spans="1:5" x14ac:dyDescent="0.2">
      <c r="A38">
        <v>29</v>
      </c>
      <c r="B38" s="4">
        <v>46874</v>
      </c>
      <c r="C38" s="6">
        <f t="shared" si="0"/>
        <v>-4395060.9821078908</v>
      </c>
      <c r="D38" s="6">
        <f t="shared" si="1"/>
        <v>-1750819.1102010286</v>
      </c>
      <c r="E38" s="6">
        <f t="shared" si="2"/>
        <v>-2644241.8719068621</v>
      </c>
    </row>
    <row r="39" spans="1:5" x14ac:dyDescent="0.2">
      <c r="A39">
        <v>30</v>
      </c>
      <c r="B39" s="4">
        <v>46905</v>
      </c>
      <c r="C39" s="6">
        <f t="shared" si="0"/>
        <v>-4395060.9821078908</v>
      </c>
      <c r="D39" s="6">
        <f t="shared" si="1"/>
        <v>-1730987.296161727</v>
      </c>
      <c r="E39" s="6">
        <f t="shared" si="2"/>
        <v>-2664073.6859461633</v>
      </c>
    </row>
    <row r="40" spans="1:5" x14ac:dyDescent="0.2">
      <c r="A40">
        <v>31</v>
      </c>
      <c r="B40" s="4">
        <v>46935</v>
      </c>
      <c r="C40" s="6">
        <f t="shared" si="0"/>
        <v>-4395060.9821078908</v>
      </c>
      <c r="D40" s="6">
        <f t="shared" si="1"/>
        <v>-1711006.7435171308</v>
      </c>
      <c r="E40" s="6">
        <f t="shared" si="2"/>
        <v>-2684054.2385907592</v>
      </c>
    </row>
    <row r="41" spans="1:5" x14ac:dyDescent="0.2">
      <c r="A41">
        <v>32</v>
      </c>
      <c r="B41" s="4">
        <v>46966</v>
      </c>
      <c r="C41" s="6">
        <f t="shared" si="0"/>
        <v>-4395060.9821078908</v>
      </c>
      <c r="D41" s="6">
        <f t="shared" si="1"/>
        <v>-1690876.3367277</v>
      </c>
      <c r="E41" s="6">
        <f t="shared" si="2"/>
        <v>-2704184.6453801901</v>
      </c>
    </row>
    <row r="42" spans="1:5" x14ac:dyDescent="0.2">
      <c r="A42">
        <v>33</v>
      </c>
      <c r="B42" s="4">
        <v>46997</v>
      </c>
      <c r="C42" s="6">
        <f t="shared" si="0"/>
        <v>-4395060.9821078908</v>
      </c>
      <c r="D42" s="6">
        <f t="shared" si="1"/>
        <v>-1670594.9518873489</v>
      </c>
      <c r="E42" s="6">
        <f t="shared" si="2"/>
        <v>-2724466.0302205416</v>
      </c>
    </row>
    <row r="43" spans="1:5" x14ac:dyDescent="0.2">
      <c r="A43">
        <v>34</v>
      </c>
      <c r="B43" s="4">
        <v>47027</v>
      </c>
      <c r="C43" s="6">
        <f t="shared" si="0"/>
        <v>-4395060.9821078908</v>
      </c>
      <c r="D43" s="6">
        <f t="shared" si="1"/>
        <v>-1650161.4566606947</v>
      </c>
      <c r="E43" s="6">
        <f t="shared" si="2"/>
        <v>-2744899.5254471954</v>
      </c>
    </row>
    <row r="44" spans="1:5" x14ac:dyDescent="0.2">
      <c r="A44">
        <v>35</v>
      </c>
      <c r="B44" s="4">
        <v>47058</v>
      </c>
      <c r="C44" s="6">
        <f t="shared" si="0"/>
        <v>-4395060.9821078908</v>
      </c>
      <c r="D44" s="6">
        <f t="shared" si="1"/>
        <v>-1629574.7102198408</v>
      </c>
      <c r="E44" s="6">
        <f t="shared" si="2"/>
        <v>-2765486.2718880498</v>
      </c>
    </row>
    <row r="45" spans="1:5" x14ac:dyDescent="0.2">
      <c r="A45">
        <v>36</v>
      </c>
      <c r="B45" s="4">
        <v>47088</v>
      </c>
      <c r="C45" s="6">
        <f t="shared" si="0"/>
        <v>-4395060.9821078908</v>
      </c>
      <c r="D45" s="6">
        <f t="shared" si="1"/>
        <v>-1608833.5631806804</v>
      </c>
      <c r="E45" s="6">
        <f t="shared" si="2"/>
        <v>-2786227.4189272099</v>
      </c>
    </row>
    <row r="46" spans="1:5" x14ac:dyDescent="0.2">
      <c r="A46">
        <v>37</v>
      </c>
      <c r="B46" s="4">
        <v>47119</v>
      </c>
      <c r="C46" s="6">
        <f t="shared" si="0"/>
        <v>-4395060.9821078908</v>
      </c>
      <c r="D46" s="6">
        <f t="shared" si="1"/>
        <v>-1587936.8575387262</v>
      </c>
      <c r="E46" s="6">
        <f t="shared" si="2"/>
        <v>-2807124.1245691641</v>
      </c>
    </row>
    <row r="47" spans="1:5" x14ac:dyDescent="0.2">
      <c r="A47">
        <v>38</v>
      </c>
      <c r="B47" s="4">
        <v>47150</v>
      </c>
      <c r="C47" s="6">
        <f t="shared" si="0"/>
        <v>-4395060.9821078908</v>
      </c>
      <c r="D47" s="6">
        <f t="shared" si="1"/>
        <v>-1566883.4266044574</v>
      </c>
      <c r="E47" s="6">
        <f t="shared" si="2"/>
        <v>-2828177.5555034326</v>
      </c>
    </row>
    <row r="48" spans="1:5" x14ac:dyDescent="0.2">
      <c r="A48">
        <v>39</v>
      </c>
      <c r="B48" s="4">
        <v>47178</v>
      </c>
      <c r="C48" s="6">
        <f t="shared" si="0"/>
        <v>-4395060.9821078908</v>
      </c>
      <c r="D48" s="6">
        <f t="shared" si="1"/>
        <v>-1545672.0949381816</v>
      </c>
      <c r="E48" s="6">
        <f t="shared" si="2"/>
        <v>-2849388.8871697085</v>
      </c>
    </row>
    <row r="49" spans="1:5" x14ac:dyDescent="0.2">
      <c r="A49">
        <v>40</v>
      </c>
      <c r="B49" s="4">
        <v>47209</v>
      </c>
      <c r="C49" s="6">
        <f t="shared" si="0"/>
        <v>-4395060.9821078908</v>
      </c>
      <c r="D49" s="6">
        <f t="shared" si="1"/>
        <v>-1524301.6782844088</v>
      </c>
      <c r="E49" s="6">
        <f t="shared" si="2"/>
        <v>-2870759.3038234813</v>
      </c>
    </row>
    <row r="50" spans="1:5" x14ac:dyDescent="0.2">
      <c r="A50">
        <v>41</v>
      </c>
      <c r="B50" s="4">
        <v>47239</v>
      </c>
      <c r="C50" s="6">
        <f t="shared" si="0"/>
        <v>-4395060.9821078908</v>
      </c>
      <c r="D50" s="6">
        <f t="shared" si="1"/>
        <v>-1502770.9835057328</v>
      </c>
      <c r="E50" s="6">
        <f t="shared" si="2"/>
        <v>-2892289.9986021575</v>
      </c>
    </row>
    <row r="51" spans="1:5" x14ac:dyDescent="0.2">
      <c r="A51">
        <v>42</v>
      </c>
      <c r="B51" s="4">
        <v>47270</v>
      </c>
      <c r="C51" s="6">
        <f t="shared" si="0"/>
        <v>-4395060.9821078908</v>
      </c>
      <c r="D51" s="6">
        <f t="shared" si="1"/>
        <v>-1481078.8085162169</v>
      </c>
      <c r="E51" s="6">
        <f t="shared" si="2"/>
        <v>-2913982.1735916738</v>
      </c>
    </row>
    <row r="52" spans="1:5" x14ac:dyDescent="0.2">
      <c r="A52">
        <v>43</v>
      </c>
      <c r="B52" s="4">
        <v>47300</v>
      </c>
      <c r="C52" s="6">
        <f t="shared" si="0"/>
        <v>-4395060.9821078908</v>
      </c>
      <c r="D52" s="6">
        <f t="shared" si="1"/>
        <v>-1459223.942214279</v>
      </c>
      <c r="E52" s="6">
        <f t="shared" si="2"/>
        <v>-2935837.0398936113</v>
      </c>
    </row>
    <row r="53" spans="1:5" x14ac:dyDescent="0.2">
      <c r="A53">
        <v>44</v>
      </c>
      <c r="B53" s="4">
        <v>47331</v>
      </c>
      <c r="C53" s="6">
        <f t="shared" si="0"/>
        <v>-4395060.9821078908</v>
      </c>
      <c r="D53" s="6">
        <f t="shared" si="1"/>
        <v>-1437205.1644150771</v>
      </c>
      <c r="E53" s="6">
        <f t="shared" si="2"/>
        <v>-2957855.8176928135</v>
      </c>
    </row>
    <row r="54" spans="1:5" x14ac:dyDescent="0.2">
      <c r="A54">
        <v>45</v>
      </c>
      <c r="B54" s="4">
        <v>47362</v>
      </c>
      <c r="C54" s="6">
        <f t="shared" si="0"/>
        <v>-4395060.9821078908</v>
      </c>
      <c r="D54" s="6">
        <f t="shared" si="1"/>
        <v>-1415021.2457823809</v>
      </c>
      <c r="E54" s="6">
        <f t="shared" si="2"/>
        <v>-2980039.7363255094</v>
      </c>
    </row>
    <row r="55" spans="1:5" x14ac:dyDescent="0.2">
      <c r="A55">
        <v>46</v>
      </c>
      <c r="B55" s="4">
        <v>47392</v>
      </c>
      <c r="C55" s="6">
        <f t="shared" si="0"/>
        <v>-4395060.9821078908</v>
      </c>
      <c r="D55" s="6">
        <f t="shared" si="1"/>
        <v>-1392670.9477599396</v>
      </c>
      <c r="E55" s="6">
        <f t="shared" si="2"/>
        <v>-3002390.0343479505</v>
      </c>
    </row>
    <row r="56" spans="1:5" x14ac:dyDescent="0.2">
      <c r="A56">
        <v>47</v>
      </c>
      <c r="B56" s="4">
        <v>47423</v>
      </c>
      <c r="C56" s="6">
        <f t="shared" si="0"/>
        <v>-4395060.9821078908</v>
      </c>
      <c r="D56" s="6">
        <f t="shared" si="1"/>
        <v>-1370153.0225023299</v>
      </c>
      <c r="E56" s="6">
        <f t="shared" si="2"/>
        <v>-3024907.9596055606</v>
      </c>
    </row>
    <row r="57" spans="1:5" x14ac:dyDescent="0.2">
      <c r="A57">
        <v>48</v>
      </c>
      <c r="B57" s="4">
        <v>47453</v>
      </c>
      <c r="C57" s="6">
        <f t="shared" si="0"/>
        <v>-4395060.9821078908</v>
      </c>
      <c r="D57" s="6">
        <f t="shared" si="1"/>
        <v>-1347466.2128052884</v>
      </c>
      <c r="E57" s="6">
        <f t="shared" si="2"/>
        <v>-3047594.7693026019</v>
      </c>
    </row>
    <row r="58" spans="1:5" x14ac:dyDescent="0.2">
      <c r="A58">
        <v>49</v>
      </c>
      <c r="B58" s="4">
        <v>47484</v>
      </c>
      <c r="C58" s="6">
        <f t="shared" si="0"/>
        <v>-4395060.9821078908</v>
      </c>
      <c r="D58" s="6">
        <f t="shared" si="1"/>
        <v>-1324609.2520355184</v>
      </c>
      <c r="E58" s="6">
        <f t="shared" si="2"/>
        <v>-3070451.7300723717</v>
      </c>
    </row>
    <row r="59" spans="1:5" x14ac:dyDescent="0.2">
      <c r="A59">
        <v>50</v>
      </c>
      <c r="B59" s="4">
        <v>47515</v>
      </c>
      <c r="C59" s="6">
        <f t="shared" si="0"/>
        <v>-4395060.9821078908</v>
      </c>
      <c r="D59" s="6">
        <f t="shared" si="1"/>
        <v>-1301580.8640599761</v>
      </c>
      <c r="E59" s="6">
        <f t="shared" si="2"/>
        <v>-3093480.1180479145</v>
      </c>
    </row>
    <row r="60" spans="1:5" x14ac:dyDescent="0.2">
      <c r="A60">
        <v>51</v>
      </c>
      <c r="B60" s="4">
        <v>47543</v>
      </c>
      <c r="C60" s="6">
        <f t="shared" si="0"/>
        <v>-4395060.9821078908</v>
      </c>
      <c r="D60" s="6">
        <f t="shared" si="1"/>
        <v>-1278379.7631746165</v>
      </c>
      <c r="E60" s="6">
        <f t="shared" si="2"/>
        <v>-3116681.2189332736</v>
      </c>
    </row>
    <row r="61" spans="1:5" x14ac:dyDescent="0.2">
      <c r="A61">
        <v>52</v>
      </c>
      <c r="B61" s="4">
        <v>47574</v>
      </c>
      <c r="C61" s="6">
        <f t="shared" si="0"/>
        <v>-4395060.9821078908</v>
      </c>
      <c r="D61" s="6">
        <f t="shared" si="1"/>
        <v>-1255004.6540326171</v>
      </c>
      <c r="E61" s="6">
        <f t="shared" si="2"/>
        <v>-3140056.3280752734</v>
      </c>
    </row>
    <row r="62" spans="1:5" x14ac:dyDescent="0.2">
      <c r="A62">
        <v>53</v>
      </c>
      <c r="B62" s="4">
        <v>47604</v>
      </c>
      <c r="C62" s="6">
        <f t="shared" si="0"/>
        <v>-4395060.9821078908</v>
      </c>
      <c r="D62" s="6">
        <f t="shared" si="1"/>
        <v>-1231454.2315720522</v>
      </c>
      <c r="E62" s="6">
        <f t="shared" si="2"/>
        <v>-3163606.7505358378</v>
      </c>
    </row>
    <row r="63" spans="1:5" x14ac:dyDescent="0.2">
      <c r="A63">
        <v>54</v>
      </c>
      <c r="B63" s="4">
        <v>47635</v>
      </c>
      <c r="C63" s="6">
        <f t="shared" si="0"/>
        <v>-4395060.9821078908</v>
      </c>
      <c r="D63" s="6">
        <f t="shared" si="1"/>
        <v>-1207727.1809430337</v>
      </c>
      <c r="E63" s="6">
        <f t="shared" si="2"/>
        <v>-3187333.8011648566</v>
      </c>
    </row>
    <row r="64" spans="1:5" x14ac:dyDescent="0.2">
      <c r="A64">
        <v>55</v>
      </c>
      <c r="B64" s="4">
        <v>47665</v>
      </c>
      <c r="C64" s="6">
        <f t="shared" si="0"/>
        <v>-4395060.9821078908</v>
      </c>
      <c r="D64" s="6">
        <f t="shared" si="1"/>
        <v>-1183822.177434297</v>
      </c>
      <c r="E64" s="6">
        <f t="shared" si="2"/>
        <v>-3211238.804673593</v>
      </c>
    </row>
    <row r="65" spans="1:5" x14ac:dyDescent="0.2">
      <c r="A65">
        <v>56</v>
      </c>
      <c r="B65" s="4">
        <v>47696</v>
      </c>
      <c r="C65" s="6">
        <f t="shared" si="0"/>
        <v>-4395060.9821078908</v>
      </c>
      <c r="D65" s="6">
        <f t="shared" si="1"/>
        <v>-1159737.8863992454</v>
      </c>
      <c r="E65" s="6">
        <f t="shared" si="2"/>
        <v>-3235323.0957086449</v>
      </c>
    </row>
    <row r="66" spans="1:5" x14ac:dyDescent="0.2">
      <c r="A66">
        <v>57</v>
      </c>
      <c r="B66" s="4">
        <v>47727</v>
      </c>
      <c r="C66" s="6">
        <f t="shared" si="0"/>
        <v>-4395060.9821078908</v>
      </c>
      <c r="D66" s="6">
        <f t="shared" si="1"/>
        <v>-1135472.9631814302</v>
      </c>
      <c r="E66" s="6">
        <f t="shared" si="2"/>
        <v>-3259588.0189264594</v>
      </c>
    </row>
    <row r="67" spans="1:5" x14ac:dyDescent="0.2">
      <c r="A67">
        <v>58</v>
      </c>
      <c r="B67" s="4">
        <v>47757</v>
      </c>
      <c r="C67" s="6">
        <f t="shared" si="0"/>
        <v>-4395060.9821078908</v>
      </c>
      <c r="D67" s="6">
        <f t="shared" si="1"/>
        <v>-1111026.0530394821</v>
      </c>
      <c r="E67" s="6">
        <f t="shared" si="2"/>
        <v>-3284034.9290684084</v>
      </c>
    </row>
    <row r="68" spans="1:5" x14ac:dyDescent="0.2">
      <c r="A68">
        <v>59</v>
      </c>
      <c r="B68" s="4">
        <v>47788</v>
      </c>
      <c r="C68" s="6">
        <f t="shared" si="0"/>
        <v>-4395060.9821078908</v>
      </c>
      <c r="D68" s="6">
        <f t="shared" si="1"/>
        <v>-1086395.791071469</v>
      </c>
      <c r="E68" s="6">
        <f t="shared" si="2"/>
        <v>-3308665.1910364218</v>
      </c>
    </row>
    <row r="69" spans="1:5" x14ac:dyDescent="0.2">
      <c r="A69">
        <v>60</v>
      </c>
      <c r="B69" s="4">
        <v>47818</v>
      </c>
      <c r="C69" s="6">
        <f t="shared" si="0"/>
        <v>-4395060.9821078908</v>
      </c>
      <c r="D69" s="6">
        <f t="shared" si="1"/>
        <v>-1061580.8021386957</v>
      </c>
      <c r="E69" s="6">
        <f t="shared" si="2"/>
        <v>-3333480.1799691948</v>
      </c>
    </row>
    <row r="70" spans="1:5" x14ac:dyDescent="0.2">
      <c r="A70">
        <v>61</v>
      </c>
      <c r="B70" s="4">
        <v>47849</v>
      </c>
      <c r="C70" s="6">
        <f t="shared" si="0"/>
        <v>-4395060.9821078908</v>
      </c>
      <c r="D70" s="6">
        <f t="shared" si="1"/>
        <v>-1036579.7007889268</v>
      </c>
      <c r="E70" s="6">
        <f t="shared" si="2"/>
        <v>-3358481.2813189635</v>
      </c>
    </row>
    <row r="71" spans="1:5" x14ac:dyDescent="0.2">
      <c r="A71">
        <v>62</v>
      </c>
      <c r="B71" s="4">
        <v>47880</v>
      </c>
      <c r="C71" s="6">
        <f t="shared" si="0"/>
        <v>-4395060.9821078908</v>
      </c>
      <c r="D71" s="6">
        <f t="shared" si="1"/>
        <v>-1011391.0911790346</v>
      </c>
      <c r="E71" s="6">
        <f t="shared" si="2"/>
        <v>-3383669.8909288556</v>
      </c>
    </row>
    <row r="72" spans="1:5" x14ac:dyDescent="0.2">
      <c r="A72">
        <v>63</v>
      </c>
      <c r="B72" s="4">
        <v>47908</v>
      </c>
      <c r="C72" s="6">
        <f t="shared" si="0"/>
        <v>-4395060.9821078908</v>
      </c>
      <c r="D72" s="6">
        <f t="shared" si="1"/>
        <v>-986013.566997068</v>
      </c>
      <c r="E72" s="6">
        <f t="shared" si="2"/>
        <v>-3409047.4151108223</v>
      </c>
    </row>
    <row r="73" spans="1:5" x14ac:dyDescent="0.2">
      <c r="A73">
        <v>64</v>
      </c>
      <c r="B73" s="4">
        <v>47939</v>
      </c>
      <c r="C73" s="6">
        <f t="shared" si="0"/>
        <v>-4395060.9821078908</v>
      </c>
      <c r="D73" s="6">
        <f t="shared" si="1"/>
        <v>-960445.71138373693</v>
      </c>
      <c r="E73" s="6">
        <f t="shared" si="2"/>
        <v>-3434615.2707241536</v>
      </c>
    </row>
    <row r="74" spans="1:5" x14ac:dyDescent="0.2">
      <c r="A74">
        <v>65</v>
      </c>
      <c r="B74" s="4">
        <v>47969</v>
      </c>
      <c r="C74" s="6">
        <f t="shared" si="0"/>
        <v>-4395060.9821078908</v>
      </c>
      <c r="D74" s="6">
        <f t="shared" si="1"/>
        <v>-934686.09685330582</v>
      </c>
      <c r="E74" s="6">
        <f t="shared" si="2"/>
        <v>-3460374.8852545843</v>
      </c>
    </row>
    <row r="75" spans="1:5" x14ac:dyDescent="0.2">
      <c r="A75">
        <v>66</v>
      </c>
      <c r="B75" s="4">
        <v>48000</v>
      </c>
      <c r="C75" s="6">
        <f t="shared" ref="C75:C108" si="3">PMT($E$3/$E$5,$E$4*$E$5,$E$6)</f>
        <v>-4395060.9821078908</v>
      </c>
      <c r="D75" s="6">
        <f t="shared" ref="D75:D108" si="4">IPMT($E$3/$E$5,A75,$E$4*$E$5,$E$6)</f>
        <v>-908733.28521389642</v>
      </c>
      <c r="E75" s="6">
        <f t="shared" ref="E75:E108" si="5">PPMT($E$3/$E$5,A75,$E$4*$E$5,$E$6)</f>
        <v>-3486327.6968939942</v>
      </c>
    </row>
    <row r="76" spans="1:5" x14ac:dyDescent="0.2">
      <c r="A76">
        <v>67</v>
      </c>
      <c r="B76" s="4">
        <v>48030</v>
      </c>
      <c r="C76" s="6">
        <f t="shared" si="3"/>
        <v>-4395060.9821078908</v>
      </c>
      <c r="D76" s="6">
        <f t="shared" si="4"/>
        <v>-882585.82748719153</v>
      </c>
      <c r="E76" s="6">
        <f t="shared" si="5"/>
        <v>-3512475.1546206991</v>
      </c>
    </row>
    <row r="77" spans="1:5" x14ac:dyDescent="0.2">
      <c r="A77">
        <v>68</v>
      </c>
      <c r="B77" s="4">
        <v>48061</v>
      </c>
      <c r="C77" s="6">
        <f t="shared" si="3"/>
        <v>-4395060.9821078908</v>
      </c>
      <c r="D77" s="6">
        <f t="shared" si="4"/>
        <v>-856242.26382753614</v>
      </c>
      <c r="E77" s="6">
        <f t="shared" si="5"/>
        <v>-3538818.7182803545</v>
      </c>
    </row>
    <row r="78" spans="1:5" x14ac:dyDescent="0.2">
      <c r="A78">
        <v>69</v>
      </c>
      <c r="B78" s="4">
        <v>48092</v>
      </c>
      <c r="C78" s="6">
        <f t="shared" si="3"/>
        <v>-4395060.9821078908</v>
      </c>
      <c r="D78" s="6">
        <f t="shared" si="4"/>
        <v>-829701.12344043364</v>
      </c>
      <c r="E78" s="6">
        <f t="shared" si="5"/>
        <v>-3565359.858667457</v>
      </c>
    </row>
    <row r="79" spans="1:5" x14ac:dyDescent="0.2">
      <c r="A79">
        <v>70</v>
      </c>
      <c r="B79" s="4">
        <v>48122</v>
      </c>
      <c r="C79" s="6">
        <f t="shared" si="3"/>
        <v>-4395060.9821078908</v>
      </c>
      <c r="D79" s="6">
        <f t="shared" si="4"/>
        <v>-802960.92450042756</v>
      </c>
      <c r="E79" s="6">
        <f t="shared" si="5"/>
        <v>-3592100.0576074631</v>
      </c>
    </row>
    <row r="80" spans="1:5" x14ac:dyDescent="0.2">
      <c r="A80">
        <v>71</v>
      </c>
      <c r="B80" s="4">
        <v>48153</v>
      </c>
      <c r="C80" s="6">
        <f t="shared" si="3"/>
        <v>-4395060.9821078908</v>
      </c>
      <c r="D80" s="6">
        <f t="shared" si="4"/>
        <v>-776020.17406837165</v>
      </c>
      <c r="E80" s="6">
        <f t="shared" si="5"/>
        <v>-3619040.808039519</v>
      </c>
    </row>
    <row r="81" spans="1:5" x14ac:dyDescent="0.2">
      <c r="A81">
        <v>72</v>
      </c>
      <c r="B81" s="4">
        <v>48183</v>
      </c>
      <c r="C81" s="6">
        <f t="shared" si="3"/>
        <v>-4395060.9821078908</v>
      </c>
      <c r="D81" s="6">
        <f t="shared" si="4"/>
        <v>-748877.36800807517</v>
      </c>
      <c r="E81" s="6">
        <f t="shared" si="5"/>
        <v>-3646183.614099815</v>
      </c>
    </row>
    <row r="82" spans="1:5" x14ac:dyDescent="0.2">
      <c r="A82">
        <v>73</v>
      </c>
      <c r="B82" s="4">
        <v>48214</v>
      </c>
      <c r="C82" s="6">
        <f t="shared" si="3"/>
        <v>-4395060.9821078908</v>
      </c>
      <c r="D82" s="6">
        <f t="shared" si="4"/>
        <v>-721530.99090232665</v>
      </c>
      <c r="E82" s="6">
        <f t="shared" si="5"/>
        <v>-3673529.9912055638</v>
      </c>
    </row>
    <row r="83" spans="1:5" x14ac:dyDescent="0.2">
      <c r="A83">
        <v>74</v>
      </c>
      <c r="B83" s="4">
        <v>48245</v>
      </c>
      <c r="C83" s="6">
        <f t="shared" si="3"/>
        <v>-4395060.9821078908</v>
      </c>
      <c r="D83" s="6">
        <f t="shared" si="4"/>
        <v>-693979.51596828492</v>
      </c>
      <c r="E83" s="6">
        <f t="shared" si="5"/>
        <v>-3701081.4661396053</v>
      </c>
    </row>
    <row r="84" spans="1:5" x14ac:dyDescent="0.2">
      <c r="A84">
        <v>75</v>
      </c>
      <c r="B84" s="4">
        <v>48274</v>
      </c>
      <c r="C84" s="6">
        <f t="shared" si="3"/>
        <v>-4395060.9821078908</v>
      </c>
      <c r="D84" s="6">
        <f t="shared" si="4"/>
        <v>-666221.40497223777</v>
      </c>
      <c r="E84" s="6">
        <f t="shared" si="5"/>
        <v>-3728839.5771356523</v>
      </c>
    </row>
    <row r="85" spans="1:5" x14ac:dyDescent="0.2">
      <c r="A85">
        <v>76</v>
      </c>
      <c r="B85" s="4">
        <v>48305</v>
      </c>
      <c r="C85" s="6">
        <f t="shared" si="3"/>
        <v>-4395060.9821078908</v>
      </c>
      <c r="D85" s="6">
        <f t="shared" si="4"/>
        <v>-638255.10814372043</v>
      </c>
      <c r="E85" s="6">
        <f t="shared" si="5"/>
        <v>-3756805.87396417</v>
      </c>
    </row>
    <row r="86" spans="1:5" x14ac:dyDescent="0.2">
      <c r="A86">
        <v>77</v>
      </c>
      <c r="B86" s="4">
        <v>48335</v>
      </c>
      <c r="C86" s="6">
        <f t="shared" si="3"/>
        <v>-4395060.9821078908</v>
      </c>
      <c r="D86" s="6">
        <f t="shared" si="4"/>
        <v>-610079.06408898905</v>
      </c>
      <c r="E86" s="6">
        <f t="shared" si="5"/>
        <v>-3784981.9180189013</v>
      </c>
    </row>
    <row r="87" spans="1:5" x14ac:dyDescent="0.2">
      <c r="A87">
        <v>78</v>
      </c>
      <c r="B87" s="4">
        <v>48366</v>
      </c>
      <c r="C87" s="6">
        <f t="shared" si="3"/>
        <v>-4395060.9821078908</v>
      </c>
      <c r="D87" s="6">
        <f t="shared" si="4"/>
        <v>-581691.69970384741</v>
      </c>
      <c r="E87" s="6">
        <f t="shared" si="5"/>
        <v>-3813369.2824040432</v>
      </c>
    </row>
    <row r="88" spans="1:5" x14ac:dyDescent="0.2">
      <c r="A88">
        <v>79</v>
      </c>
      <c r="B88" s="4">
        <v>48396</v>
      </c>
      <c r="C88" s="6">
        <f t="shared" si="3"/>
        <v>-4395060.9821078908</v>
      </c>
      <c r="D88" s="6">
        <f t="shared" si="4"/>
        <v>-553091.430085817</v>
      </c>
      <c r="E88" s="6">
        <f t="shared" si="5"/>
        <v>-3841969.5520220734</v>
      </c>
    </row>
    <row r="89" spans="1:5" x14ac:dyDescent="0.2">
      <c r="A89">
        <v>80</v>
      </c>
      <c r="B89" s="4">
        <v>48427</v>
      </c>
      <c r="C89" s="6">
        <f t="shared" si="3"/>
        <v>-4395060.9821078908</v>
      </c>
      <c r="D89" s="6">
        <f t="shared" si="4"/>
        <v>-524276.65844565153</v>
      </c>
      <c r="E89" s="6">
        <f t="shared" si="5"/>
        <v>-3870784.3236622387</v>
      </c>
    </row>
    <row r="90" spans="1:5" x14ac:dyDescent="0.2">
      <c r="A90">
        <v>81</v>
      </c>
      <c r="B90" s="4">
        <v>48458</v>
      </c>
      <c r="C90" s="6">
        <f t="shared" si="3"/>
        <v>-4395060.9821078908</v>
      </c>
      <c r="D90" s="6">
        <f t="shared" si="4"/>
        <v>-495245.77601818473</v>
      </c>
      <c r="E90" s="6">
        <f t="shared" si="5"/>
        <v>-3899815.2060897057</v>
      </c>
    </row>
    <row r="91" spans="1:5" x14ac:dyDescent="0.2">
      <c r="A91">
        <v>82</v>
      </c>
      <c r="B91" s="4">
        <v>48488</v>
      </c>
      <c r="C91" s="6">
        <f t="shared" si="3"/>
        <v>-4395060.9821078908</v>
      </c>
      <c r="D91" s="6">
        <f t="shared" si="4"/>
        <v>-465997.16197251203</v>
      </c>
      <c r="E91" s="6">
        <f t="shared" si="5"/>
        <v>-3929063.8201353787</v>
      </c>
    </row>
    <row r="92" spans="1:5" x14ac:dyDescent="0.2">
      <c r="A92">
        <v>83</v>
      </c>
      <c r="B92" s="4">
        <v>48519</v>
      </c>
      <c r="C92" s="6">
        <f t="shared" si="3"/>
        <v>-4395060.9821078908</v>
      </c>
      <c r="D92" s="6">
        <f t="shared" si="4"/>
        <v>-436529.18332149665</v>
      </c>
      <c r="E92" s="6">
        <f t="shared" si="5"/>
        <v>-3958531.7987863938</v>
      </c>
    </row>
    <row r="93" spans="1:5" x14ac:dyDescent="0.2">
      <c r="A93">
        <v>84</v>
      </c>
      <c r="B93" s="4">
        <v>48549</v>
      </c>
      <c r="C93" s="6">
        <f t="shared" si="3"/>
        <v>-4395060.9821078908</v>
      </c>
      <c r="D93" s="6">
        <f t="shared" si="4"/>
        <v>-406840.19483059878</v>
      </c>
      <c r="E93" s="6">
        <f t="shared" si="5"/>
        <v>-3988220.7872772915</v>
      </c>
    </row>
    <row r="94" spans="1:5" x14ac:dyDescent="0.2">
      <c r="A94">
        <v>85</v>
      </c>
      <c r="B94" s="4">
        <v>48580</v>
      </c>
      <c r="C94" s="6">
        <f t="shared" si="3"/>
        <v>-4395060.9821078908</v>
      </c>
      <c r="D94" s="6">
        <f t="shared" si="4"/>
        <v>-376928.53892601898</v>
      </c>
      <c r="E94" s="6">
        <f t="shared" si="5"/>
        <v>-4018132.4431818714</v>
      </c>
    </row>
    <row r="95" spans="1:5" x14ac:dyDescent="0.2">
      <c r="A95">
        <v>86</v>
      </c>
      <c r="B95" s="4">
        <v>48611</v>
      </c>
      <c r="C95" s="6">
        <f t="shared" si="3"/>
        <v>-4395060.9821078908</v>
      </c>
      <c r="D95" s="6">
        <f t="shared" si="4"/>
        <v>-346792.54560215498</v>
      </c>
      <c r="E95" s="6">
        <f t="shared" si="5"/>
        <v>-4048268.4365057354</v>
      </c>
    </row>
    <row r="96" spans="1:5" x14ac:dyDescent="0.2">
      <c r="A96">
        <v>87</v>
      </c>
      <c r="B96" s="4">
        <v>48639</v>
      </c>
      <c r="C96" s="6">
        <f t="shared" si="3"/>
        <v>-4395060.9821078908</v>
      </c>
      <c r="D96" s="6">
        <f t="shared" si="4"/>
        <v>-316430.53232836188</v>
      </c>
      <c r="E96" s="6">
        <f t="shared" si="5"/>
        <v>-4078630.4497795287</v>
      </c>
    </row>
    <row r="97" spans="1:5" x14ac:dyDescent="0.2">
      <c r="A97">
        <v>88</v>
      </c>
      <c r="B97" s="4">
        <v>48670</v>
      </c>
      <c r="C97" s="6">
        <f t="shared" si="3"/>
        <v>-4395060.9821078908</v>
      </c>
      <c r="D97" s="6">
        <f t="shared" si="4"/>
        <v>-285840.80395501544</v>
      </c>
      <c r="E97" s="6">
        <f t="shared" si="5"/>
        <v>-4109220.178152875</v>
      </c>
    </row>
    <row r="98" spans="1:5" x14ac:dyDescent="0.2">
      <c r="A98">
        <v>89</v>
      </c>
      <c r="B98" s="4">
        <v>48700</v>
      </c>
      <c r="C98" s="6">
        <f t="shared" si="3"/>
        <v>-4395060.9821078908</v>
      </c>
      <c r="D98" s="6">
        <f t="shared" si="4"/>
        <v>-255021.65261886889</v>
      </c>
      <c r="E98" s="6">
        <f t="shared" si="5"/>
        <v>-4140039.3294890211</v>
      </c>
    </row>
    <row r="99" spans="1:5" x14ac:dyDescent="0.2">
      <c r="A99">
        <v>90</v>
      </c>
      <c r="B99" s="4">
        <v>48731</v>
      </c>
      <c r="C99" s="6">
        <f t="shared" si="3"/>
        <v>-4395060.9821078908</v>
      </c>
      <c r="D99" s="6">
        <f t="shared" si="4"/>
        <v>-223971.35764770125</v>
      </c>
      <c r="E99" s="6">
        <f t="shared" si="5"/>
        <v>-4171089.6244601887</v>
      </c>
    </row>
    <row r="100" spans="1:5" x14ac:dyDescent="0.2">
      <c r="A100">
        <v>91</v>
      </c>
      <c r="B100" s="4">
        <v>48761</v>
      </c>
      <c r="C100" s="6">
        <f t="shared" si="3"/>
        <v>-4395060.9821078908</v>
      </c>
      <c r="D100" s="6">
        <f t="shared" si="4"/>
        <v>-192688.18546424984</v>
      </c>
      <c r="E100" s="6">
        <f t="shared" si="5"/>
        <v>-4202372.7966436399</v>
      </c>
    </row>
    <row r="101" spans="1:5" x14ac:dyDescent="0.2">
      <c r="A101">
        <v>92</v>
      </c>
      <c r="B101" s="4">
        <v>48792</v>
      </c>
      <c r="C101" s="6">
        <f t="shared" si="3"/>
        <v>-4395060.9821078908</v>
      </c>
      <c r="D101" s="6">
        <f t="shared" si="4"/>
        <v>-161170.38948942252</v>
      </c>
      <c r="E101" s="6">
        <f t="shared" si="5"/>
        <v>-4233890.5926184682</v>
      </c>
    </row>
    <row r="102" spans="1:5" x14ac:dyDescent="0.2">
      <c r="A102">
        <v>93</v>
      </c>
      <c r="B102" s="4">
        <v>48823</v>
      </c>
      <c r="C102" s="6">
        <f t="shared" si="3"/>
        <v>-4395060.9821078908</v>
      </c>
      <c r="D102" s="6">
        <f t="shared" si="4"/>
        <v>-129416.21004478401</v>
      </c>
      <c r="E102" s="6">
        <f t="shared" si="5"/>
        <v>-4265644.7720631063</v>
      </c>
    </row>
    <row r="103" spans="1:5" x14ac:dyDescent="0.2">
      <c r="A103">
        <v>94</v>
      </c>
      <c r="B103" s="4">
        <v>48853</v>
      </c>
      <c r="C103" s="6">
        <f t="shared" si="3"/>
        <v>-4395060.9821078908</v>
      </c>
      <c r="D103" s="6">
        <f t="shared" si="4"/>
        <v>-97423.874254310707</v>
      </c>
      <c r="E103" s="6">
        <f t="shared" si="5"/>
        <v>-4297637.1078535793</v>
      </c>
    </row>
    <row r="104" spans="1:5" x14ac:dyDescent="0.2">
      <c r="A104">
        <v>95</v>
      </c>
      <c r="B104" s="4">
        <v>48884</v>
      </c>
      <c r="C104" s="6">
        <f t="shared" si="3"/>
        <v>-4395060.9821078908</v>
      </c>
      <c r="D104" s="6">
        <f t="shared" si="4"/>
        <v>-65191.595945408866</v>
      </c>
      <c r="E104" s="6">
        <f t="shared" si="5"/>
        <v>-4329869.3861624822</v>
      </c>
    </row>
    <row r="105" spans="1:5" x14ac:dyDescent="0.2">
      <c r="A105">
        <v>96</v>
      </c>
      <c r="B105" s="4">
        <v>48914</v>
      </c>
      <c r="C105" s="6">
        <f t="shared" si="3"/>
        <v>-4395060.9821078908</v>
      </c>
      <c r="D105" s="6">
        <f t="shared" si="4"/>
        <v>-32717.575549190256</v>
      </c>
      <c r="E105" s="6">
        <f t="shared" si="5"/>
        <v>-4362343.4065587008</v>
      </c>
    </row>
    <row r="106" spans="1:5" x14ac:dyDescent="0.2">
      <c r="A106">
        <v>97</v>
      </c>
      <c r="B106" s="4">
        <v>48945</v>
      </c>
      <c r="C106" s="6">
        <f t="shared" si="3"/>
        <v>-4395060.9821078908</v>
      </c>
      <c r="D106" s="6" t="e">
        <f t="shared" si="4"/>
        <v>#NUM!</v>
      </c>
      <c r="E106" s="6" t="e">
        <f t="shared" si="5"/>
        <v>#NUM!</v>
      </c>
    </row>
    <row r="107" spans="1:5" x14ac:dyDescent="0.2">
      <c r="A107">
        <v>98</v>
      </c>
      <c r="B107" s="4">
        <v>48976</v>
      </c>
      <c r="C107" s="6">
        <f t="shared" si="3"/>
        <v>-4395060.9821078908</v>
      </c>
      <c r="D107" s="6" t="e">
        <f t="shared" si="4"/>
        <v>#NUM!</v>
      </c>
      <c r="E107" s="6" t="e">
        <f t="shared" si="5"/>
        <v>#NUM!</v>
      </c>
    </row>
    <row r="108" spans="1:5" x14ac:dyDescent="0.2">
      <c r="A108">
        <v>99</v>
      </c>
      <c r="B108" s="4">
        <v>49004</v>
      </c>
      <c r="C108" s="6">
        <f t="shared" si="3"/>
        <v>-4395060.9821078908</v>
      </c>
      <c r="D108" s="6" t="e">
        <f t="shared" si="4"/>
        <v>#NUM!</v>
      </c>
      <c r="E108" s="6" t="e">
        <f t="shared" si="5"/>
        <v>#NUM!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view="pageBreakPreview" topLeftCell="A47" zoomScale="85" zoomScaleNormal="100" zoomScaleSheetLayoutView="85" workbookViewId="0">
      <selection activeCell="E59" sqref="E59"/>
    </sheetView>
  </sheetViews>
  <sheetFormatPr defaultColWidth="9.140625" defaultRowHeight="15" x14ac:dyDescent="0.25"/>
  <cols>
    <col min="1" max="1" width="6.7109375" style="10" customWidth="1"/>
    <col min="2" max="2" width="31.140625" style="10" customWidth="1"/>
    <col min="3" max="3" width="12" style="10" customWidth="1"/>
    <col min="4" max="4" width="16.5703125" style="10" customWidth="1"/>
    <col min="5" max="5" width="16.7109375" style="10" customWidth="1"/>
    <col min="6" max="6" width="13" style="10" bestFit="1" customWidth="1"/>
    <col min="7" max="7" width="8.5703125" style="10" customWidth="1"/>
    <col min="8" max="8" width="9.140625" style="10" customWidth="1"/>
    <col min="9" max="16384" width="9.140625" style="10"/>
  </cols>
  <sheetData>
    <row r="1" spans="1:8" x14ac:dyDescent="0.25">
      <c r="A1" s="401" t="str">
        <f>Cost!A1</f>
        <v>Vaayu Suites</v>
      </c>
      <c r="B1" s="401"/>
      <c r="C1" s="401"/>
      <c r="D1" s="401"/>
      <c r="E1" s="401"/>
    </row>
    <row r="2" spans="1:8" ht="31.5" customHeight="1" x14ac:dyDescent="0.25">
      <c r="A2" s="429" t="str">
        <f>Cost!A2</f>
        <v>LAND IS SITUATED AT KHASARA NO. 579/546, REVENUE VILLAGE-SENA, TEHSIL-BALI, DISTRICT-PALI, RAJASTHAN, HAVING TOTAL AREA OF 32800 SQUARE METERS.</v>
      </c>
      <c r="B2" s="429"/>
      <c r="C2" s="429"/>
      <c r="D2" s="429"/>
      <c r="E2" s="429"/>
    </row>
    <row r="3" spans="1:8" x14ac:dyDescent="0.25">
      <c r="A3" s="428" t="s">
        <v>0</v>
      </c>
      <c r="B3" s="428"/>
      <c r="C3" s="428"/>
      <c r="D3" s="338"/>
      <c r="E3" s="339"/>
    </row>
    <row r="4" spans="1:8" ht="48" customHeight="1" x14ac:dyDescent="0.25">
      <c r="A4" s="91">
        <v>1</v>
      </c>
      <c r="B4" s="223" t="s">
        <v>85</v>
      </c>
      <c r="C4" s="424" t="s">
        <v>320</v>
      </c>
      <c r="D4" s="424"/>
      <c r="E4" s="424"/>
    </row>
    <row r="5" spans="1:8" ht="30.75" customHeight="1" x14ac:dyDescent="0.25">
      <c r="A5" s="266">
        <v>2</v>
      </c>
      <c r="B5" s="267" t="s">
        <v>118</v>
      </c>
      <c r="C5" s="430">
        <v>32800</v>
      </c>
      <c r="D5" s="431"/>
      <c r="E5" s="432"/>
      <c r="G5" s="29"/>
      <c r="H5" s="29"/>
    </row>
    <row r="6" spans="1:8" ht="15.75" customHeight="1" x14ac:dyDescent="0.25">
      <c r="A6" s="91">
        <v>3</v>
      </c>
      <c r="B6" s="223" t="s">
        <v>107</v>
      </c>
      <c r="C6" s="425" t="s">
        <v>96</v>
      </c>
      <c r="D6" s="426"/>
      <c r="E6" s="427"/>
    </row>
    <row r="7" spans="1:8" ht="30.75" customHeight="1" x14ac:dyDescent="0.25">
      <c r="A7" s="91">
        <v>4</v>
      </c>
      <c r="B7" s="223" t="s">
        <v>121</v>
      </c>
      <c r="C7" s="422" t="s">
        <v>142</v>
      </c>
      <c r="D7" s="423"/>
      <c r="E7" s="340">
        <v>5</v>
      </c>
      <c r="F7" s="257">
        <v>52500000</v>
      </c>
      <c r="G7" s="10">
        <f>+F7/100000</f>
        <v>525</v>
      </c>
    </row>
    <row r="8" spans="1:8" ht="15" customHeight="1" x14ac:dyDescent="0.25">
      <c r="B8" s="13"/>
      <c r="C8" s="90"/>
      <c r="D8" s="90"/>
      <c r="E8" s="90"/>
    </row>
    <row r="9" spans="1:8" ht="15" customHeight="1" x14ac:dyDescent="0.25">
      <c r="A9" s="404" t="s">
        <v>86</v>
      </c>
      <c r="B9" s="404"/>
      <c r="C9" s="404"/>
      <c r="D9" s="172"/>
      <c r="E9" s="172"/>
    </row>
    <row r="10" spans="1:8" ht="15" customHeight="1" x14ac:dyDescent="0.25">
      <c r="A10" s="171" t="s">
        <v>72</v>
      </c>
      <c r="B10" s="171" t="s">
        <v>73</v>
      </c>
      <c r="C10" s="220" t="s">
        <v>105</v>
      </c>
      <c r="D10" s="220" t="s">
        <v>106</v>
      </c>
      <c r="E10" s="220" t="s">
        <v>100</v>
      </c>
    </row>
    <row r="11" spans="1:8" x14ac:dyDescent="0.25">
      <c r="A11" s="91">
        <v>1</v>
      </c>
      <c r="B11" s="258" t="s">
        <v>287</v>
      </c>
      <c r="C11" s="221"/>
      <c r="D11" s="92"/>
      <c r="E11" s="93">
        <v>525</v>
      </c>
    </row>
    <row r="12" spans="1:8" x14ac:dyDescent="0.25">
      <c r="A12" s="184">
        <v>2</v>
      </c>
      <c r="B12" s="258" t="s">
        <v>288</v>
      </c>
      <c r="C12" s="89"/>
      <c r="D12" s="94"/>
      <c r="E12" s="93">
        <v>514.22</v>
      </c>
    </row>
    <row r="13" spans="1:8" x14ac:dyDescent="0.25">
      <c r="A13" s="91">
        <v>3</v>
      </c>
      <c r="B13" s="258" t="s">
        <v>289</v>
      </c>
      <c r="C13" s="89"/>
      <c r="D13" s="95"/>
      <c r="E13" s="93">
        <v>165.89</v>
      </c>
    </row>
    <row r="14" spans="1:8" ht="15.75" customHeight="1" x14ac:dyDescent="0.25">
      <c r="A14" s="184">
        <v>4</v>
      </c>
      <c r="B14" s="258" t="s">
        <v>290</v>
      </c>
      <c r="C14" s="222"/>
      <c r="D14" s="96"/>
      <c r="E14" s="93">
        <v>70.739999999999995</v>
      </c>
    </row>
    <row r="15" spans="1:8" x14ac:dyDescent="0.25">
      <c r="A15" s="91">
        <v>5</v>
      </c>
      <c r="B15" s="258" t="s">
        <v>291</v>
      </c>
      <c r="C15" s="222"/>
      <c r="D15" s="97"/>
      <c r="E15" s="93">
        <v>38.26</v>
      </c>
      <c r="F15" s="10">
        <v>24.24</v>
      </c>
    </row>
    <row r="16" spans="1:8" x14ac:dyDescent="0.25">
      <c r="A16" s="184">
        <v>6</v>
      </c>
      <c r="B16" s="258" t="s">
        <v>292</v>
      </c>
      <c r="C16" s="222"/>
      <c r="D16" s="97"/>
      <c r="E16" s="93">
        <v>103.36</v>
      </c>
    </row>
    <row r="17" spans="1:7" x14ac:dyDescent="0.25">
      <c r="A17" s="184">
        <v>7</v>
      </c>
      <c r="B17" s="258" t="s">
        <v>293</v>
      </c>
      <c r="C17" s="222"/>
      <c r="D17" s="97"/>
      <c r="E17" s="93">
        <v>124.68</v>
      </c>
    </row>
    <row r="18" spans="1:7" x14ac:dyDescent="0.25">
      <c r="A18" s="184">
        <v>8</v>
      </c>
      <c r="B18" s="258" t="s">
        <v>294</v>
      </c>
      <c r="C18" s="222"/>
      <c r="D18" s="97"/>
      <c r="E18" s="93">
        <v>80</v>
      </c>
    </row>
    <row r="19" spans="1:7" x14ac:dyDescent="0.25">
      <c r="A19" s="184">
        <v>9</v>
      </c>
      <c r="B19" s="258" t="s">
        <v>295</v>
      </c>
      <c r="C19" s="222"/>
      <c r="D19" s="97"/>
      <c r="E19" s="93">
        <v>100</v>
      </c>
    </row>
    <row r="20" spans="1:7" x14ac:dyDescent="0.25">
      <c r="A20" s="184"/>
      <c r="B20" s="258"/>
      <c r="C20" s="32"/>
      <c r="D20" s="97"/>
      <c r="E20" s="93"/>
    </row>
    <row r="21" spans="1:7" x14ac:dyDescent="0.25">
      <c r="A21" s="184"/>
      <c r="B21" s="412" t="s">
        <v>141</v>
      </c>
      <c r="C21" s="413"/>
      <c r="D21" s="414"/>
      <c r="E21" s="173">
        <f>SUM(E11:E20)</f>
        <v>1722.15</v>
      </c>
      <c r="G21" s="29"/>
    </row>
    <row r="22" spans="1:7" x14ac:dyDescent="0.25">
      <c r="A22" s="184">
        <v>10</v>
      </c>
      <c r="B22" s="258" t="s">
        <v>296</v>
      </c>
      <c r="C22" s="72"/>
      <c r="D22" s="72"/>
      <c r="E22" s="93">
        <v>29</v>
      </c>
      <c r="G22" s="29"/>
    </row>
    <row r="23" spans="1:7" x14ac:dyDescent="0.25">
      <c r="A23" s="184"/>
      <c r="B23" s="258" t="s">
        <v>297</v>
      </c>
      <c r="C23" s="72"/>
      <c r="D23" s="72"/>
      <c r="E23" s="93">
        <v>315.20999999999998</v>
      </c>
      <c r="G23" s="29"/>
    </row>
    <row r="24" spans="1:7" x14ac:dyDescent="0.25">
      <c r="A24" s="184"/>
      <c r="B24" s="258" t="s">
        <v>318</v>
      </c>
      <c r="C24" s="72"/>
      <c r="D24" s="72"/>
      <c r="E24" s="93">
        <v>0.36</v>
      </c>
    </row>
    <row r="25" spans="1:7" x14ac:dyDescent="0.25">
      <c r="A25" s="89"/>
      <c r="B25" s="174" t="s">
        <v>75</v>
      </c>
      <c r="C25" s="171"/>
      <c r="D25" s="171"/>
      <c r="E25" s="175">
        <f>SUM(E21:E23)-E24</f>
        <v>2066</v>
      </c>
      <c r="G25" s="29"/>
    </row>
    <row r="26" spans="1:7" x14ac:dyDescent="0.25">
      <c r="A26" s="82"/>
      <c r="B26" s="98"/>
      <c r="C26" s="99"/>
      <c r="D26" s="99"/>
      <c r="E26" s="100"/>
    </row>
    <row r="27" spans="1:7" x14ac:dyDescent="0.25">
      <c r="A27" s="408" t="s">
        <v>119</v>
      </c>
      <c r="B27" s="408"/>
      <c r="C27" s="408"/>
      <c r="D27" s="172"/>
      <c r="E27" s="172"/>
    </row>
    <row r="28" spans="1:7" x14ac:dyDescent="0.25">
      <c r="A28" s="405" t="s">
        <v>74</v>
      </c>
      <c r="B28" s="406" t="s">
        <v>31</v>
      </c>
      <c r="C28" s="407" t="s">
        <v>97</v>
      </c>
      <c r="D28" s="407" t="s">
        <v>98</v>
      </c>
      <c r="E28" s="407" t="s">
        <v>101</v>
      </c>
    </row>
    <row r="29" spans="1:7" ht="5.25" customHeight="1" x14ac:dyDescent="0.25">
      <c r="A29" s="405"/>
      <c r="B29" s="406"/>
      <c r="C29" s="407"/>
      <c r="D29" s="407"/>
      <c r="E29" s="407"/>
    </row>
    <row r="30" spans="1:7" ht="15" hidden="1" customHeight="1" x14ac:dyDescent="0.25">
      <c r="A30" s="405"/>
      <c r="B30" s="406"/>
      <c r="C30" s="171"/>
      <c r="D30" s="407"/>
      <c r="E30" s="407"/>
    </row>
    <row r="31" spans="1:7" x14ac:dyDescent="0.25">
      <c r="A31" s="91">
        <v>1</v>
      </c>
      <c r="B31" s="259" t="s">
        <v>298</v>
      </c>
      <c r="C31" s="261">
        <v>65</v>
      </c>
      <c r="D31" s="265">
        <v>1.25</v>
      </c>
      <c r="E31" s="219">
        <f>D31*C31</f>
        <v>81.25</v>
      </c>
      <c r="F31" s="10">
        <v>63.25</v>
      </c>
    </row>
    <row r="32" spans="1:7" x14ac:dyDescent="0.25">
      <c r="A32" s="91">
        <v>2</v>
      </c>
      <c r="B32" s="259" t="s">
        <v>299</v>
      </c>
      <c r="C32" s="261">
        <v>2</v>
      </c>
      <c r="D32" s="265">
        <v>16.149999999999999</v>
      </c>
      <c r="E32" s="219">
        <f t="shared" ref="E32:E44" si="0">D32*C32</f>
        <v>32.299999999999997</v>
      </c>
    </row>
    <row r="33" spans="1:7" x14ac:dyDescent="0.25">
      <c r="A33" s="91">
        <v>3</v>
      </c>
      <c r="B33" s="259" t="s">
        <v>300</v>
      </c>
      <c r="C33" s="261">
        <v>2</v>
      </c>
      <c r="D33" s="265">
        <v>7.61</v>
      </c>
      <c r="E33" s="219">
        <f t="shared" si="0"/>
        <v>15.22</v>
      </c>
    </row>
    <row r="34" spans="1:7" x14ac:dyDescent="0.25">
      <c r="A34" s="91">
        <v>4</v>
      </c>
      <c r="B34" s="259" t="s">
        <v>301</v>
      </c>
      <c r="C34" s="261">
        <v>1</v>
      </c>
      <c r="D34" s="265">
        <v>31.87</v>
      </c>
      <c r="E34" s="219">
        <f t="shared" si="0"/>
        <v>31.87</v>
      </c>
    </row>
    <row r="35" spans="1:7" x14ac:dyDescent="0.25">
      <c r="A35" s="91">
        <v>5</v>
      </c>
      <c r="B35" s="259" t="s">
        <v>302</v>
      </c>
      <c r="C35" s="261">
        <v>25</v>
      </c>
      <c r="D35" s="265">
        <v>1.4</v>
      </c>
      <c r="E35" s="219">
        <f t="shared" si="0"/>
        <v>35</v>
      </c>
    </row>
    <row r="36" spans="1:7" x14ac:dyDescent="0.25">
      <c r="A36" s="91">
        <v>6</v>
      </c>
      <c r="B36" s="259" t="s">
        <v>303</v>
      </c>
      <c r="C36" s="261">
        <v>1</v>
      </c>
      <c r="D36" s="265">
        <v>5.66</v>
      </c>
      <c r="E36" s="219">
        <f t="shared" si="0"/>
        <v>5.66</v>
      </c>
    </row>
    <row r="37" spans="1:7" x14ac:dyDescent="0.25">
      <c r="A37" s="91">
        <v>7</v>
      </c>
      <c r="B37" s="260" t="s">
        <v>304</v>
      </c>
      <c r="C37" s="261">
        <v>1</v>
      </c>
      <c r="D37" s="265">
        <v>4.96</v>
      </c>
      <c r="E37" s="219">
        <f t="shared" si="0"/>
        <v>4.96</v>
      </c>
    </row>
    <row r="38" spans="1:7" ht="30" x14ac:dyDescent="0.25">
      <c r="A38" s="91">
        <v>8</v>
      </c>
      <c r="B38" s="260" t="s">
        <v>305</v>
      </c>
      <c r="C38" s="262">
        <v>1</v>
      </c>
      <c r="D38" s="265">
        <v>4.25</v>
      </c>
      <c r="E38" s="219">
        <f t="shared" si="0"/>
        <v>4.25</v>
      </c>
    </row>
    <row r="39" spans="1:7" x14ac:dyDescent="0.25">
      <c r="A39" s="94">
        <v>9</v>
      </c>
      <c r="B39" s="260" t="s">
        <v>306</v>
      </c>
      <c r="C39" s="263">
        <v>1</v>
      </c>
      <c r="D39" s="265">
        <v>29.74</v>
      </c>
      <c r="E39" s="219">
        <f t="shared" si="0"/>
        <v>29.74</v>
      </c>
    </row>
    <row r="40" spans="1:7" x14ac:dyDescent="0.25">
      <c r="A40" s="91">
        <v>10</v>
      </c>
      <c r="B40" s="260" t="s">
        <v>306</v>
      </c>
      <c r="C40" s="263">
        <v>1</v>
      </c>
      <c r="D40" s="265">
        <v>3.54</v>
      </c>
      <c r="E40" s="219">
        <f t="shared" si="0"/>
        <v>3.54</v>
      </c>
    </row>
    <row r="41" spans="1:7" ht="15" customHeight="1" x14ac:dyDescent="0.25">
      <c r="A41" s="91">
        <v>11</v>
      </c>
      <c r="B41" s="260" t="s">
        <v>307</v>
      </c>
      <c r="C41" s="263">
        <v>18</v>
      </c>
      <c r="D41" s="265">
        <v>0.33</v>
      </c>
      <c r="E41" s="219">
        <f t="shared" si="0"/>
        <v>5.94</v>
      </c>
      <c r="F41" s="10">
        <f>7.94+6.52</f>
        <v>14.46</v>
      </c>
    </row>
    <row r="42" spans="1:7" x14ac:dyDescent="0.25">
      <c r="A42" s="91">
        <v>12</v>
      </c>
      <c r="B42" s="259" t="s">
        <v>308</v>
      </c>
      <c r="C42" s="264">
        <v>1</v>
      </c>
      <c r="D42" s="265">
        <v>35.619999999999997</v>
      </c>
      <c r="E42" s="219">
        <f t="shared" si="0"/>
        <v>35.619999999999997</v>
      </c>
      <c r="F42" s="10">
        <v>25.1</v>
      </c>
    </row>
    <row r="43" spans="1:7" x14ac:dyDescent="0.25">
      <c r="A43" s="91">
        <v>13</v>
      </c>
      <c r="B43" s="260" t="s">
        <v>309</v>
      </c>
      <c r="C43" s="261">
        <v>1</v>
      </c>
      <c r="D43" s="265">
        <v>19.53</v>
      </c>
      <c r="E43" s="219">
        <f t="shared" si="0"/>
        <v>19.53</v>
      </c>
    </row>
    <row r="44" spans="1:7" ht="30" x14ac:dyDescent="0.25">
      <c r="A44" s="91">
        <v>14</v>
      </c>
      <c r="B44" s="260" t="s">
        <v>310</v>
      </c>
      <c r="C44" s="262">
        <v>1</v>
      </c>
      <c r="D44" s="265">
        <v>8.4600000000000009</v>
      </c>
      <c r="E44" s="219">
        <f t="shared" si="0"/>
        <v>8.4600000000000009</v>
      </c>
    </row>
    <row r="45" spans="1:7" x14ac:dyDescent="0.25">
      <c r="A45" s="91"/>
      <c r="B45" s="189" t="s">
        <v>75</v>
      </c>
      <c r="C45" s="190"/>
      <c r="D45" s="191"/>
      <c r="E45" s="192">
        <f>SUM(E31:E44)</f>
        <v>313.33999999999997</v>
      </c>
    </row>
    <row r="46" spans="1:7" x14ac:dyDescent="0.25">
      <c r="A46" s="32"/>
      <c r="B46" s="189" t="s">
        <v>311</v>
      </c>
      <c r="C46" s="190"/>
      <c r="D46" s="191"/>
      <c r="E46" s="192">
        <v>313</v>
      </c>
      <c r="F46" s="10">
        <f>SUM(F29:F44)</f>
        <v>102.81</v>
      </c>
      <c r="G46" s="10">
        <f>+F46/E46</f>
        <v>0.32846645367412142</v>
      </c>
    </row>
    <row r="47" spans="1:7" x14ac:dyDescent="0.25">
      <c r="A47" s="69"/>
      <c r="B47" s="105"/>
      <c r="C47" s="64"/>
      <c r="D47" s="106"/>
      <c r="E47" s="107"/>
    </row>
    <row r="48" spans="1:7" x14ac:dyDescent="0.25">
      <c r="A48" s="418" t="s">
        <v>120</v>
      </c>
      <c r="B48" s="418"/>
      <c r="C48" s="418"/>
      <c r="D48" s="418"/>
      <c r="E48" s="418"/>
    </row>
    <row r="49" spans="1:6" x14ac:dyDescent="0.25">
      <c r="A49" s="89" t="s">
        <v>87</v>
      </c>
      <c r="B49" s="101" t="s">
        <v>76</v>
      </c>
      <c r="C49" s="101" t="s">
        <v>99</v>
      </c>
      <c r="D49" s="91" t="s">
        <v>98</v>
      </c>
      <c r="E49" s="91" t="s">
        <v>100</v>
      </c>
    </row>
    <row r="50" spans="1:6" ht="15" customHeight="1" x14ac:dyDescent="0.25">
      <c r="A50" s="104">
        <v>1</v>
      </c>
      <c r="B50" s="260" t="s">
        <v>312</v>
      </c>
      <c r="C50" s="102">
        <v>18</v>
      </c>
      <c r="D50" s="94">
        <v>9.5</v>
      </c>
      <c r="E50" s="33">
        <f>+D50*C50</f>
        <v>171</v>
      </c>
    </row>
    <row r="51" spans="1:6" x14ac:dyDescent="0.25">
      <c r="A51" s="104">
        <v>2</v>
      </c>
      <c r="B51" s="260" t="s">
        <v>313</v>
      </c>
      <c r="C51" s="102">
        <v>1</v>
      </c>
      <c r="D51" s="35">
        <v>26</v>
      </c>
      <c r="E51" s="33">
        <f t="shared" ref="E51:E54" si="1">+D51*C51</f>
        <v>26</v>
      </c>
    </row>
    <row r="52" spans="1:6" x14ac:dyDescent="0.25">
      <c r="A52" s="104">
        <v>3</v>
      </c>
      <c r="B52" s="260" t="s">
        <v>314</v>
      </c>
      <c r="C52" s="102">
        <v>1</v>
      </c>
      <c r="D52" s="35">
        <v>20</v>
      </c>
      <c r="E52" s="33">
        <f t="shared" si="1"/>
        <v>20</v>
      </c>
    </row>
    <row r="53" spans="1:6" x14ac:dyDescent="0.25">
      <c r="A53" s="104">
        <v>4</v>
      </c>
      <c r="B53" s="260" t="s">
        <v>315</v>
      </c>
      <c r="C53" s="102">
        <v>1</v>
      </c>
      <c r="D53" s="35">
        <v>16</v>
      </c>
      <c r="E53" s="33">
        <f t="shared" si="1"/>
        <v>16</v>
      </c>
    </row>
    <row r="54" spans="1:6" x14ac:dyDescent="0.25">
      <c r="A54" s="104">
        <v>8</v>
      </c>
      <c r="B54" s="260" t="s">
        <v>316</v>
      </c>
      <c r="C54" s="108">
        <v>1</v>
      </c>
      <c r="D54" s="35">
        <v>13.61</v>
      </c>
      <c r="E54" s="33">
        <f t="shared" si="1"/>
        <v>13.61</v>
      </c>
    </row>
    <row r="55" spans="1:6" x14ac:dyDescent="0.25">
      <c r="A55" s="104"/>
      <c r="B55" s="176" t="s">
        <v>317</v>
      </c>
      <c r="C55" s="176"/>
      <c r="D55" s="176"/>
      <c r="E55" s="177">
        <f>+SUM(E50:E54)*18%</f>
        <v>44.389800000000001</v>
      </c>
    </row>
    <row r="56" spans="1:6" x14ac:dyDescent="0.25">
      <c r="A56" s="32"/>
      <c r="B56" s="176" t="s">
        <v>11</v>
      </c>
      <c r="C56" s="176"/>
      <c r="D56" s="176"/>
      <c r="E56" s="177">
        <f>ROUND(SUM(E50:E55),0)</f>
        <v>291</v>
      </c>
      <c r="F56" s="10">
        <v>354.69</v>
      </c>
    </row>
    <row r="57" spans="1:6" x14ac:dyDescent="0.25">
      <c r="A57" s="109"/>
      <c r="B57" s="110"/>
      <c r="C57" s="110"/>
      <c r="D57" s="110"/>
      <c r="E57" s="111"/>
    </row>
    <row r="58" spans="1:6" x14ac:dyDescent="0.25">
      <c r="A58" s="408" t="s">
        <v>140</v>
      </c>
      <c r="B58" s="408"/>
      <c r="C58" s="408"/>
      <c r="D58" s="408"/>
      <c r="E58" s="408"/>
    </row>
    <row r="59" spans="1:6" ht="21.75" customHeight="1" x14ac:dyDescent="0.25">
      <c r="A59" s="35" t="s">
        <v>87</v>
      </c>
      <c r="B59" s="419" t="s">
        <v>31</v>
      </c>
      <c r="C59" s="420"/>
      <c r="D59" s="421"/>
      <c r="E59" s="112" t="s">
        <v>1</v>
      </c>
    </row>
    <row r="60" spans="1:6" ht="15.75" customHeight="1" x14ac:dyDescent="0.25">
      <c r="A60" s="152">
        <v>1</v>
      </c>
      <c r="B60" s="409" t="s">
        <v>285</v>
      </c>
      <c r="C60" s="410"/>
      <c r="D60" s="411"/>
      <c r="E60" s="113">
        <f>+Cost!W30</f>
        <v>239.91666666666666</v>
      </c>
    </row>
    <row r="61" spans="1:6" ht="15.75" customHeight="1" x14ac:dyDescent="0.25">
      <c r="A61" s="152">
        <v>2</v>
      </c>
      <c r="B61" s="409" t="s">
        <v>319</v>
      </c>
      <c r="C61" s="410"/>
      <c r="D61" s="411"/>
      <c r="E61" s="113">
        <v>20</v>
      </c>
    </row>
    <row r="62" spans="1:6" ht="32.25" customHeight="1" x14ac:dyDescent="0.25">
      <c r="A62" s="152">
        <v>3</v>
      </c>
      <c r="B62" s="409"/>
      <c r="C62" s="410"/>
      <c r="D62" s="411"/>
      <c r="E62" s="113"/>
    </row>
    <row r="63" spans="1:6" ht="15.75" customHeight="1" x14ac:dyDescent="0.25">
      <c r="A63" s="94">
        <v>4</v>
      </c>
      <c r="B63" s="409"/>
      <c r="C63" s="410"/>
      <c r="D63" s="411"/>
      <c r="E63" s="114"/>
    </row>
    <row r="64" spans="1:6" x14ac:dyDescent="0.25">
      <c r="A64" s="70"/>
      <c r="B64" s="415" t="s">
        <v>60</v>
      </c>
      <c r="C64" s="416"/>
      <c r="D64" s="417"/>
      <c r="E64" s="188">
        <f>SUM(E60:E63)</f>
        <v>259.91666666666663</v>
      </c>
    </row>
    <row r="65" spans="2:6" x14ac:dyDescent="0.25">
      <c r="B65" s="115"/>
      <c r="C65" s="115"/>
      <c r="D65" s="115"/>
      <c r="E65" s="31"/>
      <c r="F65" s="31"/>
    </row>
  </sheetData>
  <mergeCells count="23">
    <mergeCell ref="C7:D7"/>
    <mergeCell ref="A1:E1"/>
    <mergeCell ref="C4:E4"/>
    <mergeCell ref="C6:E6"/>
    <mergeCell ref="A3:C3"/>
    <mergeCell ref="A2:E2"/>
    <mergeCell ref="C5:E5"/>
    <mergeCell ref="B60:D60"/>
    <mergeCell ref="B61:D61"/>
    <mergeCell ref="B62:D62"/>
    <mergeCell ref="B21:D21"/>
    <mergeCell ref="B64:D64"/>
    <mergeCell ref="B63:D63"/>
    <mergeCell ref="A48:E48"/>
    <mergeCell ref="A58:E58"/>
    <mergeCell ref="B59:D59"/>
    <mergeCell ref="E28:E30"/>
    <mergeCell ref="A9:C9"/>
    <mergeCell ref="A28:A30"/>
    <mergeCell ref="B28:B30"/>
    <mergeCell ref="D28:D30"/>
    <mergeCell ref="C28:C29"/>
    <mergeCell ref="A27:C27"/>
  </mergeCells>
  <hyperlinks>
    <hyperlink ref="B55" r:id="rId1"/>
  </hyperlinks>
  <pageMargins left="0.27559055118110237" right="0" top="0.51181102362204722" bottom="0" header="0.31496062992125984" footer="0.23622047244094491"/>
  <pageSetup paperSize="9" scale="93" fitToWidth="2" fitToHeight="2" orientation="portrait" r:id="rId2"/>
  <rowBreaks count="1" manualBreakCount="1">
    <brk id="4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view="pageBreakPreview" topLeftCell="A69" zoomScaleNormal="100" zoomScaleSheetLayoutView="100" workbookViewId="0">
      <selection activeCell="B90" sqref="B90"/>
    </sheetView>
  </sheetViews>
  <sheetFormatPr defaultColWidth="9.140625" defaultRowHeight="15" x14ac:dyDescent="0.25"/>
  <cols>
    <col min="1" max="1" width="48.85546875" style="10" customWidth="1"/>
    <col min="2" max="2" width="16.7109375" style="10" customWidth="1"/>
    <col min="3" max="3" width="25.85546875" style="10" customWidth="1"/>
    <col min="4" max="4" width="18.28515625" style="10" customWidth="1"/>
    <col min="5" max="5" width="10.140625" style="10" hidden="1" customWidth="1"/>
    <col min="6" max="6" width="14.7109375" style="10" hidden="1" customWidth="1"/>
    <col min="7" max="7" width="11.85546875" style="10" customWidth="1"/>
    <col min="8" max="8" width="13.85546875" style="10" customWidth="1"/>
    <col min="9" max="16384" width="9.140625" style="10"/>
  </cols>
  <sheetData>
    <row r="1" spans="1:7" x14ac:dyDescent="0.25">
      <c r="A1" s="399" t="str">
        <f>'Cost Break Up'!A1:D1</f>
        <v>Vaayu Suites</v>
      </c>
      <c r="B1" s="399"/>
      <c r="C1" s="399"/>
      <c r="D1" s="399"/>
      <c r="E1" s="399"/>
      <c r="F1" s="399"/>
      <c r="G1" s="399"/>
    </row>
    <row r="2" spans="1:7" x14ac:dyDescent="0.25">
      <c r="A2" s="401" t="str">
        <f>Cost!A2</f>
        <v>LAND IS SITUATED AT KHASARA NO. 579/546, REVENUE VILLAGE-SENA, TEHSIL-BALI, DISTRICT-PALI, RAJASTHAN, HAVING TOTAL AREA OF 32800 SQUARE METERS.</v>
      </c>
      <c r="B2" s="401"/>
      <c r="C2" s="401"/>
      <c r="D2" s="401"/>
      <c r="E2" s="401"/>
      <c r="F2" s="401"/>
      <c r="G2" s="401"/>
    </row>
    <row r="3" spans="1:7" x14ac:dyDescent="0.25">
      <c r="A3" s="401" t="s">
        <v>323</v>
      </c>
      <c r="B3" s="401"/>
      <c r="C3" s="401"/>
      <c r="D3" s="401"/>
      <c r="E3" s="401"/>
      <c r="F3" s="401"/>
      <c r="G3" s="401"/>
    </row>
    <row r="4" spans="1:7" x14ac:dyDescent="0.25">
      <c r="A4" s="38" t="s">
        <v>103</v>
      </c>
      <c r="B4" s="32">
        <v>18</v>
      </c>
      <c r="C4" s="32" t="s">
        <v>324</v>
      </c>
      <c r="D4" s="32" t="s">
        <v>325</v>
      </c>
      <c r="E4" s="139"/>
      <c r="F4" s="32"/>
      <c r="G4" s="32"/>
    </row>
    <row r="5" spans="1:7" x14ac:dyDescent="0.25">
      <c r="A5" s="38" t="s">
        <v>77</v>
      </c>
      <c r="B5" s="32">
        <v>365</v>
      </c>
      <c r="C5" s="32"/>
      <c r="D5" s="32"/>
      <c r="E5" s="32"/>
      <c r="F5" s="32"/>
      <c r="G5" s="32"/>
    </row>
    <row r="6" spans="1:7" s="13" customFormat="1" ht="16.5" customHeight="1" x14ac:dyDescent="0.25">
      <c r="A6" s="433" t="s">
        <v>3</v>
      </c>
      <c r="B6" s="433"/>
      <c r="C6" s="433"/>
      <c r="D6" s="433"/>
      <c r="E6" s="232" t="s">
        <v>2</v>
      </c>
      <c r="F6" s="38"/>
      <c r="G6" s="65" t="s">
        <v>1</v>
      </c>
    </row>
    <row r="7" spans="1:7" x14ac:dyDescent="0.25">
      <c r="A7" s="38" t="s">
        <v>4</v>
      </c>
      <c r="B7" s="32"/>
      <c r="C7" s="32"/>
      <c r="D7" s="32"/>
      <c r="E7" s="139"/>
      <c r="F7" s="32"/>
      <c r="G7" s="32"/>
    </row>
    <row r="8" spans="1:7" x14ac:dyDescent="0.25">
      <c r="A8" s="32" t="s">
        <v>78</v>
      </c>
      <c r="B8" s="32"/>
      <c r="C8" s="32"/>
      <c r="D8" s="226">
        <v>0.39</v>
      </c>
      <c r="E8" s="139"/>
      <c r="F8" s="32"/>
      <c r="G8" s="32"/>
    </row>
    <row r="9" spans="1:7" x14ac:dyDescent="0.25">
      <c r="A9" s="38"/>
      <c r="B9" s="32"/>
      <c r="C9" s="32"/>
      <c r="D9" s="233"/>
      <c r="E9" s="139"/>
      <c r="F9" s="32"/>
      <c r="G9" s="32"/>
    </row>
    <row r="10" spans="1:7" x14ac:dyDescent="0.25">
      <c r="A10" s="32" t="s">
        <v>110</v>
      </c>
      <c r="B10" s="32"/>
      <c r="C10" s="32"/>
      <c r="D10" s="139">
        <v>25000</v>
      </c>
      <c r="E10" s="139"/>
      <c r="F10" s="32"/>
      <c r="G10" s="32"/>
    </row>
    <row r="11" spans="1:7" x14ac:dyDescent="0.25">
      <c r="A11" s="32" t="s">
        <v>84</v>
      </c>
      <c r="B11" s="32"/>
      <c r="C11" s="32"/>
      <c r="D11" s="233">
        <f>B4*B5</f>
        <v>6570</v>
      </c>
      <c r="E11" s="139"/>
      <c r="F11" s="32"/>
      <c r="G11" s="32"/>
    </row>
    <row r="12" spans="1:7" x14ac:dyDescent="0.25">
      <c r="A12" s="32" t="s">
        <v>340</v>
      </c>
      <c r="B12" s="32"/>
      <c r="C12" s="32"/>
      <c r="D12" s="234">
        <f>D11*3</f>
        <v>19710</v>
      </c>
      <c r="E12" s="139"/>
      <c r="F12" s="32"/>
      <c r="G12" s="32"/>
    </row>
    <row r="13" spans="1:7" x14ac:dyDescent="0.25">
      <c r="A13" s="32" t="s">
        <v>59</v>
      </c>
      <c r="B13" s="32"/>
      <c r="C13" s="32"/>
      <c r="D13" s="139">
        <v>1000</v>
      </c>
      <c r="E13" s="139"/>
      <c r="F13" s="32"/>
      <c r="G13" s="32"/>
    </row>
    <row r="14" spans="1:7" x14ac:dyDescent="0.25">
      <c r="A14" s="32" t="s">
        <v>344</v>
      </c>
      <c r="B14" s="32"/>
      <c r="C14" s="32"/>
      <c r="D14" s="139">
        <v>3500</v>
      </c>
      <c r="E14" s="139"/>
      <c r="F14" s="32"/>
      <c r="G14" s="33"/>
    </row>
    <row r="15" spans="1:7" x14ac:dyDescent="0.25">
      <c r="A15" s="32" t="s">
        <v>338</v>
      </c>
      <c r="B15" s="32"/>
      <c r="C15" s="32"/>
      <c r="D15" s="139">
        <v>2250</v>
      </c>
      <c r="E15" s="139"/>
      <c r="F15" s="32"/>
      <c r="G15" s="33"/>
    </row>
    <row r="16" spans="1:7" x14ac:dyDescent="0.25">
      <c r="A16" s="32" t="s">
        <v>430</v>
      </c>
      <c r="B16" s="32"/>
      <c r="C16" s="32"/>
      <c r="D16" s="139">
        <f>600*4</f>
        <v>2400</v>
      </c>
      <c r="E16" s="139"/>
      <c r="F16" s="32"/>
      <c r="G16" s="33"/>
    </row>
    <row r="17" spans="1:7" x14ac:dyDescent="0.25">
      <c r="A17" s="32"/>
      <c r="B17" s="32"/>
      <c r="C17" s="32"/>
      <c r="D17" s="139"/>
      <c r="E17" s="139"/>
      <c r="F17" s="32"/>
      <c r="G17" s="33"/>
    </row>
    <row r="18" spans="1:7" x14ac:dyDescent="0.25">
      <c r="A18" s="225" t="s">
        <v>13</v>
      </c>
      <c r="B18" s="225"/>
      <c r="C18" s="32"/>
      <c r="D18" s="139"/>
      <c r="E18" s="32"/>
      <c r="F18" s="32"/>
      <c r="G18" s="32"/>
    </row>
    <row r="19" spans="1:7" x14ac:dyDescent="0.25">
      <c r="A19" s="32" t="s">
        <v>56</v>
      </c>
      <c r="B19" s="32"/>
      <c r="C19" s="32"/>
      <c r="D19" s="139">
        <f>ROUND((B4*D10*B5*D8)/100000,2)</f>
        <v>640.58000000000004</v>
      </c>
      <c r="E19" s="139"/>
      <c r="F19" s="32"/>
      <c r="G19" s="32"/>
    </row>
    <row r="20" spans="1:7" x14ac:dyDescent="0.25">
      <c r="A20" s="32" t="s">
        <v>341</v>
      </c>
      <c r="B20" s="32"/>
      <c r="C20" s="32"/>
      <c r="D20" s="139">
        <f>+(D13*D12*D8)/10^5</f>
        <v>76.869</v>
      </c>
      <c r="E20" s="139">
        <f>ROUND(75*365*2*500*35%/100000,2)</f>
        <v>95.81</v>
      </c>
      <c r="F20" s="32"/>
      <c r="G20" s="33"/>
    </row>
    <row r="21" spans="1:7" x14ac:dyDescent="0.25">
      <c r="A21" s="32" t="s">
        <v>326</v>
      </c>
      <c r="B21" s="32"/>
      <c r="C21" s="32"/>
      <c r="D21" s="139">
        <f>+(D14*25%*D11*D8*2)/10^5</f>
        <v>44.840249999999997</v>
      </c>
      <c r="E21" s="139"/>
      <c r="F21" s="32"/>
      <c r="G21" s="33"/>
    </row>
    <row r="22" spans="1:7" x14ac:dyDescent="0.25">
      <c r="A22" s="32" t="s">
        <v>327</v>
      </c>
      <c r="B22" s="32"/>
      <c r="C22" s="32"/>
      <c r="D22" s="139">
        <f>+(2250*D11*D8)/100000</f>
        <v>57.65175</v>
      </c>
      <c r="E22" s="139"/>
      <c r="F22" s="32"/>
      <c r="G22" s="33"/>
    </row>
    <row r="23" spans="1:7" x14ac:dyDescent="0.25">
      <c r="A23" s="32" t="s">
        <v>339</v>
      </c>
      <c r="B23" s="32"/>
      <c r="C23" s="32"/>
      <c r="D23" s="139">
        <f>+B82</f>
        <v>72</v>
      </c>
      <c r="E23" s="139"/>
      <c r="F23" s="32"/>
      <c r="G23" s="33"/>
    </row>
    <row r="24" spans="1:7" x14ac:dyDescent="0.25">
      <c r="A24" s="32"/>
      <c r="B24" s="32"/>
      <c r="C24" s="32"/>
      <c r="D24" s="139"/>
      <c r="E24" s="139"/>
      <c r="F24" s="32"/>
      <c r="G24" s="33"/>
    </row>
    <row r="25" spans="1:7" x14ac:dyDescent="0.25">
      <c r="A25" s="32"/>
      <c r="B25" s="235" t="s">
        <v>75</v>
      </c>
      <c r="C25" s="32"/>
      <c r="D25" s="163"/>
      <c r="E25" s="236">
        <f>ROUND(SUM(E14:E20),2)</f>
        <v>95.81</v>
      </c>
      <c r="F25" s="38"/>
      <c r="G25" s="159">
        <f>SUM(D19:D25)</f>
        <v>891.94100000000003</v>
      </c>
    </row>
    <row r="26" spans="1:7" x14ac:dyDescent="0.25">
      <c r="A26" s="68" t="s">
        <v>5</v>
      </c>
      <c r="B26" s="69"/>
      <c r="C26" s="69"/>
      <c r="D26" s="70"/>
      <c r="E26" s="71"/>
      <c r="F26" s="72"/>
      <c r="G26" s="32"/>
    </row>
    <row r="27" spans="1:7" ht="17.25" customHeight="1" thickBot="1" x14ac:dyDescent="0.3">
      <c r="A27" s="73" t="s">
        <v>31</v>
      </c>
      <c r="B27" s="74" t="s">
        <v>0</v>
      </c>
      <c r="C27" s="75" t="s">
        <v>0</v>
      </c>
      <c r="D27" s="76"/>
      <c r="E27" s="76" t="s">
        <v>10</v>
      </c>
      <c r="F27" s="36"/>
      <c r="G27" s="77"/>
    </row>
    <row r="28" spans="1:7" ht="15.75" thickTop="1" x14ac:dyDescent="0.25">
      <c r="A28" s="62" t="s">
        <v>371</v>
      </c>
      <c r="B28" s="78">
        <v>0.1</v>
      </c>
      <c r="C28" s="79"/>
      <c r="D28" s="80"/>
      <c r="E28" s="80" t="e">
        <f>ROUND(#REF!*15%,2)</f>
        <v>#REF!</v>
      </c>
      <c r="F28" s="36"/>
      <c r="G28" s="37">
        <f>D19*B28</f>
        <v>64.058000000000007</v>
      </c>
    </row>
    <row r="29" spans="1:7" ht="33" customHeight="1" x14ac:dyDescent="0.25">
      <c r="A29" s="81" t="s">
        <v>447</v>
      </c>
      <c r="B29" s="78">
        <v>0.35</v>
      </c>
      <c r="C29" s="79"/>
      <c r="D29" s="80"/>
      <c r="E29" s="67">
        <f>ROUND(E20*40%,2)</f>
        <v>38.32</v>
      </c>
      <c r="F29" s="36"/>
      <c r="G29" s="37">
        <f>(D20)*B29</f>
        <v>26.904149999999998</v>
      </c>
    </row>
    <row r="30" spans="1:7" ht="33" customHeight="1" x14ac:dyDescent="0.25">
      <c r="A30" s="81" t="s">
        <v>448</v>
      </c>
      <c r="B30" s="78">
        <v>0.35</v>
      </c>
      <c r="C30" s="79"/>
      <c r="D30" s="80"/>
      <c r="E30" s="67"/>
      <c r="F30" s="36"/>
      <c r="G30" s="37">
        <f>+D19*B30</f>
        <v>224.203</v>
      </c>
    </row>
    <row r="31" spans="1:7" ht="17.25" customHeight="1" x14ac:dyDescent="0.25">
      <c r="A31" s="36" t="s">
        <v>449</v>
      </c>
      <c r="B31" s="78">
        <v>0.35</v>
      </c>
      <c r="C31" s="79"/>
      <c r="D31" s="80"/>
      <c r="E31" s="67"/>
      <c r="F31" s="36"/>
      <c r="G31" s="37">
        <f>D23*B31</f>
        <v>25.2</v>
      </c>
    </row>
    <row r="32" spans="1:7" ht="18" customHeight="1" x14ac:dyDescent="0.25">
      <c r="A32" s="36" t="s">
        <v>79</v>
      </c>
      <c r="B32" s="78">
        <v>0.02</v>
      </c>
      <c r="C32" s="79"/>
      <c r="D32" s="80"/>
      <c r="E32" s="67">
        <f>2%*E25</f>
        <v>1.9162000000000001</v>
      </c>
      <c r="F32" s="36"/>
      <c r="G32" s="37">
        <f>G25*B32</f>
        <v>17.838820000000002</v>
      </c>
    </row>
    <row r="33" spans="1:8" ht="18" customHeight="1" x14ac:dyDescent="0.25">
      <c r="A33" s="36" t="s">
        <v>451</v>
      </c>
      <c r="B33" s="78">
        <v>0.5</v>
      </c>
      <c r="C33" s="79"/>
      <c r="D33" s="80"/>
      <c r="E33" s="67"/>
      <c r="F33" s="36"/>
      <c r="G33" s="356">
        <f>+D22*B33</f>
        <v>28.825875</v>
      </c>
    </row>
    <row r="34" spans="1:8" ht="18" customHeight="1" x14ac:dyDescent="0.25">
      <c r="A34" s="36" t="s">
        <v>450</v>
      </c>
      <c r="B34" s="357">
        <v>0.03</v>
      </c>
      <c r="C34" s="37"/>
      <c r="D34" s="66"/>
      <c r="E34" s="29">
        <v>6</v>
      </c>
      <c r="G34" s="37">
        <f>+B34*G25</f>
        <v>26.758230000000001</v>
      </c>
    </row>
    <row r="35" spans="1:8" ht="18" customHeight="1" x14ac:dyDescent="0.25">
      <c r="A35" s="36" t="s">
        <v>80</v>
      </c>
      <c r="B35" s="357">
        <v>0.05</v>
      </c>
      <c r="C35" s="37"/>
      <c r="D35" s="66"/>
      <c r="E35" s="43">
        <v>24</v>
      </c>
      <c r="F35" s="36"/>
      <c r="G35" s="37">
        <f>+G25*B35</f>
        <v>44.597050000000003</v>
      </c>
    </row>
    <row r="36" spans="1:8" ht="18" customHeight="1" x14ac:dyDescent="0.25">
      <c r="A36" s="36" t="s">
        <v>372</v>
      </c>
      <c r="B36" s="78">
        <v>0.01</v>
      </c>
      <c r="C36" s="79"/>
      <c r="D36" s="80"/>
      <c r="E36" s="67"/>
      <c r="F36" s="36"/>
      <c r="G36" s="356">
        <f>+B36*G25</f>
        <v>8.9194100000000009</v>
      </c>
    </row>
    <row r="37" spans="1:8" ht="18" customHeight="1" x14ac:dyDescent="0.25">
      <c r="A37" s="36" t="s">
        <v>374</v>
      </c>
      <c r="B37" s="78"/>
      <c r="C37" s="79"/>
      <c r="D37" s="80"/>
      <c r="E37" s="67"/>
      <c r="F37" s="36"/>
      <c r="G37" s="356">
        <v>12</v>
      </c>
    </row>
    <row r="38" spans="1:8" ht="18" customHeight="1" x14ac:dyDescent="0.25">
      <c r="A38" s="36" t="s">
        <v>375</v>
      </c>
      <c r="B38" s="78"/>
      <c r="C38" s="79"/>
      <c r="D38" s="80"/>
      <c r="E38" s="67"/>
      <c r="F38" s="36"/>
      <c r="G38" s="356">
        <v>10</v>
      </c>
    </row>
    <row r="39" spans="1:8" ht="18" customHeight="1" x14ac:dyDescent="0.25">
      <c r="A39" s="36"/>
      <c r="B39" s="78"/>
      <c r="C39" s="79"/>
      <c r="D39" s="80"/>
      <c r="E39" s="67"/>
      <c r="F39" s="36"/>
      <c r="G39" s="356"/>
    </row>
    <row r="40" spans="1:8" ht="18" customHeight="1" x14ac:dyDescent="0.25">
      <c r="A40" s="36" t="s">
        <v>63</v>
      </c>
      <c r="B40" s="82"/>
      <c r="C40" s="79"/>
      <c r="D40" s="80"/>
      <c r="E40" s="67"/>
      <c r="F40" s="36"/>
      <c r="G40" s="36"/>
      <c r="H40" s="36"/>
    </row>
    <row r="41" spans="1:8" ht="15.75" thickBot="1" x14ac:dyDescent="0.3">
      <c r="A41" s="83" t="s">
        <v>6</v>
      </c>
      <c r="B41" s="83" t="s">
        <v>7</v>
      </c>
      <c r="C41" s="84" t="s">
        <v>64</v>
      </c>
      <c r="D41" s="85" t="s">
        <v>66</v>
      </c>
      <c r="E41" s="85"/>
      <c r="F41" s="42"/>
      <c r="G41" s="40"/>
    </row>
    <row r="42" spans="1:8" ht="19.5" customHeight="1" thickTop="1" x14ac:dyDescent="0.25">
      <c r="A42" s="280" t="s">
        <v>112</v>
      </c>
      <c r="B42" s="281">
        <v>1</v>
      </c>
      <c r="C42" s="282">
        <v>50000</v>
      </c>
      <c r="D42" s="139">
        <f>+C42*B42</f>
        <v>50000</v>
      </c>
      <c r="E42" s="67"/>
      <c r="F42" s="36"/>
      <c r="G42" s="40"/>
    </row>
    <row r="43" spans="1:8" ht="20.25" customHeight="1" x14ac:dyDescent="0.25">
      <c r="A43" s="280" t="s">
        <v>353</v>
      </c>
      <c r="B43" s="281">
        <v>1</v>
      </c>
      <c r="C43" s="282">
        <v>25000</v>
      </c>
      <c r="D43" s="139">
        <f t="shared" ref="D43:D61" si="0">+C43*B43</f>
        <v>25000</v>
      </c>
      <c r="E43" s="67"/>
      <c r="F43" s="36"/>
      <c r="G43" s="40"/>
    </row>
    <row r="44" spans="1:8" x14ac:dyDescent="0.25">
      <c r="A44" s="280" t="s">
        <v>354</v>
      </c>
      <c r="B44" s="281">
        <v>1</v>
      </c>
      <c r="C44" s="282">
        <v>20000</v>
      </c>
      <c r="D44" s="139">
        <f t="shared" si="0"/>
        <v>20000</v>
      </c>
      <c r="E44" s="67"/>
      <c r="F44" s="36"/>
      <c r="G44" s="40"/>
    </row>
    <row r="45" spans="1:8" x14ac:dyDescent="0.25">
      <c r="A45" s="280" t="s">
        <v>355</v>
      </c>
      <c r="B45" s="281">
        <v>1</v>
      </c>
      <c r="C45" s="282"/>
      <c r="D45" s="139">
        <f t="shared" si="0"/>
        <v>0</v>
      </c>
      <c r="E45" s="67"/>
      <c r="F45" s="36"/>
      <c r="G45" s="40"/>
    </row>
    <row r="46" spans="1:8" x14ac:dyDescent="0.25">
      <c r="A46" s="280" t="s">
        <v>356</v>
      </c>
      <c r="B46" s="281">
        <v>1</v>
      </c>
      <c r="C46" s="282">
        <v>25000</v>
      </c>
      <c r="D46" s="139">
        <f t="shared" si="0"/>
        <v>25000</v>
      </c>
      <c r="E46" s="67"/>
      <c r="F46" s="36"/>
      <c r="G46" s="40"/>
    </row>
    <row r="47" spans="1:8" x14ac:dyDescent="0.25">
      <c r="A47" s="280" t="s">
        <v>357</v>
      </c>
      <c r="B47" s="281">
        <v>2</v>
      </c>
      <c r="C47" s="282">
        <v>15000</v>
      </c>
      <c r="D47" s="139">
        <f t="shared" si="0"/>
        <v>30000</v>
      </c>
      <c r="E47" s="67"/>
      <c r="F47" s="36"/>
      <c r="G47" s="40"/>
    </row>
    <row r="48" spans="1:8" x14ac:dyDescent="0.25">
      <c r="A48" s="280" t="s">
        <v>358</v>
      </c>
      <c r="B48" s="281">
        <v>3</v>
      </c>
      <c r="C48" s="282">
        <v>15000</v>
      </c>
      <c r="D48" s="139">
        <f t="shared" si="0"/>
        <v>45000</v>
      </c>
      <c r="E48" s="67"/>
      <c r="F48" s="36"/>
      <c r="G48" s="40"/>
    </row>
    <row r="49" spans="1:7" x14ac:dyDescent="0.25">
      <c r="A49" s="280" t="s">
        <v>359</v>
      </c>
      <c r="B49" s="281">
        <v>2</v>
      </c>
      <c r="C49" s="282">
        <v>10000</v>
      </c>
      <c r="D49" s="139">
        <f t="shared" si="0"/>
        <v>20000</v>
      </c>
      <c r="E49" s="67"/>
      <c r="F49" s="36"/>
      <c r="G49" s="40"/>
    </row>
    <row r="50" spans="1:7" x14ac:dyDescent="0.25">
      <c r="A50" s="280" t="s">
        <v>111</v>
      </c>
      <c r="B50" s="104">
        <v>1</v>
      </c>
      <c r="C50" s="282"/>
      <c r="D50" s="139">
        <f t="shared" si="0"/>
        <v>0</v>
      </c>
      <c r="E50" s="67"/>
      <c r="F50" s="36"/>
      <c r="G50" s="40"/>
    </row>
    <row r="51" spans="1:7" x14ac:dyDescent="0.25">
      <c r="A51" s="280" t="s">
        <v>360</v>
      </c>
      <c r="B51" s="104">
        <v>3</v>
      </c>
      <c r="C51" s="282">
        <v>25000</v>
      </c>
      <c r="D51" s="139">
        <f t="shared" si="0"/>
        <v>75000</v>
      </c>
      <c r="E51" s="67"/>
      <c r="F51" s="36"/>
      <c r="G51" s="40"/>
    </row>
    <row r="52" spans="1:7" x14ac:dyDescent="0.25">
      <c r="A52" s="280" t="s">
        <v>361</v>
      </c>
      <c r="B52" s="104">
        <v>1</v>
      </c>
      <c r="C52" s="282">
        <v>35000</v>
      </c>
      <c r="D52" s="139">
        <f t="shared" si="0"/>
        <v>35000</v>
      </c>
      <c r="E52" s="67"/>
      <c r="F52" s="36"/>
      <c r="G52" s="40"/>
    </row>
    <row r="53" spans="1:7" x14ac:dyDescent="0.25">
      <c r="A53" s="280" t="s">
        <v>362</v>
      </c>
      <c r="B53" s="104">
        <v>10</v>
      </c>
      <c r="C53" s="282">
        <v>12000</v>
      </c>
      <c r="D53" s="139">
        <f t="shared" si="0"/>
        <v>120000</v>
      </c>
      <c r="E53" s="67"/>
      <c r="F53" s="36"/>
      <c r="G53" s="40"/>
    </row>
    <row r="54" spans="1:7" x14ac:dyDescent="0.25">
      <c r="A54" s="280" t="s">
        <v>363</v>
      </c>
      <c r="B54" s="104">
        <v>1</v>
      </c>
      <c r="C54" s="282">
        <v>65000</v>
      </c>
      <c r="D54" s="139">
        <f t="shared" si="0"/>
        <v>65000</v>
      </c>
      <c r="E54" s="67"/>
      <c r="F54" s="36"/>
      <c r="G54" s="40"/>
    </row>
    <row r="55" spans="1:7" x14ac:dyDescent="0.25">
      <c r="A55" s="280" t="s">
        <v>364</v>
      </c>
      <c r="B55" s="104">
        <v>1</v>
      </c>
      <c r="C55" s="282">
        <v>40000</v>
      </c>
      <c r="D55" s="139">
        <f t="shared" si="0"/>
        <v>40000</v>
      </c>
      <c r="E55" s="67"/>
      <c r="F55" s="36"/>
      <c r="G55" s="40"/>
    </row>
    <row r="56" spans="1:7" x14ac:dyDescent="0.25">
      <c r="A56" s="280" t="s">
        <v>365</v>
      </c>
      <c r="B56" s="104">
        <v>3</v>
      </c>
      <c r="C56" s="282">
        <v>30000</v>
      </c>
      <c r="D56" s="139">
        <f t="shared" si="0"/>
        <v>90000</v>
      </c>
      <c r="E56" s="67"/>
      <c r="F56" s="36"/>
      <c r="G56" s="40"/>
    </row>
    <row r="57" spans="1:7" x14ac:dyDescent="0.25">
      <c r="A57" s="280" t="s">
        <v>366</v>
      </c>
      <c r="B57" s="104">
        <v>6</v>
      </c>
      <c r="C57" s="282"/>
      <c r="D57" s="139">
        <f t="shared" si="0"/>
        <v>0</v>
      </c>
      <c r="E57" s="67"/>
      <c r="F57" s="36"/>
      <c r="G57" s="40"/>
    </row>
    <row r="58" spans="1:7" x14ac:dyDescent="0.25">
      <c r="A58" s="280" t="s">
        <v>367</v>
      </c>
      <c r="B58" s="104">
        <v>2</v>
      </c>
      <c r="C58" s="282">
        <v>25000</v>
      </c>
      <c r="D58" s="139">
        <f t="shared" si="0"/>
        <v>50000</v>
      </c>
      <c r="E58" s="67"/>
      <c r="F58" s="36"/>
      <c r="G58" s="40"/>
    </row>
    <row r="59" spans="1:7" x14ac:dyDescent="0.25">
      <c r="A59" s="280" t="s">
        <v>368</v>
      </c>
      <c r="B59" s="104">
        <v>5</v>
      </c>
      <c r="C59" s="282">
        <v>15000</v>
      </c>
      <c r="D59" s="139">
        <f t="shared" si="0"/>
        <v>75000</v>
      </c>
      <c r="E59" s="67"/>
      <c r="F59" s="36"/>
      <c r="G59" s="40"/>
    </row>
    <row r="60" spans="1:7" x14ac:dyDescent="0.25">
      <c r="A60" s="280" t="s">
        <v>363</v>
      </c>
      <c r="B60" s="104">
        <v>1</v>
      </c>
      <c r="C60" s="282">
        <v>25000</v>
      </c>
      <c r="D60" s="139">
        <f t="shared" si="0"/>
        <v>25000</v>
      </c>
      <c r="E60" s="67"/>
      <c r="F60" s="36"/>
      <c r="G60" s="40"/>
    </row>
    <row r="61" spans="1:7" x14ac:dyDescent="0.25">
      <c r="A61" s="280" t="s">
        <v>369</v>
      </c>
      <c r="B61" s="104">
        <v>2</v>
      </c>
      <c r="C61" s="282">
        <v>15000</v>
      </c>
      <c r="D61" s="139">
        <f t="shared" si="0"/>
        <v>30000</v>
      </c>
      <c r="E61" s="67"/>
      <c r="F61" s="36"/>
      <c r="G61" s="40"/>
    </row>
    <row r="62" spans="1:7" x14ac:dyDescent="0.25">
      <c r="A62" s="36" t="s">
        <v>62</v>
      </c>
      <c r="B62" s="86">
        <f>SUM(B42:B61)</f>
        <v>48</v>
      </c>
      <c r="C62" s="45"/>
      <c r="D62" s="67">
        <f>SUM(D42:D61)</f>
        <v>820000</v>
      </c>
      <c r="E62" s="67"/>
      <c r="F62" s="36"/>
      <c r="G62" s="87">
        <f>ROUND(D62*12/100000,2)</f>
        <v>98.4</v>
      </c>
    </row>
    <row r="63" spans="1:7" x14ac:dyDescent="0.25">
      <c r="A63" s="36" t="s">
        <v>28</v>
      </c>
      <c r="B63" s="36"/>
      <c r="C63" s="37"/>
      <c r="D63" s="52"/>
      <c r="E63" s="29"/>
      <c r="F63" s="36"/>
      <c r="G63" s="29">
        <f>+'Debt Schedule '!E236</f>
        <v>199.37500000000003</v>
      </c>
    </row>
    <row r="64" spans="1:7" x14ac:dyDescent="0.25">
      <c r="A64" s="36" t="s">
        <v>68</v>
      </c>
      <c r="B64" s="36"/>
      <c r="C64" s="37"/>
      <c r="D64" s="52"/>
      <c r="E64" s="10">
        <v>88.41</v>
      </c>
      <c r="F64" s="36"/>
      <c r="G64" s="37">
        <f>+Depreciation!G45</f>
        <v>313.44350000000003</v>
      </c>
    </row>
    <row r="65" spans="1:8" x14ac:dyDescent="0.25">
      <c r="A65" s="166" t="s">
        <v>67</v>
      </c>
      <c r="B65" s="166"/>
      <c r="C65" s="167"/>
      <c r="D65" s="168"/>
      <c r="E65" s="169" t="e">
        <f>SUM(E28:E64)</f>
        <v>#REF!</v>
      </c>
      <c r="F65" s="166"/>
      <c r="G65" s="170">
        <f>SUM(G28:G64)</f>
        <v>1100.5230350000002</v>
      </c>
      <c r="H65" s="29" t="s">
        <v>0</v>
      </c>
    </row>
    <row r="66" spans="1:8" x14ac:dyDescent="0.25">
      <c r="A66" s="38" t="s">
        <v>92</v>
      </c>
      <c r="B66" s="38"/>
      <c r="C66" s="38"/>
      <c r="D66" s="38"/>
      <c r="E66" s="88"/>
      <c r="F66" s="38"/>
      <c r="G66" s="39">
        <f>G25-G65</f>
        <v>-208.58203500000013</v>
      </c>
    </row>
    <row r="68" spans="1:8" x14ac:dyDescent="0.25">
      <c r="A68" s="10">
        <f>Cost!B42</f>
        <v>0</v>
      </c>
    </row>
    <row r="72" spans="1:8" x14ac:dyDescent="0.25">
      <c r="A72" s="268" t="s">
        <v>328</v>
      </c>
      <c r="B72" s="269" t="s">
        <v>329</v>
      </c>
    </row>
    <row r="73" spans="1:8" x14ac:dyDescent="0.25">
      <c r="A73" s="268" t="s">
        <v>330</v>
      </c>
      <c r="B73" s="269"/>
    </row>
    <row r="74" spans="1:8" x14ac:dyDescent="0.25">
      <c r="A74" s="268" t="s">
        <v>331</v>
      </c>
      <c r="B74" s="269"/>
    </row>
    <row r="75" spans="1:8" x14ac:dyDescent="0.25">
      <c r="A75" s="268" t="s">
        <v>265</v>
      </c>
      <c r="B75" s="269"/>
    </row>
    <row r="76" spans="1:8" x14ac:dyDescent="0.25">
      <c r="A76" s="270" t="s">
        <v>266</v>
      </c>
      <c r="B76" s="271"/>
    </row>
    <row r="77" spans="1:8" x14ac:dyDescent="0.25">
      <c r="A77" s="270" t="s">
        <v>332</v>
      </c>
      <c r="B77" s="271">
        <v>24</v>
      </c>
    </row>
    <row r="78" spans="1:8" x14ac:dyDescent="0.25">
      <c r="A78" s="270" t="s">
        <v>333</v>
      </c>
      <c r="B78" s="272">
        <v>60</v>
      </c>
    </row>
    <row r="79" spans="1:8" x14ac:dyDescent="0.25">
      <c r="A79" s="270" t="s">
        <v>334</v>
      </c>
      <c r="B79" s="271">
        <v>1</v>
      </c>
    </row>
    <row r="80" spans="1:8" x14ac:dyDescent="0.25">
      <c r="A80" s="270" t="s">
        <v>335</v>
      </c>
      <c r="B80" s="271">
        <v>2</v>
      </c>
    </row>
    <row r="81" spans="1:3" ht="30" x14ac:dyDescent="0.25">
      <c r="A81" s="270" t="s">
        <v>336</v>
      </c>
      <c r="B81" s="273">
        <v>2500</v>
      </c>
    </row>
    <row r="82" spans="1:3" x14ac:dyDescent="0.25">
      <c r="A82" s="274" t="s">
        <v>337</v>
      </c>
      <c r="B82" s="275">
        <f>B81*B80*B79*B78*B77/100000</f>
        <v>72</v>
      </c>
    </row>
    <row r="83" spans="1:3" x14ac:dyDescent="0.25">
      <c r="A83" s="276" t="s">
        <v>464</v>
      </c>
      <c r="B83" s="277"/>
    </row>
    <row r="84" spans="1:3" x14ac:dyDescent="0.25">
      <c r="A84" s="270" t="s">
        <v>332</v>
      </c>
      <c r="B84" s="386">
        <f>24-(24*5%)</f>
        <v>22.8</v>
      </c>
    </row>
    <row r="85" spans="1:3" x14ac:dyDescent="0.25">
      <c r="A85" s="270" t="s">
        <v>333</v>
      </c>
      <c r="B85" s="272">
        <v>60</v>
      </c>
    </row>
    <row r="86" spans="1:3" x14ac:dyDescent="0.25">
      <c r="A86" s="270" t="s">
        <v>334</v>
      </c>
      <c r="B86" s="271">
        <v>1</v>
      </c>
    </row>
    <row r="87" spans="1:3" x14ac:dyDescent="0.25">
      <c r="A87" s="270" t="s">
        <v>335</v>
      </c>
      <c r="B87" s="271">
        <v>2</v>
      </c>
    </row>
    <row r="88" spans="1:3" ht="30" x14ac:dyDescent="0.25">
      <c r="A88" s="270" t="s">
        <v>336</v>
      </c>
      <c r="B88" s="273">
        <v>2500</v>
      </c>
    </row>
    <row r="89" spans="1:3" x14ac:dyDescent="0.25">
      <c r="A89" s="274" t="s">
        <v>337</v>
      </c>
      <c r="B89" s="275">
        <f>B88*B87*B86*B85*B84/100000</f>
        <v>68.400000000000006</v>
      </c>
    </row>
    <row r="90" spans="1:3" x14ac:dyDescent="0.25">
      <c r="A90" s="270"/>
      <c r="B90" s="271"/>
    </row>
    <row r="91" spans="1:3" x14ac:dyDescent="0.25">
      <c r="A91" s="274"/>
      <c r="B91" s="275"/>
      <c r="C91" s="279">
        <f>+B91/B82*100</f>
        <v>0</v>
      </c>
    </row>
  </sheetData>
  <mergeCells count="4">
    <mergeCell ref="A1:G1"/>
    <mergeCell ref="A2:G2"/>
    <mergeCell ref="A3:G3"/>
    <mergeCell ref="A6:D6"/>
  </mergeCells>
  <phoneticPr fontId="0" type="noConversion"/>
  <pageMargins left="0.70866141732283472" right="0.70866141732283472" top="0.74803149606299213" bottom="0.74803149606299213" header="0.31496062992125984" footer="0.31496062992125984"/>
  <pageSetup scale="47" orientation="portrait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view="pageBreakPreview" topLeftCell="A34" zoomScaleNormal="100" zoomScaleSheetLayoutView="100" workbookViewId="0">
      <selection activeCell="A13" sqref="A13"/>
    </sheetView>
  </sheetViews>
  <sheetFormatPr defaultColWidth="9.140625" defaultRowHeight="15" x14ac:dyDescent="0.25"/>
  <cols>
    <col min="1" max="1" width="70" style="10" customWidth="1"/>
    <col min="2" max="2" width="9.140625" style="10" customWidth="1"/>
    <col min="3" max="6" width="8.140625" style="10" bestFit="1" customWidth="1"/>
    <col min="7" max="10" width="12.28515625" style="10" bestFit="1" customWidth="1"/>
    <col min="11" max="12" width="12.7109375" style="10" bestFit="1" customWidth="1"/>
    <col min="13" max="13" width="15.28515625" style="10" bestFit="1" customWidth="1"/>
    <col min="14" max="14" width="11.7109375" style="10" customWidth="1"/>
    <col min="15" max="19" width="11" style="10" bestFit="1" customWidth="1"/>
    <col min="20" max="20" width="10.5703125" style="10" bestFit="1" customWidth="1"/>
    <col min="21" max="16384" width="9.140625" style="10"/>
  </cols>
  <sheetData>
    <row r="1" spans="1:19" x14ac:dyDescent="0.25">
      <c r="A1" s="399" t="str">
        <f>Estimation!A1</f>
        <v>Vaayu Suites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0" t="s">
        <v>131</v>
      </c>
      <c r="S1" s="194" t="s">
        <v>429</v>
      </c>
    </row>
    <row r="2" spans="1:19" x14ac:dyDescent="0.25">
      <c r="A2" s="437" t="str">
        <f>+Estimation!A2</f>
        <v>LAND IS SITUATED AT KHASARA NO. 579/546, REVENUE VILLAGE-SENA, TEHSIL-BALI, DISTRICT-PALI, RAJASTHAN, HAVING TOTAL AREA OF 32800 SQUARE METERS.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</row>
    <row r="3" spans="1:19" x14ac:dyDescent="0.25">
      <c r="A3" s="401" t="s">
        <v>94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55" t="s">
        <v>91</v>
      </c>
      <c r="N3" s="13"/>
      <c r="O3" s="10">
        <f>Cost!D1</f>
        <v>0</v>
      </c>
    </row>
    <row r="4" spans="1:19" ht="30" customHeight="1" x14ac:dyDescent="0.25">
      <c r="A4" s="158" t="s">
        <v>12</v>
      </c>
      <c r="B4" s="141"/>
      <c r="C4" s="341" t="s">
        <v>342</v>
      </c>
      <c r="D4" s="341" t="s">
        <v>250</v>
      </c>
      <c r="E4" s="341" t="s">
        <v>251</v>
      </c>
      <c r="F4" s="341" t="s">
        <v>132</v>
      </c>
      <c r="G4" s="143" t="s">
        <v>133</v>
      </c>
      <c r="H4" s="143" t="s">
        <v>134</v>
      </c>
      <c r="I4" s="143" t="s">
        <v>135</v>
      </c>
      <c r="J4" s="143" t="s">
        <v>136</v>
      </c>
      <c r="K4" s="143" t="s">
        <v>137</v>
      </c>
      <c r="L4" s="143" t="s">
        <v>138</v>
      </c>
      <c r="M4" s="143" t="s">
        <v>139</v>
      </c>
      <c r="N4" s="143" t="s">
        <v>376</v>
      </c>
      <c r="O4" s="143" t="s">
        <v>377</v>
      </c>
      <c r="P4" s="143" t="s">
        <v>378</v>
      </c>
      <c r="Q4" s="143" t="s">
        <v>379</v>
      </c>
      <c r="R4" s="143" t="s">
        <v>380</v>
      </c>
      <c r="S4" s="143" t="s">
        <v>426</v>
      </c>
    </row>
    <row r="5" spans="1:19" ht="27" customHeight="1" x14ac:dyDescent="0.25">
      <c r="A5" s="54" t="s">
        <v>108</v>
      </c>
      <c r="B5" s="72"/>
      <c r="C5" s="434" t="s">
        <v>104</v>
      </c>
      <c r="D5" s="434"/>
      <c r="E5" s="434"/>
      <c r="F5" s="435"/>
      <c r="G5" s="25" t="s">
        <v>45</v>
      </c>
      <c r="H5" s="25" t="s">
        <v>45</v>
      </c>
      <c r="I5" s="25" t="s">
        <v>45</v>
      </c>
      <c r="J5" s="25" t="s">
        <v>45</v>
      </c>
      <c r="K5" s="25" t="s">
        <v>45</v>
      </c>
      <c r="L5" s="25" t="s">
        <v>45</v>
      </c>
      <c r="M5" s="26" t="s">
        <v>45</v>
      </c>
      <c r="N5" s="332" t="s">
        <v>45</v>
      </c>
      <c r="O5" s="332" t="s">
        <v>45</v>
      </c>
      <c r="P5" s="332" t="s">
        <v>45</v>
      </c>
      <c r="Q5" s="332" t="s">
        <v>45</v>
      </c>
      <c r="R5" s="332" t="s">
        <v>45</v>
      </c>
      <c r="S5" s="332" t="s">
        <v>45</v>
      </c>
    </row>
    <row r="6" spans="1:19" ht="15.75" customHeight="1" x14ac:dyDescent="0.25">
      <c r="A6" s="44" t="s">
        <v>109</v>
      </c>
      <c r="B6" s="56"/>
      <c r="C6" s="330">
        <v>18</v>
      </c>
      <c r="D6" s="331">
        <v>18</v>
      </c>
      <c r="E6" s="331">
        <v>18</v>
      </c>
      <c r="F6" s="331">
        <v>18</v>
      </c>
      <c r="G6" s="57">
        <f>Estimation!B4</f>
        <v>18</v>
      </c>
      <c r="H6" s="58">
        <f>G6</f>
        <v>18</v>
      </c>
      <c r="I6" s="58">
        <f t="shared" ref="I6:N6" si="0">H6</f>
        <v>18</v>
      </c>
      <c r="J6" s="58">
        <f t="shared" si="0"/>
        <v>18</v>
      </c>
      <c r="K6" s="58">
        <f t="shared" si="0"/>
        <v>18</v>
      </c>
      <c r="L6" s="58">
        <f t="shared" si="0"/>
        <v>18</v>
      </c>
      <c r="M6" s="58">
        <f t="shared" si="0"/>
        <v>18</v>
      </c>
      <c r="N6" s="58">
        <f t="shared" si="0"/>
        <v>18</v>
      </c>
      <c r="O6" s="58">
        <f t="shared" ref="O6" si="1">N6</f>
        <v>18</v>
      </c>
      <c r="P6" s="58">
        <f t="shared" ref="P6" si="2">O6</f>
        <v>18</v>
      </c>
      <c r="Q6" s="58">
        <f t="shared" ref="Q6" si="3">P6</f>
        <v>18</v>
      </c>
      <c r="R6" s="58">
        <f t="shared" ref="R6" si="4">Q6</f>
        <v>18</v>
      </c>
      <c r="S6" s="58">
        <f t="shared" ref="S6" si="5">R6</f>
        <v>18</v>
      </c>
    </row>
    <row r="7" spans="1:19" ht="15.75" customHeight="1" x14ac:dyDescent="0.25">
      <c r="A7" s="44"/>
      <c r="B7" s="56"/>
      <c r="C7" s="330"/>
      <c r="D7" s="331"/>
      <c r="E7" s="331"/>
      <c r="F7" s="331"/>
      <c r="G7" s="57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x14ac:dyDescent="0.25">
      <c r="A8" s="32" t="s">
        <v>65</v>
      </c>
      <c r="B8" s="32"/>
      <c r="C8" s="32">
        <v>0</v>
      </c>
      <c r="D8" s="32">
        <v>0</v>
      </c>
      <c r="E8" s="32">
        <v>0</v>
      </c>
      <c r="F8" s="32">
        <v>0</v>
      </c>
      <c r="G8" s="154">
        <f>G6*365</f>
        <v>6570</v>
      </c>
      <c r="H8" s="154">
        <f t="shared" ref="H8:S8" si="6">H6*365</f>
        <v>6570</v>
      </c>
      <c r="I8" s="154">
        <f t="shared" si="6"/>
        <v>6570</v>
      </c>
      <c r="J8" s="154">
        <f t="shared" si="6"/>
        <v>6570</v>
      </c>
      <c r="K8" s="154">
        <f t="shared" si="6"/>
        <v>6570</v>
      </c>
      <c r="L8" s="154">
        <f t="shared" si="6"/>
        <v>6570</v>
      </c>
      <c r="M8" s="154">
        <f t="shared" si="6"/>
        <v>6570</v>
      </c>
      <c r="N8" s="154">
        <f t="shared" si="6"/>
        <v>6570</v>
      </c>
      <c r="O8" s="154">
        <f t="shared" si="6"/>
        <v>6570</v>
      </c>
      <c r="P8" s="154">
        <f t="shared" si="6"/>
        <v>6570</v>
      </c>
      <c r="Q8" s="154">
        <f t="shared" si="6"/>
        <v>6570</v>
      </c>
      <c r="R8" s="154">
        <f t="shared" si="6"/>
        <v>6570</v>
      </c>
      <c r="S8" s="154">
        <f t="shared" si="6"/>
        <v>6570</v>
      </c>
    </row>
    <row r="9" spans="1:19" x14ac:dyDescent="0.25">
      <c r="A9" s="32" t="s">
        <v>340</v>
      </c>
      <c r="B9" s="32">
        <v>3</v>
      </c>
      <c r="C9" s="32">
        <v>0</v>
      </c>
      <c r="D9" s="32">
        <v>0</v>
      </c>
      <c r="E9" s="32">
        <v>0</v>
      </c>
      <c r="F9" s="32">
        <v>0</v>
      </c>
      <c r="G9" s="333">
        <f>G8*$B$9</f>
        <v>19710</v>
      </c>
      <c r="H9" s="32">
        <f t="shared" ref="H9:S9" si="7">H8*$B$9</f>
        <v>19710</v>
      </c>
      <c r="I9" s="32">
        <f t="shared" si="7"/>
        <v>19710</v>
      </c>
      <c r="J9" s="32">
        <f t="shared" si="7"/>
        <v>19710</v>
      </c>
      <c r="K9" s="32">
        <f t="shared" si="7"/>
        <v>19710</v>
      </c>
      <c r="L9" s="32">
        <f t="shared" si="7"/>
        <v>19710</v>
      </c>
      <c r="M9" s="32">
        <f t="shared" si="7"/>
        <v>19710</v>
      </c>
      <c r="N9" s="32">
        <f t="shared" si="7"/>
        <v>19710</v>
      </c>
      <c r="O9" s="32">
        <f t="shared" si="7"/>
        <v>19710</v>
      </c>
      <c r="P9" s="32">
        <f t="shared" si="7"/>
        <v>19710</v>
      </c>
      <c r="Q9" s="32">
        <f t="shared" si="7"/>
        <v>19710</v>
      </c>
      <c r="R9" s="32">
        <f t="shared" si="7"/>
        <v>19710</v>
      </c>
      <c r="S9" s="32">
        <f t="shared" si="7"/>
        <v>19710</v>
      </c>
    </row>
    <row r="10" spans="1:19" x14ac:dyDescent="0.25">
      <c r="A10" s="38" t="s">
        <v>81</v>
      </c>
      <c r="B10" s="226"/>
      <c r="C10" s="32">
        <v>0</v>
      </c>
      <c r="D10" s="32">
        <v>0</v>
      </c>
      <c r="E10" s="32">
        <v>0</v>
      </c>
      <c r="F10" s="32">
        <v>0</v>
      </c>
      <c r="G10" s="385">
        <v>0.39</v>
      </c>
      <c r="H10" s="153">
        <v>0.45</v>
      </c>
      <c r="I10" s="153">
        <v>0.47</v>
      </c>
      <c r="J10" s="153">
        <v>0.49</v>
      </c>
      <c r="K10" s="153">
        <v>0.51</v>
      </c>
      <c r="L10" s="153">
        <v>0.53</v>
      </c>
      <c r="M10" s="153">
        <v>0.55000000000000004</v>
      </c>
      <c r="N10" s="153">
        <v>0.55000000000000004</v>
      </c>
      <c r="O10" s="153">
        <v>0.55000000000000004</v>
      </c>
      <c r="P10" s="153">
        <v>0.55000000000000004</v>
      </c>
      <c r="Q10" s="153">
        <v>0.55000000000000004</v>
      </c>
      <c r="R10" s="153">
        <v>0.55000000000000004</v>
      </c>
      <c r="S10" s="153">
        <v>0.55000000000000004</v>
      </c>
    </row>
    <row r="11" spans="1:19" x14ac:dyDescent="0.25">
      <c r="A11" s="225" t="s">
        <v>428</v>
      </c>
      <c r="B11" s="32"/>
      <c r="C11" s="32">
        <v>0</v>
      </c>
      <c r="D11" s="32">
        <v>0</v>
      </c>
      <c r="E11" s="32">
        <v>0</v>
      </c>
      <c r="F11" s="32">
        <v>0</v>
      </c>
      <c r="G11" s="154"/>
      <c r="H11" s="154"/>
      <c r="I11" s="154"/>
      <c r="J11" s="154"/>
      <c r="K11" s="154"/>
      <c r="L11" s="154"/>
      <c r="M11" s="154"/>
      <c r="N11" s="154"/>
      <c r="O11" s="59"/>
      <c r="P11" s="59"/>
      <c r="Q11" s="59"/>
    </row>
    <row r="12" spans="1:19" x14ac:dyDescent="0.25">
      <c r="A12" s="32" t="s">
        <v>427</v>
      </c>
      <c r="B12" s="32"/>
      <c r="C12" s="32">
        <v>0</v>
      </c>
      <c r="D12" s="32">
        <v>0</v>
      </c>
      <c r="E12" s="32">
        <v>0</v>
      </c>
      <c r="F12" s="32">
        <v>0</v>
      </c>
      <c r="G12" s="154">
        <f>Estimation!D10</f>
        <v>25000</v>
      </c>
      <c r="H12" s="154">
        <f>G12*1.1</f>
        <v>27500.000000000004</v>
      </c>
      <c r="I12" s="154">
        <f t="shared" ref="I12" si="8">H12*1.1</f>
        <v>30250.000000000007</v>
      </c>
      <c r="J12" s="154">
        <f>I12*1.05</f>
        <v>31762.500000000007</v>
      </c>
      <c r="K12" s="154">
        <f>J12*1.05</f>
        <v>33350.625000000007</v>
      </c>
      <c r="L12" s="154">
        <f>K12*1.05</f>
        <v>35018.156250000007</v>
      </c>
      <c r="M12" s="154">
        <f t="shared" ref="M12:S13" si="9">L12*1.05</f>
        <v>36769.064062500009</v>
      </c>
      <c r="N12" s="154">
        <f t="shared" si="9"/>
        <v>38607.517265625014</v>
      </c>
      <c r="O12" s="154">
        <f t="shared" si="9"/>
        <v>40537.893128906268</v>
      </c>
      <c r="P12" s="154">
        <f t="shared" si="9"/>
        <v>42564.787785351582</v>
      </c>
      <c r="Q12" s="154">
        <f t="shared" si="9"/>
        <v>44693.027174619165</v>
      </c>
      <c r="R12" s="154">
        <f t="shared" si="9"/>
        <v>46927.678533350125</v>
      </c>
      <c r="S12" s="154">
        <f t="shared" si="9"/>
        <v>49274.062460017631</v>
      </c>
    </row>
    <row r="13" spans="1:19" x14ac:dyDescent="0.25">
      <c r="A13" s="32" t="s">
        <v>347</v>
      </c>
      <c r="B13" s="32"/>
      <c r="C13" s="32">
        <v>0</v>
      </c>
      <c r="D13" s="32">
        <v>0</v>
      </c>
      <c r="E13" s="32">
        <v>0</v>
      </c>
      <c r="F13" s="32">
        <v>0</v>
      </c>
      <c r="G13" s="154">
        <f>Estimation!D13</f>
        <v>1000</v>
      </c>
      <c r="H13" s="154">
        <f>G13*1.1</f>
        <v>1100</v>
      </c>
      <c r="I13" s="154">
        <f t="shared" ref="I13" si="10">H13*1.1</f>
        <v>1210</v>
      </c>
      <c r="J13" s="154">
        <f>I13*1.05</f>
        <v>1270.5</v>
      </c>
      <c r="K13" s="154">
        <f t="shared" ref="K13:L13" si="11">J13*1.05</f>
        <v>1334.0250000000001</v>
      </c>
      <c r="L13" s="154">
        <f t="shared" si="11"/>
        <v>1400.7262500000002</v>
      </c>
      <c r="M13" s="154">
        <f t="shared" si="9"/>
        <v>1470.7625625000003</v>
      </c>
      <c r="N13" s="154">
        <f t="shared" si="9"/>
        <v>1544.3006906250005</v>
      </c>
      <c r="O13" s="154">
        <f t="shared" si="9"/>
        <v>1621.5157251562505</v>
      </c>
      <c r="P13" s="154">
        <f t="shared" si="9"/>
        <v>1702.591511414063</v>
      </c>
      <c r="Q13" s="154">
        <f t="shared" si="9"/>
        <v>1787.7210869847663</v>
      </c>
      <c r="R13" s="154">
        <f t="shared" si="9"/>
        <v>1877.1071413340046</v>
      </c>
      <c r="S13" s="154">
        <f t="shared" si="9"/>
        <v>1970.9624984007048</v>
      </c>
    </row>
    <row r="14" spans="1:19" x14ac:dyDescent="0.25">
      <c r="A14" s="32" t="s">
        <v>343</v>
      </c>
      <c r="B14" s="32"/>
      <c r="C14" s="32">
        <v>0</v>
      </c>
      <c r="D14" s="32">
        <v>0</v>
      </c>
      <c r="E14" s="32">
        <v>0</v>
      </c>
      <c r="F14" s="32">
        <v>0</v>
      </c>
      <c r="G14" s="224">
        <f>Estimation!D14</f>
        <v>3500</v>
      </c>
      <c r="H14" s="224">
        <f>G14*1.1</f>
        <v>3850.0000000000005</v>
      </c>
      <c r="I14" s="224">
        <f t="shared" ref="I14" si="12">H14*1.1</f>
        <v>4235.0000000000009</v>
      </c>
      <c r="J14" s="224">
        <f>I14*1.05</f>
        <v>4446.7500000000009</v>
      </c>
      <c r="K14" s="224">
        <f>J14*1.05</f>
        <v>4669.0875000000015</v>
      </c>
      <c r="L14" s="224">
        <f t="shared" ref="L14:S14" si="13">K14*1.05</f>
        <v>4902.5418750000017</v>
      </c>
      <c r="M14" s="224">
        <f t="shared" si="13"/>
        <v>5147.668968750002</v>
      </c>
      <c r="N14" s="224">
        <f t="shared" si="13"/>
        <v>5405.0524171875022</v>
      </c>
      <c r="O14" s="224">
        <f t="shared" si="13"/>
        <v>5675.3050380468776</v>
      </c>
      <c r="P14" s="224">
        <f t="shared" si="13"/>
        <v>5959.0702899492217</v>
      </c>
      <c r="Q14" s="224">
        <f t="shared" si="13"/>
        <v>6257.0238044466832</v>
      </c>
      <c r="R14" s="224">
        <f t="shared" si="13"/>
        <v>6569.8749946690177</v>
      </c>
      <c r="S14" s="224">
        <f t="shared" si="13"/>
        <v>6898.368744402469</v>
      </c>
    </row>
    <row r="15" spans="1:19" x14ac:dyDescent="0.25">
      <c r="A15" s="32" t="s">
        <v>338</v>
      </c>
      <c r="B15" s="32"/>
      <c r="C15" s="32">
        <v>0</v>
      </c>
      <c r="D15" s="32">
        <v>0</v>
      </c>
      <c r="E15" s="32">
        <v>0</v>
      </c>
      <c r="F15" s="32">
        <v>0</v>
      </c>
      <c r="G15" s="224">
        <f>+Estimation!D15</f>
        <v>2250</v>
      </c>
      <c r="H15" s="224">
        <f>+G15*1.1</f>
        <v>2475</v>
      </c>
      <c r="I15" s="224">
        <f t="shared" ref="I15" si="14">+H15*1.1</f>
        <v>2722.5</v>
      </c>
      <c r="J15" s="224">
        <f>+I15*1.05</f>
        <v>2858.625</v>
      </c>
      <c r="K15" s="224">
        <f>+J15*1.05</f>
        <v>3001.5562500000001</v>
      </c>
      <c r="L15" s="224">
        <f t="shared" ref="L15:S15" si="15">+K15*1.05</f>
        <v>3151.6340625000003</v>
      </c>
      <c r="M15" s="224">
        <f t="shared" si="15"/>
        <v>3309.2157656250006</v>
      </c>
      <c r="N15" s="224">
        <f t="shared" si="15"/>
        <v>3474.6765539062508</v>
      </c>
      <c r="O15" s="224">
        <f t="shared" si="15"/>
        <v>3648.4103816015636</v>
      </c>
      <c r="P15" s="224">
        <f t="shared" si="15"/>
        <v>3830.8309006816421</v>
      </c>
      <c r="Q15" s="224">
        <f t="shared" si="15"/>
        <v>4022.3724457157246</v>
      </c>
      <c r="R15" s="224">
        <f t="shared" si="15"/>
        <v>4223.4910680015109</v>
      </c>
      <c r="S15" s="224">
        <f t="shared" si="15"/>
        <v>4434.6656214015866</v>
      </c>
    </row>
    <row r="16" spans="1:19" x14ac:dyDescent="0.25">
      <c r="A16" s="225" t="s">
        <v>13</v>
      </c>
      <c r="B16" s="225"/>
      <c r="C16" s="32">
        <v>0</v>
      </c>
      <c r="D16" s="32">
        <v>0</v>
      </c>
      <c r="E16" s="32">
        <v>0</v>
      </c>
      <c r="F16" s="32">
        <v>0</v>
      </c>
      <c r="G16" s="139"/>
      <c r="H16" s="139"/>
      <c r="I16" s="139"/>
      <c r="J16" s="139"/>
      <c r="K16" s="139"/>
      <c r="L16" s="139"/>
      <c r="M16" s="139"/>
      <c r="N16" s="60"/>
    </row>
    <row r="17" spans="1:20" x14ac:dyDescent="0.25">
      <c r="A17" s="32" t="s">
        <v>56</v>
      </c>
      <c r="B17" s="32"/>
      <c r="C17" s="32">
        <v>0</v>
      </c>
      <c r="D17" s="32">
        <v>0</v>
      </c>
      <c r="E17" s="32">
        <v>0</v>
      </c>
      <c r="F17" s="333"/>
      <c r="G17" s="139">
        <f t="shared" ref="G17:S17" si="16">ROUND((G6*G12)*G10*365/100000,2)</f>
        <v>640.58000000000004</v>
      </c>
      <c r="H17" s="139">
        <f t="shared" si="16"/>
        <v>813.04</v>
      </c>
      <c r="I17" s="139">
        <f t="shared" si="16"/>
        <v>934.09</v>
      </c>
      <c r="J17" s="139">
        <f t="shared" si="16"/>
        <v>1022.53</v>
      </c>
      <c r="K17" s="139">
        <f t="shared" si="16"/>
        <v>1117.48</v>
      </c>
      <c r="L17" s="139">
        <f t="shared" si="16"/>
        <v>1219.3699999999999</v>
      </c>
      <c r="M17" s="139">
        <f t="shared" si="16"/>
        <v>1328.65</v>
      </c>
      <c r="N17" s="139">
        <f t="shared" si="16"/>
        <v>1395.08</v>
      </c>
      <c r="O17" s="139">
        <f t="shared" si="16"/>
        <v>1464.84</v>
      </c>
      <c r="P17" s="139">
        <f t="shared" si="16"/>
        <v>1538.08</v>
      </c>
      <c r="Q17" s="139">
        <f t="shared" si="16"/>
        <v>1614.98</v>
      </c>
      <c r="R17" s="139">
        <f t="shared" si="16"/>
        <v>1695.73</v>
      </c>
      <c r="S17" s="139">
        <f t="shared" si="16"/>
        <v>1780.52</v>
      </c>
      <c r="T17" s="63"/>
    </row>
    <row r="18" spans="1:20" x14ac:dyDescent="0.25">
      <c r="A18" s="32" t="s">
        <v>348</v>
      </c>
      <c r="B18" s="32"/>
      <c r="C18" s="32">
        <v>0</v>
      </c>
      <c r="D18" s="32">
        <v>0</v>
      </c>
      <c r="E18" s="32">
        <v>0</v>
      </c>
      <c r="F18" s="32">
        <v>0</v>
      </c>
      <c r="G18" s="139">
        <f t="shared" ref="G18:S18" si="17">ROUND((G9*G13)*G10/100000,2)</f>
        <v>76.87</v>
      </c>
      <c r="H18" s="139">
        <f t="shared" si="17"/>
        <v>97.56</v>
      </c>
      <c r="I18" s="139">
        <f t="shared" si="17"/>
        <v>112.09</v>
      </c>
      <c r="J18" s="139">
        <f t="shared" si="17"/>
        <v>122.7</v>
      </c>
      <c r="K18" s="139">
        <f t="shared" si="17"/>
        <v>134.1</v>
      </c>
      <c r="L18" s="139">
        <f t="shared" si="17"/>
        <v>146.32</v>
      </c>
      <c r="M18" s="139">
        <f t="shared" si="17"/>
        <v>159.44</v>
      </c>
      <c r="N18" s="139">
        <f t="shared" si="17"/>
        <v>167.41</v>
      </c>
      <c r="O18" s="139">
        <f t="shared" si="17"/>
        <v>175.78</v>
      </c>
      <c r="P18" s="139">
        <f t="shared" si="17"/>
        <v>184.57</v>
      </c>
      <c r="Q18" s="139">
        <f t="shared" si="17"/>
        <v>193.8</v>
      </c>
      <c r="R18" s="139">
        <f t="shared" si="17"/>
        <v>203.49</v>
      </c>
      <c r="S18" s="139">
        <f t="shared" si="17"/>
        <v>213.66</v>
      </c>
      <c r="T18" s="63"/>
    </row>
    <row r="19" spans="1:20" x14ac:dyDescent="0.25">
      <c r="A19" s="10" t="s">
        <v>345</v>
      </c>
      <c r="B19" s="32"/>
      <c r="C19" s="32">
        <v>0</v>
      </c>
      <c r="D19" s="32">
        <v>0</v>
      </c>
      <c r="E19" s="32">
        <v>0</v>
      </c>
      <c r="F19" s="32">
        <v>0</v>
      </c>
      <c r="G19" s="139">
        <f t="shared" ref="G19:S19" si="18">(G8*25%*2*G14)*G10/10^5</f>
        <v>44.840249999999997</v>
      </c>
      <c r="H19" s="139">
        <f t="shared" si="18"/>
        <v>56.912625000000013</v>
      </c>
      <c r="I19" s="139">
        <f t="shared" si="18"/>
        <v>65.386282500000007</v>
      </c>
      <c r="J19" s="139">
        <f t="shared" si="18"/>
        <v>71.577111375000015</v>
      </c>
      <c r="K19" s="139">
        <f t="shared" si="18"/>
        <v>78.223557431250029</v>
      </c>
      <c r="L19" s="139">
        <f t="shared" si="18"/>
        <v>85.355705314687526</v>
      </c>
      <c r="M19" s="139">
        <f t="shared" si="18"/>
        <v>93.005509092890676</v>
      </c>
      <c r="N19" s="139">
        <f t="shared" si="18"/>
        <v>97.65578454753522</v>
      </c>
      <c r="O19" s="139">
        <f t="shared" si="18"/>
        <v>102.53857377491197</v>
      </c>
      <c r="P19" s="139">
        <f t="shared" si="18"/>
        <v>107.66550246365756</v>
      </c>
      <c r="Q19" s="139">
        <f t="shared" si="18"/>
        <v>113.04877758684044</v>
      </c>
      <c r="R19" s="139">
        <f t="shared" si="18"/>
        <v>118.70121646618249</v>
      </c>
      <c r="S19" s="139">
        <f t="shared" si="18"/>
        <v>124.63627728949163</v>
      </c>
      <c r="T19" s="63"/>
    </row>
    <row r="20" spans="1:20" x14ac:dyDescent="0.25">
      <c r="A20" s="10" t="s">
        <v>327</v>
      </c>
      <c r="B20" s="32"/>
      <c r="C20" s="32">
        <v>0</v>
      </c>
      <c r="D20" s="32">
        <v>0</v>
      </c>
      <c r="E20" s="32">
        <v>0</v>
      </c>
      <c r="F20" s="32">
        <v>0</v>
      </c>
      <c r="G20" s="139">
        <f>(G15*G8*G10)/10^5</f>
        <v>57.65175</v>
      </c>
      <c r="H20" s="139">
        <f>G20*1.05</f>
        <v>60.534337499999999</v>
      </c>
      <c r="I20" s="139">
        <f t="shared" ref="I20:N21" si="19">H20*1.05</f>
        <v>63.561054375000005</v>
      </c>
      <c r="J20" s="139">
        <f t="shared" si="19"/>
        <v>66.739107093750007</v>
      </c>
      <c r="K20" s="139">
        <f t="shared" si="19"/>
        <v>70.076062448437511</v>
      </c>
      <c r="L20" s="139">
        <f t="shared" si="19"/>
        <v>73.579865570859397</v>
      </c>
      <c r="M20" s="139">
        <f t="shared" si="19"/>
        <v>77.258858849402372</v>
      </c>
      <c r="N20" s="139">
        <f t="shared" si="19"/>
        <v>81.1218017918725</v>
      </c>
      <c r="O20" s="139">
        <f t="shared" ref="O20:O21" si="20">N20*1.05</f>
        <v>85.177891881466124</v>
      </c>
      <c r="P20" s="139">
        <f t="shared" ref="P20:P21" si="21">O20*1.05</f>
        <v>89.436786475539435</v>
      </c>
      <c r="Q20" s="139">
        <f t="shared" ref="Q20:Q21" si="22">P20*1.05</f>
        <v>93.908625799316411</v>
      </c>
      <c r="R20" s="139">
        <f t="shared" ref="R20:R21" si="23">Q20*1.05</f>
        <v>98.604057089282236</v>
      </c>
      <c r="S20" s="139">
        <f t="shared" ref="S20:S21" si="24">R20*1.05</f>
        <v>103.53425994374635</v>
      </c>
      <c r="T20" s="63"/>
    </row>
    <row r="21" spans="1:20" x14ac:dyDescent="0.25">
      <c r="A21" s="32" t="s">
        <v>346</v>
      </c>
      <c r="B21" s="32"/>
      <c r="C21" s="32">
        <v>0</v>
      </c>
      <c r="D21" s="32">
        <v>0</v>
      </c>
      <c r="E21" s="32">
        <v>0</v>
      </c>
      <c r="F21" s="32">
        <v>0</v>
      </c>
      <c r="G21" s="139">
        <f>+Estimation!D23</f>
        <v>72</v>
      </c>
      <c r="H21" s="139">
        <f>G21*1.1</f>
        <v>79.2</v>
      </c>
      <c r="I21" s="139">
        <f t="shared" ref="I21" si="25">H21*1.1</f>
        <v>87.12</v>
      </c>
      <c r="J21" s="139">
        <f>I21*1.05</f>
        <v>91.476000000000013</v>
      </c>
      <c r="K21" s="139">
        <f t="shared" si="19"/>
        <v>96.049800000000019</v>
      </c>
      <c r="L21" s="139">
        <f t="shared" si="19"/>
        <v>100.85229000000002</v>
      </c>
      <c r="M21" s="139">
        <f t="shared" si="19"/>
        <v>105.89490450000002</v>
      </c>
      <c r="N21" s="139">
        <f t="shared" si="19"/>
        <v>111.18964972500002</v>
      </c>
      <c r="O21" s="139">
        <f t="shared" si="20"/>
        <v>116.74913221125003</v>
      </c>
      <c r="P21" s="139">
        <f t="shared" si="21"/>
        <v>122.58658882181254</v>
      </c>
      <c r="Q21" s="139">
        <f t="shared" si="22"/>
        <v>128.71591826290316</v>
      </c>
      <c r="R21" s="139">
        <f t="shared" si="23"/>
        <v>135.15171417604833</v>
      </c>
      <c r="S21" s="139">
        <f t="shared" si="24"/>
        <v>141.90929988485075</v>
      </c>
      <c r="T21" s="63"/>
    </row>
    <row r="22" spans="1:20" x14ac:dyDescent="0.25">
      <c r="A22" s="32" t="s">
        <v>38</v>
      </c>
      <c r="B22" s="32"/>
      <c r="C22" s="32">
        <v>0</v>
      </c>
      <c r="D22" s="32">
        <v>0</v>
      </c>
      <c r="E22" s="32">
        <v>0</v>
      </c>
      <c r="F22" s="32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</row>
    <row r="23" spans="1:20" x14ac:dyDescent="0.25">
      <c r="A23" s="144" t="s">
        <v>41</v>
      </c>
      <c r="B23" s="144"/>
      <c r="C23" s="144">
        <v>0</v>
      </c>
      <c r="D23" s="144">
        <v>0</v>
      </c>
      <c r="E23" s="144">
        <v>0</v>
      </c>
      <c r="F23" s="144">
        <v>0</v>
      </c>
      <c r="G23" s="144">
        <f t="shared" ref="G23:S23" si="26">ROUND(SUM(G17:G22),2)</f>
        <v>891.94</v>
      </c>
      <c r="H23" s="163">
        <f t="shared" si="26"/>
        <v>1107.25</v>
      </c>
      <c r="I23" s="163">
        <f t="shared" si="26"/>
        <v>1262.25</v>
      </c>
      <c r="J23" s="163">
        <f t="shared" si="26"/>
        <v>1375.02</v>
      </c>
      <c r="K23" s="163">
        <f t="shared" si="26"/>
        <v>1495.93</v>
      </c>
      <c r="L23" s="163">
        <f t="shared" si="26"/>
        <v>1625.48</v>
      </c>
      <c r="M23" s="163">
        <f t="shared" si="26"/>
        <v>1764.25</v>
      </c>
      <c r="N23" s="163">
        <f t="shared" si="26"/>
        <v>1852.46</v>
      </c>
      <c r="O23" s="163">
        <f t="shared" si="26"/>
        <v>1945.09</v>
      </c>
      <c r="P23" s="163">
        <f t="shared" si="26"/>
        <v>2042.34</v>
      </c>
      <c r="Q23" s="163">
        <f t="shared" si="26"/>
        <v>2144.4499999999998</v>
      </c>
      <c r="R23" s="163">
        <f t="shared" si="26"/>
        <v>2251.6799999999998</v>
      </c>
      <c r="S23" s="163">
        <f t="shared" si="26"/>
        <v>2364.2600000000002</v>
      </c>
    </row>
    <row r="24" spans="1:20" x14ac:dyDescent="0.25">
      <c r="A24" s="225" t="s">
        <v>14</v>
      </c>
      <c r="B24" s="38"/>
      <c r="C24" s="32">
        <v>0</v>
      </c>
      <c r="D24" s="32">
        <v>0</v>
      </c>
      <c r="E24" s="32">
        <v>0</v>
      </c>
      <c r="F24" s="32">
        <v>0</v>
      </c>
      <c r="G24" s="61"/>
      <c r="H24" s="61"/>
      <c r="I24" s="61"/>
      <c r="J24" s="61"/>
      <c r="K24" s="61"/>
      <c r="L24" s="61"/>
      <c r="M24" s="61"/>
      <c r="N24" s="61"/>
      <c r="O24" s="43"/>
      <c r="P24" s="43"/>
      <c r="Q24" s="43"/>
    </row>
    <row r="25" spans="1:20" x14ac:dyDescent="0.25">
      <c r="A25" s="32" t="s">
        <v>370</v>
      </c>
      <c r="B25" s="226">
        <v>0.1</v>
      </c>
      <c r="C25" s="32">
        <v>0</v>
      </c>
      <c r="D25" s="32">
        <v>0</v>
      </c>
      <c r="E25" s="32">
        <v>0</v>
      </c>
      <c r="F25" s="32">
        <v>0</v>
      </c>
      <c r="G25" s="139">
        <f>ROUND((G17)*$B25,2)</f>
        <v>64.06</v>
      </c>
      <c r="H25" s="139">
        <f>ROUND(H17*$B25,2)</f>
        <v>81.3</v>
      </c>
      <c r="I25" s="139">
        <f t="shared" ref="I25:M25" si="27">ROUND(I17*$B25,2)</f>
        <v>93.41</v>
      </c>
      <c r="J25" s="139">
        <f t="shared" si="27"/>
        <v>102.25</v>
      </c>
      <c r="K25" s="139">
        <f t="shared" si="27"/>
        <v>111.75</v>
      </c>
      <c r="L25" s="139">
        <f t="shared" si="27"/>
        <v>121.94</v>
      </c>
      <c r="M25" s="139">
        <f t="shared" si="27"/>
        <v>132.87</v>
      </c>
      <c r="N25" s="139">
        <f>ROUND(N17*$B25,2)</f>
        <v>139.51</v>
      </c>
      <c r="O25" s="139">
        <f t="shared" ref="O25:S25" si="28">ROUND(O17*$B25,2)</f>
        <v>146.47999999999999</v>
      </c>
      <c r="P25" s="139">
        <f t="shared" si="28"/>
        <v>153.81</v>
      </c>
      <c r="Q25" s="139">
        <f t="shared" si="28"/>
        <v>161.5</v>
      </c>
      <c r="R25" s="139">
        <f t="shared" si="28"/>
        <v>169.57</v>
      </c>
      <c r="S25" s="139">
        <f t="shared" si="28"/>
        <v>178.05</v>
      </c>
    </row>
    <row r="26" spans="1:20" x14ac:dyDescent="0.25">
      <c r="A26" s="32" t="s">
        <v>349</v>
      </c>
      <c r="B26" s="226">
        <v>0.35</v>
      </c>
      <c r="C26" s="32">
        <v>0</v>
      </c>
      <c r="D26" s="32">
        <v>0</v>
      </c>
      <c r="E26" s="32">
        <v>0</v>
      </c>
      <c r="F26" s="32">
        <v>0</v>
      </c>
      <c r="G26" s="139">
        <f>+G17*$B$26</f>
        <v>224.203</v>
      </c>
      <c r="H26" s="139">
        <f t="shared" ref="H26:S26" si="29">+H17*$B$26</f>
        <v>284.56399999999996</v>
      </c>
      <c r="I26" s="139">
        <f t="shared" si="29"/>
        <v>326.93149999999997</v>
      </c>
      <c r="J26" s="139">
        <f t="shared" si="29"/>
        <v>357.88549999999998</v>
      </c>
      <c r="K26" s="139">
        <f t="shared" si="29"/>
        <v>391.11799999999999</v>
      </c>
      <c r="L26" s="139">
        <f t="shared" si="29"/>
        <v>426.77949999999993</v>
      </c>
      <c r="M26" s="139">
        <f t="shared" si="29"/>
        <v>465.02749999999997</v>
      </c>
      <c r="N26" s="139">
        <f t="shared" si="29"/>
        <v>488.27799999999996</v>
      </c>
      <c r="O26" s="139">
        <f t="shared" si="29"/>
        <v>512.69399999999996</v>
      </c>
      <c r="P26" s="139">
        <f t="shared" si="29"/>
        <v>538.32799999999997</v>
      </c>
      <c r="Q26" s="139">
        <f t="shared" si="29"/>
        <v>565.24299999999994</v>
      </c>
      <c r="R26" s="139">
        <f t="shared" si="29"/>
        <v>593.50549999999998</v>
      </c>
      <c r="S26" s="139">
        <f t="shared" si="29"/>
        <v>623.1819999999999</v>
      </c>
    </row>
    <row r="27" spans="1:20" x14ac:dyDescent="0.25">
      <c r="A27" s="32" t="s">
        <v>350</v>
      </c>
      <c r="B27" s="226">
        <v>0.35</v>
      </c>
      <c r="C27" s="32">
        <v>0</v>
      </c>
      <c r="D27" s="32">
        <v>0</v>
      </c>
      <c r="E27" s="32">
        <v>0</v>
      </c>
      <c r="F27" s="32">
        <v>0</v>
      </c>
      <c r="G27" s="139">
        <f>+G18*$B$27</f>
        <v>26.904499999999999</v>
      </c>
      <c r="H27" s="139">
        <f t="shared" ref="H27:S27" si="30">+H18*$B$27</f>
        <v>34.146000000000001</v>
      </c>
      <c r="I27" s="139">
        <f t="shared" si="30"/>
        <v>39.231499999999997</v>
      </c>
      <c r="J27" s="139">
        <f t="shared" si="30"/>
        <v>42.945</v>
      </c>
      <c r="K27" s="139">
        <f t="shared" si="30"/>
        <v>46.934999999999995</v>
      </c>
      <c r="L27" s="139">
        <f t="shared" si="30"/>
        <v>51.211999999999996</v>
      </c>
      <c r="M27" s="139">
        <f t="shared" si="30"/>
        <v>55.803999999999995</v>
      </c>
      <c r="N27" s="139">
        <f t="shared" si="30"/>
        <v>58.593499999999992</v>
      </c>
      <c r="O27" s="139">
        <f t="shared" si="30"/>
        <v>61.522999999999996</v>
      </c>
      <c r="P27" s="139">
        <f t="shared" si="30"/>
        <v>64.599499999999992</v>
      </c>
      <c r="Q27" s="139">
        <f t="shared" si="30"/>
        <v>67.83</v>
      </c>
      <c r="R27" s="139">
        <f t="shared" si="30"/>
        <v>71.221499999999992</v>
      </c>
      <c r="S27" s="139">
        <f t="shared" si="30"/>
        <v>74.780999999999992</v>
      </c>
    </row>
    <row r="28" spans="1:20" x14ac:dyDescent="0.25">
      <c r="A28" s="32" t="s">
        <v>82</v>
      </c>
      <c r="B28" s="226">
        <f>Estimation!B32</f>
        <v>0.02</v>
      </c>
      <c r="C28" s="32">
        <v>0</v>
      </c>
      <c r="D28" s="32">
        <v>0</v>
      </c>
      <c r="E28" s="32">
        <v>0</v>
      </c>
      <c r="F28" s="32">
        <v>0</v>
      </c>
      <c r="G28" s="139">
        <f>ROUND($B28*G23,2)</f>
        <v>17.84</v>
      </c>
      <c r="H28" s="139">
        <f t="shared" ref="H28:S28" si="31">ROUND($B28*H23,2)</f>
        <v>22.15</v>
      </c>
      <c r="I28" s="139">
        <f t="shared" si="31"/>
        <v>25.25</v>
      </c>
      <c r="J28" s="139">
        <f t="shared" si="31"/>
        <v>27.5</v>
      </c>
      <c r="K28" s="139">
        <f t="shared" si="31"/>
        <v>29.92</v>
      </c>
      <c r="L28" s="139">
        <f t="shared" si="31"/>
        <v>32.51</v>
      </c>
      <c r="M28" s="139">
        <f t="shared" si="31"/>
        <v>35.29</v>
      </c>
      <c r="N28" s="139">
        <f t="shared" si="31"/>
        <v>37.049999999999997</v>
      </c>
      <c r="O28" s="139">
        <f t="shared" si="31"/>
        <v>38.9</v>
      </c>
      <c r="P28" s="139">
        <f t="shared" si="31"/>
        <v>40.85</v>
      </c>
      <c r="Q28" s="139">
        <f t="shared" si="31"/>
        <v>42.89</v>
      </c>
      <c r="R28" s="139">
        <f t="shared" si="31"/>
        <v>45.03</v>
      </c>
      <c r="S28" s="139">
        <f t="shared" si="31"/>
        <v>47.29</v>
      </c>
    </row>
    <row r="29" spans="1:20" x14ac:dyDescent="0.25">
      <c r="A29" s="32" t="s">
        <v>352</v>
      </c>
      <c r="B29" s="226">
        <v>0.5</v>
      </c>
      <c r="C29" s="32">
        <v>0</v>
      </c>
      <c r="D29" s="32">
        <v>0</v>
      </c>
      <c r="E29" s="32">
        <v>0</v>
      </c>
      <c r="F29" s="32">
        <v>0</v>
      </c>
      <c r="G29" s="139">
        <f t="shared" ref="G29:S29" si="32">+$B$29*G20</f>
        <v>28.825875</v>
      </c>
      <c r="H29" s="139">
        <f t="shared" si="32"/>
        <v>30.26716875</v>
      </c>
      <c r="I29" s="139">
        <f t="shared" si="32"/>
        <v>31.780527187500002</v>
      </c>
      <c r="J29" s="139">
        <f t="shared" si="32"/>
        <v>33.369553546875004</v>
      </c>
      <c r="K29" s="139">
        <f t="shared" si="32"/>
        <v>35.038031224218756</v>
      </c>
      <c r="L29" s="139">
        <f t="shared" si="32"/>
        <v>36.789932785429698</v>
      </c>
      <c r="M29" s="139">
        <f t="shared" si="32"/>
        <v>38.629429424701186</v>
      </c>
      <c r="N29" s="139">
        <f t="shared" si="32"/>
        <v>40.56090089593625</v>
      </c>
      <c r="O29" s="139">
        <f t="shared" si="32"/>
        <v>42.588945940733062</v>
      </c>
      <c r="P29" s="139">
        <f t="shared" si="32"/>
        <v>44.718393237769718</v>
      </c>
      <c r="Q29" s="139">
        <f t="shared" si="32"/>
        <v>46.954312899658206</v>
      </c>
      <c r="R29" s="139">
        <f t="shared" si="32"/>
        <v>49.302028544641118</v>
      </c>
      <c r="S29" s="139">
        <f t="shared" si="32"/>
        <v>51.767129971873175</v>
      </c>
    </row>
    <row r="30" spans="1:20" ht="15.75" x14ac:dyDescent="0.25">
      <c r="A30" s="359" t="s">
        <v>351</v>
      </c>
      <c r="B30" s="226">
        <v>0.35</v>
      </c>
      <c r="C30" s="32">
        <v>0</v>
      </c>
      <c r="D30" s="32">
        <v>0</v>
      </c>
      <c r="E30" s="32">
        <v>0</v>
      </c>
      <c r="F30" s="32">
        <v>0</v>
      </c>
      <c r="G30" s="139">
        <f>ROUND($B30*G21,2)</f>
        <v>25.2</v>
      </c>
      <c r="H30" s="139">
        <f t="shared" ref="H30:S30" si="33">ROUND($B30*H21,2)</f>
        <v>27.72</v>
      </c>
      <c r="I30" s="139">
        <f t="shared" si="33"/>
        <v>30.49</v>
      </c>
      <c r="J30" s="139">
        <f t="shared" si="33"/>
        <v>32.020000000000003</v>
      </c>
      <c r="K30" s="139">
        <f t="shared" si="33"/>
        <v>33.619999999999997</v>
      </c>
      <c r="L30" s="139">
        <f t="shared" si="33"/>
        <v>35.299999999999997</v>
      </c>
      <c r="M30" s="139">
        <f t="shared" si="33"/>
        <v>37.06</v>
      </c>
      <c r="N30" s="139">
        <f t="shared" si="33"/>
        <v>38.92</v>
      </c>
      <c r="O30" s="139">
        <f t="shared" si="33"/>
        <v>40.86</v>
      </c>
      <c r="P30" s="139">
        <f t="shared" si="33"/>
        <v>42.91</v>
      </c>
      <c r="Q30" s="139">
        <f t="shared" si="33"/>
        <v>45.05</v>
      </c>
      <c r="R30" s="139">
        <f t="shared" si="33"/>
        <v>47.3</v>
      </c>
      <c r="S30" s="139">
        <f t="shared" si="33"/>
        <v>49.67</v>
      </c>
    </row>
    <row r="31" spans="1:20" x14ac:dyDescent="0.25">
      <c r="A31" s="32" t="s">
        <v>8</v>
      </c>
      <c r="B31" s="32"/>
      <c r="C31" s="32">
        <v>0</v>
      </c>
      <c r="D31" s="32">
        <v>0</v>
      </c>
      <c r="E31" s="32">
        <v>0</v>
      </c>
      <c r="F31" s="32">
        <v>0</v>
      </c>
      <c r="G31" s="139">
        <f>Estimation!G62</f>
        <v>98.4</v>
      </c>
      <c r="H31" s="139">
        <f>ROUND(G31*110%,2)</f>
        <v>108.24</v>
      </c>
      <c r="I31" s="139">
        <f t="shared" ref="I31:N32" si="34">ROUND(H31*110%,2)</f>
        <v>119.06</v>
      </c>
      <c r="J31" s="139">
        <f t="shared" si="34"/>
        <v>130.97</v>
      </c>
      <c r="K31" s="139">
        <f t="shared" si="34"/>
        <v>144.07</v>
      </c>
      <c r="L31" s="139">
        <f t="shared" si="34"/>
        <v>158.47999999999999</v>
      </c>
      <c r="M31" s="139">
        <f t="shared" si="34"/>
        <v>174.33</v>
      </c>
      <c r="N31" s="139">
        <f t="shared" si="34"/>
        <v>191.76</v>
      </c>
      <c r="O31" s="139">
        <f t="shared" ref="O31:O33" si="35">ROUND(N31*110%,2)</f>
        <v>210.94</v>
      </c>
      <c r="P31" s="139">
        <f t="shared" ref="P31:P33" si="36">ROUND(O31*110%,2)</f>
        <v>232.03</v>
      </c>
      <c r="Q31" s="139">
        <f t="shared" ref="Q31:Q33" si="37">ROUND(P31*110%,2)</f>
        <v>255.23</v>
      </c>
      <c r="R31" s="139">
        <f t="shared" ref="R31:R33" si="38">ROUND(Q31*110%,2)</f>
        <v>280.75</v>
      </c>
      <c r="S31" s="139">
        <f t="shared" ref="S31:S33" si="39">ROUND(R31*110%,2)</f>
        <v>308.83</v>
      </c>
    </row>
    <row r="32" spans="1:20" x14ac:dyDescent="0.25">
      <c r="A32" s="32" t="s">
        <v>373</v>
      </c>
      <c r="B32" s="226">
        <v>0.03</v>
      </c>
      <c r="C32" s="32">
        <v>0</v>
      </c>
      <c r="D32" s="32">
        <v>0</v>
      </c>
      <c r="E32" s="32">
        <v>0</v>
      </c>
      <c r="F32" s="32">
        <v>0</v>
      </c>
      <c r="G32" s="139">
        <f>+G23*B32</f>
        <v>26.758200000000002</v>
      </c>
      <c r="H32" s="139">
        <f>ROUND(G32*110%,2)</f>
        <v>29.43</v>
      </c>
      <c r="I32" s="139">
        <f t="shared" si="34"/>
        <v>32.369999999999997</v>
      </c>
      <c r="J32" s="139">
        <f t="shared" si="34"/>
        <v>35.61</v>
      </c>
      <c r="K32" s="139">
        <f t="shared" si="34"/>
        <v>39.17</v>
      </c>
      <c r="L32" s="139">
        <f t="shared" si="34"/>
        <v>43.09</v>
      </c>
      <c r="M32" s="139">
        <f t="shared" si="34"/>
        <v>47.4</v>
      </c>
      <c r="N32" s="139">
        <f t="shared" si="34"/>
        <v>52.14</v>
      </c>
      <c r="O32" s="139">
        <f t="shared" si="35"/>
        <v>57.35</v>
      </c>
      <c r="P32" s="139">
        <f t="shared" si="36"/>
        <v>63.09</v>
      </c>
      <c r="Q32" s="139">
        <f t="shared" si="37"/>
        <v>69.400000000000006</v>
      </c>
      <c r="R32" s="139">
        <f t="shared" si="38"/>
        <v>76.34</v>
      </c>
      <c r="S32" s="139">
        <f t="shared" si="39"/>
        <v>83.97</v>
      </c>
    </row>
    <row r="33" spans="1:20" x14ac:dyDescent="0.25">
      <c r="A33" s="32" t="s">
        <v>9</v>
      </c>
      <c r="B33" s="226">
        <v>0.05</v>
      </c>
      <c r="C33" s="32">
        <v>0</v>
      </c>
      <c r="D33" s="32">
        <v>0</v>
      </c>
      <c r="E33" s="32">
        <v>0</v>
      </c>
      <c r="F33" s="32">
        <v>0</v>
      </c>
      <c r="G33" s="139">
        <f>+G23*$B$33</f>
        <v>44.597000000000008</v>
      </c>
      <c r="H33" s="139">
        <f>ROUND(G33*110%,2)</f>
        <v>49.06</v>
      </c>
      <c r="I33" s="139">
        <f t="shared" ref="I33:N33" si="40">ROUND(H33*110%,2)</f>
        <v>53.97</v>
      </c>
      <c r="J33" s="139">
        <f t="shared" si="40"/>
        <v>59.37</v>
      </c>
      <c r="K33" s="139">
        <f t="shared" si="40"/>
        <v>65.31</v>
      </c>
      <c r="L33" s="139">
        <f t="shared" si="40"/>
        <v>71.84</v>
      </c>
      <c r="M33" s="139">
        <f t="shared" si="40"/>
        <v>79.02</v>
      </c>
      <c r="N33" s="139">
        <f t="shared" si="40"/>
        <v>86.92</v>
      </c>
      <c r="O33" s="139">
        <f t="shared" si="35"/>
        <v>95.61</v>
      </c>
      <c r="P33" s="139">
        <f t="shared" si="36"/>
        <v>105.17</v>
      </c>
      <c r="Q33" s="139">
        <f t="shared" si="37"/>
        <v>115.69</v>
      </c>
      <c r="R33" s="139">
        <f t="shared" si="38"/>
        <v>127.26</v>
      </c>
      <c r="S33" s="139">
        <f t="shared" si="39"/>
        <v>139.99</v>
      </c>
    </row>
    <row r="34" spans="1:20" x14ac:dyDescent="0.25">
      <c r="A34" s="32" t="s">
        <v>372</v>
      </c>
      <c r="B34" s="226">
        <v>0.01</v>
      </c>
      <c r="C34" s="32">
        <v>0</v>
      </c>
      <c r="D34" s="32">
        <v>0</v>
      </c>
      <c r="E34" s="32">
        <v>0</v>
      </c>
      <c r="F34" s="32">
        <v>0</v>
      </c>
      <c r="G34" s="139">
        <f>+G23*$B$34</f>
        <v>8.9194000000000013</v>
      </c>
      <c r="H34" s="139">
        <f t="shared" ref="H34:S34" si="41">+H23*$B$34</f>
        <v>11.0725</v>
      </c>
      <c r="I34" s="139">
        <f t="shared" si="41"/>
        <v>12.6225</v>
      </c>
      <c r="J34" s="139">
        <f t="shared" si="41"/>
        <v>13.7502</v>
      </c>
      <c r="K34" s="139">
        <f t="shared" si="41"/>
        <v>14.959300000000001</v>
      </c>
      <c r="L34" s="139">
        <f t="shared" si="41"/>
        <v>16.254799999999999</v>
      </c>
      <c r="M34" s="139">
        <f t="shared" si="41"/>
        <v>17.642500000000002</v>
      </c>
      <c r="N34" s="139">
        <f t="shared" si="41"/>
        <v>18.5246</v>
      </c>
      <c r="O34" s="139">
        <f t="shared" si="41"/>
        <v>19.450900000000001</v>
      </c>
      <c r="P34" s="139">
        <f t="shared" si="41"/>
        <v>20.423400000000001</v>
      </c>
      <c r="Q34" s="139">
        <f t="shared" si="41"/>
        <v>21.444499999999998</v>
      </c>
      <c r="R34" s="139">
        <f t="shared" si="41"/>
        <v>22.5168</v>
      </c>
      <c r="S34" s="139">
        <f t="shared" si="41"/>
        <v>23.642600000000002</v>
      </c>
    </row>
    <row r="35" spans="1:20" x14ac:dyDescent="0.25">
      <c r="A35" s="32" t="s">
        <v>29</v>
      </c>
      <c r="B35" s="32"/>
      <c r="C35" s="32">
        <v>0</v>
      </c>
      <c r="D35" s="32">
        <v>0</v>
      </c>
      <c r="E35" s="32">
        <v>0</v>
      </c>
      <c r="F35" s="32">
        <v>0</v>
      </c>
      <c r="G35" s="139">
        <f>+Depreciation!G38</f>
        <v>313.44350000000003</v>
      </c>
      <c r="H35" s="139">
        <f>+Depreciation!H38</f>
        <v>277.56232499999999</v>
      </c>
      <c r="I35" s="139">
        <f>+Depreciation!I38</f>
        <v>246.53569125000001</v>
      </c>
      <c r="J35" s="139">
        <f>+Depreciation!J38</f>
        <v>219.4538210625</v>
      </c>
      <c r="K35" s="139">
        <f>+Depreciation!K38</f>
        <v>195.655307053125</v>
      </c>
      <c r="L35" s="139">
        <f>+Depreciation!L38</f>
        <v>174.64116863015627</v>
      </c>
      <c r="M35" s="139">
        <f>+Depreciation!M38</f>
        <v>156.02166784713279</v>
      </c>
      <c r="N35" s="139">
        <f>+Depreciation!N38</f>
        <v>139.4829843144129</v>
      </c>
      <c r="O35" s="139">
        <f>+Depreciation!O38</f>
        <v>124.76598239756595</v>
      </c>
      <c r="P35" s="139">
        <f>+Depreciation!P38</f>
        <v>111.65238764545455</v>
      </c>
      <c r="Q35" s="139">
        <f>+Depreciation!Q38</f>
        <v>99.955542715551516</v>
      </c>
      <c r="R35" s="139">
        <f>+Depreciation!R38</f>
        <v>89.51402772552882</v>
      </c>
      <c r="S35" s="139">
        <f>+Depreciation!S38</f>
        <v>80.187101055530363</v>
      </c>
    </row>
    <row r="36" spans="1:20" x14ac:dyDescent="0.25">
      <c r="A36" s="32" t="s">
        <v>374</v>
      </c>
      <c r="B36" s="32"/>
      <c r="C36" s="32">
        <v>0</v>
      </c>
      <c r="D36" s="32">
        <v>0</v>
      </c>
      <c r="E36" s="32">
        <v>0</v>
      </c>
      <c r="F36" s="32">
        <v>0</v>
      </c>
      <c r="G36" s="139">
        <f>+Estimation!G37</f>
        <v>12</v>
      </c>
      <c r="H36" s="139">
        <f>+G36*1.1</f>
        <v>13.200000000000001</v>
      </c>
      <c r="I36" s="139">
        <f t="shared" ref="I36:N36" si="42">+H36*1.1</f>
        <v>14.520000000000003</v>
      </c>
      <c r="J36" s="139">
        <f t="shared" si="42"/>
        <v>15.972000000000005</v>
      </c>
      <c r="K36" s="139">
        <f t="shared" si="42"/>
        <v>17.569200000000006</v>
      </c>
      <c r="L36" s="139">
        <f t="shared" si="42"/>
        <v>19.326120000000007</v>
      </c>
      <c r="M36" s="139">
        <f t="shared" si="42"/>
        <v>21.258732000000009</v>
      </c>
      <c r="N36" s="139">
        <f t="shared" si="42"/>
        <v>23.384605200000014</v>
      </c>
      <c r="O36" s="139">
        <f t="shared" ref="O36:S36" si="43">+N36*1.1</f>
        <v>25.723065720000015</v>
      </c>
      <c r="P36" s="139">
        <f t="shared" si="43"/>
        <v>28.295372292000017</v>
      </c>
      <c r="Q36" s="139">
        <f t="shared" si="43"/>
        <v>31.124909521200021</v>
      </c>
      <c r="R36" s="139">
        <f t="shared" si="43"/>
        <v>34.237400473320022</v>
      </c>
      <c r="S36" s="139">
        <f t="shared" si="43"/>
        <v>37.661140520652026</v>
      </c>
    </row>
    <row r="37" spans="1:20" x14ac:dyDescent="0.25">
      <c r="A37" s="32" t="s">
        <v>375</v>
      </c>
      <c r="B37" s="32"/>
      <c r="C37" s="32">
        <v>0</v>
      </c>
      <c r="D37" s="32">
        <v>0</v>
      </c>
      <c r="E37" s="32">
        <v>0</v>
      </c>
      <c r="F37" s="32">
        <v>0</v>
      </c>
      <c r="G37" s="139">
        <v>10</v>
      </c>
      <c r="H37" s="139">
        <f>+G37*1.1</f>
        <v>11</v>
      </c>
      <c r="I37" s="139">
        <f t="shared" ref="I37:N37" si="44">+H37*1.1</f>
        <v>12.100000000000001</v>
      </c>
      <c r="J37" s="139">
        <f t="shared" si="44"/>
        <v>13.310000000000002</v>
      </c>
      <c r="K37" s="139">
        <f t="shared" si="44"/>
        <v>14.641000000000004</v>
      </c>
      <c r="L37" s="139">
        <f t="shared" si="44"/>
        <v>16.105100000000004</v>
      </c>
      <c r="M37" s="139">
        <f t="shared" si="44"/>
        <v>17.715610000000005</v>
      </c>
      <c r="N37" s="139">
        <f t="shared" si="44"/>
        <v>19.487171000000007</v>
      </c>
      <c r="O37" s="139">
        <f t="shared" ref="O37:S37" si="45">+N37*1.1</f>
        <v>21.43588810000001</v>
      </c>
      <c r="P37" s="139">
        <f t="shared" si="45"/>
        <v>23.579476910000015</v>
      </c>
      <c r="Q37" s="139">
        <f t="shared" si="45"/>
        <v>25.937424601000018</v>
      </c>
      <c r="R37" s="139">
        <f t="shared" si="45"/>
        <v>28.531167061100021</v>
      </c>
      <c r="S37" s="139">
        <f t="shared" si="45"/>
        <v>31.384283767210025</v>
      </c>
    </row>
    <row r="38" spans="1:20" x14ac:dyDescent="0.25">
      <c r="A38" s="32"/>
      <c r="B38" s="32"/>
      <c r="C38" s="32">
        <v>0</v>
      </c>
      <c r="D38" s="32">
        <v>0</v>
      </c>
      <c r="E38" s="32">
        <v>0</v>
      </c>
      <c r="F38" s="32">
        <v>0</v>
      </c>
      <c r="G38" s="283"/>
      <c r="H38" s="283"/>
      <c r="I38" s="283"/>
      <c r="J38" s="283"/>
      <c r="K38" s="283"/>
      <c r="L38" s="139"/>
      <c r="M38" s="139"/>
      <c r="N38" s="139"/>
      <c r="O38" s="139"/>
      <c r="P38" s="139"/>
      <c r="Q38" s="139"/>
      <c r="R38" s="139"/>
      <c r="S38" s="139"/>
    </row>
    <row r="39" spans="1:20" x14ac:dyDescent="0.25">
      <c r="A39" s="32" t="s">
        <v>46</v>
      </c>
      <c r="B39" s="32"/>
      <c r="C39" s="32">
        <v>0</v>
      </c>
      <c r="D39" s="32">
        <v>0</v>
      </c>
      <c r="E39" s="32">
        <v>0</v>
      </c>
      <c r="F39" s="32">
        <v>0</v>
      </c>
      <c r="G39" s="139">
        <f>+'Debt Schedule '!E236</f>
        <v>199.37500000000003</v>
      </c>
      <c r="H39" s="139">
        <f>+'Debt Schedule '!F236</f>
        <v>194.25000000000003</v>
      </c>
      <c r="I39" s="139">
        <f>+'Debt Schedule '!G236</f>
        <v>188.25</v>
      </c>
      <c r="J39" s="139">
        <f>+'Debt Schedule '!H236</f>
        <v>182.25</v>
      </c>
      <c r="K39" s="139">
        <f>+'Debt Schedule '!I236</f>
        <v>173</v>
      </c>
      <c r="L39" s="139">
        <f>+'Debt Schedule '!J236</f>
        <v>161</v>
      </c>
      <c r="M39" s="139">
        <f>+'Debt Schedule '!K236</f>
        <v>149</v>
      </c>
      <c r="N39" s="139">
        <f>+'Debt Schedule '!L236</f>
        <v>137</v>
      </c>
      <c r="O39" s="139">
        <f>+'Debt Schedule '!M236</f>
        <v>120.66671000000001</v>
      </c>
      <c r="P39" s="139">
        <f>+'Debt Schedule '!N236</f>
        <v>97.958413333333326</v>
      </c>
      <c r="Q39" s="139">
        <f>+'Debt Schedule '!O236</f>
        <v>70.250079999999969</v>
      </c>
      <c r="R39" s="139">
        <f>+'Debt Schedule '!P236</f>
        <v>35.91457999999998</v>
      </c>
      <c r="S39" s="139">
        <f>+'Debt Schedule '!Q236</f>
        <v>4.6223799999999793</v>
      </c>
    </row>
    <row r="40" spans="1:20" x14ac:dyDescent="0.25">
      <c r="A40" s="144" t="s">
        <v>42</v>
      </c>
      <c r="B40" s="144"/>
      <c r="C40" s="144"/>
      <c r="D40" s="144"/>
      <c r="E40" s="144"/>
      <c r="F40" s="144"/>
      <c r="G40" s="162">
        <f>ROUND(SUM(G25:G39),2)</f>
        <v>1100.53</v>
      </c>
      <c r="H40" s="162">
        <f t="shared" ref="H40:N40" si="46">ROUND(SUM(H25:H39),2)</f>
        <v>1173.96</v>
      </c>
      <c r="I40" s="162">
        <f t="shared" si="46"/>
        <v>1226.52</v>
      </c>
      <c r="J40" s="162">
        <f t="shared" si="46"/>
        <v>1266.6600000000001</v>
      </c>
      <c r="K40" s="162">
        <f t="shared" si="46"/>
        <v>1312.76</v>
      </c>
      <c r="L40" s="162">
        <f t="shared" si="46"/>
        <v>1365.27</v>
      </c>
      <c r="M40" s="162">
        <f t="shared" si="46"/>
        <v>1427.07</v>
      </c>
      <c r="N40" s="162">
        <f t="shared" si="46"/>
        <v>1471.61</v>
      </c>
      <c r="O40" s="162">
        <f t="shared" ref="O40:S40" si="47">ROUND(SUM(O25:O39),2)</f>
        <v>1518.99</v>
      </c>
      <c r="P40" s="162">
        <f t="shared" si="47"/>
        <v>1567.41</v>
      </c>
      <c r="Q40" s="162">
        <f t="shared" si="47"/>
        <v>1618.5</v>
      </c>
      <c r="R40" s="162">
        <f t="shared" si="47"/>
        <v>1670.99</v>
      </c>
      <c r="S40" s="162">
        <f t="shared" si="47"/>
        <v>1735.03</v>
      </c>
      <c r="T40" s="63"/>
    </row>
    <row r="41" spans="1:20" x14ac:dyDescent="0.25">
      <c r="A41" s="39" t="s">
        <v>93</v>
      </c>
      <c r="B41" s="38"/>
      <c r="C41" s="39"/>
      <c r="D41" s="39"/>
      <c r="E41" s="39"/>
      <c r="F41" s="39"/>
      <c r="G41" s="39">
        <f t="shared" ref="G41:N41" si="48">G23-G40</f>
        <v>-208.58999999999992</v>
      </c>
      <c r="H41" s="39">
        <f t="shared" si="48"/>
        <v>-66.710000000000036</v>
      </c>
      <c r="I41" s="39">
        <f t="shared" si="48"/>
        <v>35.730000000000018</v>
      </c>
      <c r="J41" s="39">
        <f t="shared" si="48"/>
        <v>108.3599999999999</v>
      </c>
      <c r="K41" s="39">
        <f t="shared" si="48"/>
        <v>183.17000000000007</v>
      </c>
      <c r="L41" s="39">
        <f t="shared" si="48"/>
        <v>260.21000000000004</v>
      </c>
      <c r="M41" s="39">
        <f t="shared" si="48"/>
        <v>337.18000000000006</v>
      </c>
      <c r="N41" s="39">
        <f t="shared" si="48"/>
        <v>380.85000000000014</v>
      </c>
      <c r="O41" s="39">
        <f t="shared" ref="O41:S41" si="49">O23-O40</f>
        <v>426.09999999999991</v>
      </c>
      <c r="P41" s="39">
        <f t="shared" si="49"/>
        <v>474.92999999999984</v>
      </c>
      <c r="Q41" s="39">
        <f t="shared" si="49"/>
        <v>525.94999999999982</v>
      </c>
      <c r="R41" s="39">
        <f t="shared" si="49"/>
        <v>580.68999999999983</v>
      </c>
      <c r="S41" s="39">
        <f t="shared" si="49"/>
        <v>629.23000000000025</v>
      </c>
      <c r="T41" s="29"/>
    </row>
    <row r="42" spans="1:20" x14ac:dyDescent="0.25">
      <c r="A42" s="32" t="s">
        <v>47</v>
      </c>
      <c r="B42" s="227"/>
      <c r="C42" s="207">
        <f>(30%)</f>
        <v>0.3</v>
      </c>
      <c r="D42" s="207"/>
      <c r="E42" s="207"/>
      <c r="F42" s="207"/>
      <c r="G42" s="155">
        <v>0</v>
      </c>
      <c r="H42" s="155">
        <v>0</v>
      </c>
      <c r="I42" s="155"/>
      <c r="J42" s="155">
        <v>0</v>
      </c>
      <c r="K42" s="155">
        <f>+(K41+J41+I41+H41+G41)*$C$42</f>
        <v>15.58800000000001</v>
      </c>
      <c r="L42" s="155">
        <f>+L41*$C$42</f>
        <v>78.063000000000002</v>
      </c>
      <c r="M42" s="155">
        <f t="shared" ref="M42:N42" si="50">+M41*$C$42</f>
        <v>101.15400000000001</v>
      </c>
      <c r="N42" s="155">
        <f t="shared" si="50"/>
        <v>114.25500000000004</v>
      </c>
      <c r="O42" s="155">
        <f t="shared" ref="O42" si="51">+O41*$C$42</f>
        <v>127.82999999999997</v>
      </c>
      <c r="P42" s="155">
        <f t="shared" ref="P42" si="52">+P41*$C$42</f>
        <v>142.47899999999996</v>
      </c>
      <c r="Q42" s="155">
        <f t="shared" ref="Q42" si="53">+Q41*$C$42</f>
        <v>157.78499999999994</v>
      </c>
      <c r="R42" s="155">
        <f t="shared" ref="R42" si="54">+R41*$C$42</f>
        <v>174.20699999999994</v>
      </c>
      <c r="S42" s="155">
        <f t="shared" ref="S42" si="55">+S41*$C$42</f>
        <v>188.76900000000006</v>
      </c>
    </row>
    <row r="43" spans="1:20" x14ac:dyDescent="0.25">
      <c r="A43" s="144" t="s">
        <v>16</v>
      </c>
      <c r="B43" s="144"/>
      <c r="C43" s="159"/>
      <c r="D43" s="159"/>
      <c r="E43" s="159"/>
      <c r="F43" s="159"/>
      <c r="G43" s="164">
        <f>G41-G42</f>
        <v>-208.58999999999992</v>
      </c>
      <c r="H43" s="164">
        <f>H41-H42</f>
        <v>-66.710000000000036</v>
      </c>
      <c r="I43" s="164">
        <f t="shared" ref="I43:S43" si="56">I41-I42</f>
        <v>35.730000000000018</v>
      </c>
      <c r="J43" s="164">
        <f t="shared" si="56"/>
        <v>108.3599999999999</v>
      </c>
      <c r="K43" s="164">
        <f t="shared" si="56"/>
        <v>167.58200000000005</v>
      </c>
      <c r="L43" s="164">
        <f t="shared" si="56"/>
        <v>182.14700000000005</v>
      </c>
      <c r="M43" s="164">
        <f t="shared" si="56"/>
        <v>236.02600000000007</v>
      </c>
      <c r="N43" s="164">
        <f t="shared" si="56"/>
        <v>266.59500000000008</v>
      </c>
      <c r="O43" s="164">
        <f t="shared" si="56"/>
        <v>298.26999999999992</v>
      </c>
      <c r="P43" s="164">
        <f t="shared" si="56"/>
        <v>332.45099999999991</v>
      </c>
      <c r="Q43" s="164">
        <f t="shared" si="56"/>
        <v>368.16499999999985</v>
      </c>
      <c r="R43" s="164">
        <f t="shared" si="56"/>
        <v>406.48299999999989</v>
      </c>
      <c r="S43" s="164">
        <f t="shared" si="56"/>
        <v>440.46100000000018</v>
      </c>
      <c r="T43" s="63"/>
    </row>
    <row r="44" spans="1:20" x14ac:dyDescent="0.25">
      <c r="A44" s="13" t="s">
        <v>144</v>
      </c>
      <c r="B44" s="13"/>
      <c r="C44" s="41"/>
      <c r="D44" s="41"/>
      <c r="E44" s="41"/>
      <c r="F44" s="41"/>
      <c r="G44" s="39">
        <f>(G41+G39+G35)/G39</f>
        <v>1.5259109717868344</v>
      </c>
      <c r="H44" s="39">
        <f>(H41+H39+H35)/H39</f>
        <v>2.085468854568854</v>
      </c>
      <c r="I44" s="39">
        <f t="shared" ref="I44:O44" si="57">(I41+I39+I35)/I39</f>
        <v>2.4994193426294822</v>
      </c>
      <c r="J44" s="39">
        <f t="shared" si="57"/>
        <v>2.7987040936213985</v>
      </c>
      <c r="K44" s="39">
        <f t="shared" si="57"/>
        <v>3.1897416592666188</v>
      </c>
      <c r="L44" s="39">
        <f t="shared" si="57"/>
        <v>3.7009389355910329</v>
      </c>
      <c r="M44" s="39">
        <f t="shared" si="57"/>
        <v>4.3100783076988778</v>
      </c>
      <c r="N44" s="39">
        <f t="shared" si="57"/>
        <v>4.7980509803971749</v>
      </c>
      <c r="O44" s="39">
        <f t="shared" si="57"/>
        <v>5.5651860599958827</v>
      </c>
      <c r="P44" s="39">
        <f>(P41+P39+P35)/P39</f>
        <v>6.988075630108761</v>
      </c>
      <c r="Q44" s="39">
        <f>(Q41+Q39+Q35)/Q39</f>
        <v>9.9096772945390477</v>
      </c>
      <c r="R44" s="39">
        <f>(R41+R39+R35)/R39</f>
        <v>19.661057089503178</v>
      </c>
      <c r="S44" s="39">
        <f>(S41+S39+S35)/S39</f>
        <v>154.47442249566973</v>
      </c>
    </row>
    <row r="45" spans="1:20" x14ac:dyDescent="0.25">
      <c r="A45" s="13" t="s">
        <v>129</v>
      </c>
      <c r="B45" s="13"/>
      <c r="C45" s="13"/>
      <c r="D45" s="13"/>
      <c r="E45" s="13"/>
      <c r="F45" s="13"/>
      <c r="G45" s="436" t="e">
        <f>+(T35+T39+T41)/T39</f>
        <v>#DIV/0!</v>
      </c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436"/>
    </row>
    <row r="46" spans="1:20" hidden="1" x14ac:dyDescent="0.25">
      <c r="A46" s="13"/>
      <c r="B46" s="13"/>
      <c r="C46" s="13"/>
      <c r="D46" s="13"/>
      <c r="E46" s="13"/>
      <c r="F46" s="13"/>
      <c r="G46" s="63"/>
      <c r="H46" s="22"/>
      <c r="I46" s="63"/>
      <c r="J46" s="63"/>
      <c r="K46" s="63"/>
    </row>
    <row r="47" spans="1:20" hidden="1" x14ac:dyDescent="0.25">
      <c r="A47" s="13"/>
      <c r="B47" s="13"/>
      <c r="C47" s="13"/>
      <c r="D47" s="13"/>
      <c r="E47" s="13"/>
      <c r="F47" s="13"/>
      <c r="G47" s="63" t="s">
        <v>0</v>
      </c>
      <c r="H47" s="22"/>
      <c r="I47" s="63"/>
      <c r="J47" s="63"/>
      <c r="K47" s="63"/>
    </row>
    <row r="48" spans="1:20" hidden="1" x14ac:dyDescent="0.25">
      <c r="A48" s="13"/>
      <c r="B48" s="13"/>
      <c r="C48" s="13"/>
      <c r="D48" s="13"/>
      <c r="E48" s="13"/>
      <c r="F48" s="13"/>
      <c r="G48" s="63"/>
      <c r="H48" s="22"/>
      <c r="I48" s="63"/>
      <c r="J48" s="63"/>
      <c r="K48" s="63"/>
    </row>
    <row r="49" spans="1:14" hidden="1" x14ac:dyDescent="0.25">
      <c r="A49" s="13"/>
      <c r="B49" s="13"/>
      <c r="C49" s="13"/>
      <c r="D49" s="13"/>
      <c r="E49" s="13"/>
      <c r="F49" s="13"/>
      <c r="G49" s="63"/>
      <c r="H49" s="63"/>
      <c r="I49" s="63"/>
      <c r="J49" s="63"/>
      <c r="K49" s="63"/>
    </row>
    <row r="50" spans="1:14" hidden="1" x14ac:dyDescent="0.25">
      <c r="A50" s="13"/>
      <c r="B50" s="13"/>
      <c r="C50" s="13"/>
      <c r="D50" s="13"/>
      <c r="E50" s="13"/>
      <c r="F50" s="13"/>
      <c r="G50" s="63"/>
      <c r="H50" s="63"/>
      <c r="I50" s="63"/>
      <c r="J50" s="63"/>
      <c r="K50" s="63"/>
    </row>
    <row r="51" spans="1:14" x14ac:dyDescent="0.25">
      <c r="G51" s="50"/>
      <c r="H51" s="50"/>
      <c r="I51" s="50"/>
      <c r="J51" s="50"/>
      <c r="K51" s="50"/>
      <c r="L51" s="50"/>
      <c r="M51" s="50"/>
      <c r="N51" s="50"/>
    </row>
    <row r="52" spans="1:14" x14ac:dyDescent="0.25">
      <c r="A52" s="10" t="s">
        <v>442</v>
      </c>
      <c r="G52" s="50"/>
      <c r="H52" s="50"/>
      <c r="I52" s="50"/>
      <c r="J52" s="50"/>
      <c r="K52" s="50"/>
    </row>
    <row r="53" spans="1:14" x14ac:dyDescent="0.25">
      <c r="A53" s="10" t="s">
        <v>441</v>
      </c>
    </row>
    <row r="54" spans="1:14" x14ac:dyDescent="0.25">
      <c r="A54" s="10" t="s">
        <v>445</v>
      </c>
    </row>
    <row r="55" spans="1:14" x14ac:dyDescent="0.25">
      <c r="A55" s="10" t="s">
        <v>446</v>
      </c>
    </row>
  </sheetData>
  <mergeCells count="5">
    <mergeCell ref="A3:L3"/>
    <mergeCell ref="C5:F5"/>
    <mergeCell ref="G45:S45"/>
    <mergeCell ref="A1:Q1"/>
    <mergeCell ref="A2:Q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 alignWithMargins="0"/>
  <rowBreaks count="2" manualBreakCount="2">
    <brk id="41" max="19" man="1"/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zoomScaleNormal="100" zoomScaleSheetLayoutView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2" sqref="G12"/>
    </sheetView>
  </sheetViews>
  <sheetFormatPr defaultColWidth="8.85546875" defaultRowHeight="13.5" customHeight="1" x14ac:dyDescent="0.25"/>
  <cols>
    <col min="1" max="1" width="40.5703125" style="10" customWidth="1"/>
    <col min="2" max="3" width="8.42578125" style="10" customWidth="1"/>
    <col min="4" max="4" width="9.85546875" style="10" customWidth="1"/>
    <col min="5" max="5" width="9.7109375" style="10" customWidth="1"/>
    <col min="6" max="6" width="9.28515625" style="10" customWidth="1"/>
    <col min="7" max="7" width="10.140625" style="10" customWidth="1"/>
    <col min="8" max="8" width="10" style="10" customWidth="1"/>
    <col min="9" max="9" width="9.42578125" style="10" customWidth="1"/>
    <col min="10" max="10" width="10" style="10" customWidth="1"/>
    <col min="11" max="11" width="10.28515625" style="10" customWidth="1"/>
    <col min="12" max="12" width="11.5703125" style="10" bestFit="1" customWidth="1"/>
    <col min="13" max="13" width="9.5703125" style="10" bestFit="1" customWidth="1"/>
    <col min="14" max="19" width="12.28515625" style="10" bestFit="1" customWidth="1"/>
    <col min="20" max="20" width="11.28515625" style="10" bestFit="1" customWidth="1"/>
    <col min="21" max="16384" width="8.85546875" style="10"/>
  </cols>
  <sheetData>
    <row r="1" spans="1:18" ht="13.5" customHeight="1" x14ac:dyDescent="0.25">
      <c r="A1" s="437" t="str">
        <f>Cost!A1</f>
        <v>Vaayu Suites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</row>
    <row r="2" spans="1:18" ht="13.5" customHeight="1" x14ac:dyDescent="0.25">
      <c r="A2" s="437" t="str">
        <f>+Profitability!A2</f>
        <v>LAND IS SITUATED AT KHASARA NO. 579/546, REVENUE VILLAGE-SENA, TEHSIL-BALI, DISTRICT-PALI, RAJASTHAN, HAVING TOTAL AREA OF 32800 SQUARE METERS.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</row>
    <row r="3" spans="1:18" ht="13.5" customHeight="1" x14ac:dyDescent="0.25">
      <c r="A3" s="438" t="s">
        <v>90</v>
      </c>
      <c r="B3" s="438"/>
      <c r="C3" s="438"/>
      <c r="D3" s="438"/>
      <c r="E3" s="438"/>
      <c r="F3" s="438"/>
      <c r="G3" s="438"/>
      <c r="H3" s="438"/>
      <c r="I3" s="438"/>
      <c r="J3" s="439" t="s">
        <v>89</v>
      </c>
      <c r="K3" s="439"/>
    </row>
    <row r="4" spans="1:18" ht="34.5" customHeight="1" x14ac:dyDescent="0.25">
      <c r="A4" s="158" t="s">
        <v>69</v>
      </c>
      <c r="B4" s="193" t="s">
        <v>342</v>
      </c>
      <c r="C4" s="193" t="s">
        <v>250</v>
      </c>
      <c r="D4" s="193" t="s">
        <v>251</v>
      </c>
      <c r="E4" s="193" t="s">
        <v>132</v>
      </c>
      <c r="F4" s="23" t="s">
        <v>133</v>
      </c>
      <c r="G4" s="23" t="s">
        <v>134</v>
      </c>
      <c r="H4" s="23" t="s">
        <v>135</v>
      </c>
      <c r="I4" s="23" t="s">
        <v>136</v>
      </c>
      <c r="J4" s="23" t="s">
        <v>137</v>
      </c>
      <c r="K4" s="23" t="s">
        <v>138</v>
      </c>
      <c r="L4" s="23" t="s">
        <v>139</v>
      </c>
      <c r="M4" s="23" t="s">
        <v>376</v>
      </c>
      <c r="N4" s="23" t="s">
        <v>377</v>
      </c>
      <c r="O4" s="23" t="s">
        <v>378</v>
      </c>
      <c r="P4" s="23" t="s">
        <v>379</v>
      </c>
      <c r="Q4" s="23" t="s">
        <v>380</v>
      </c>
      <c r="R4" s="23" t="s">
        <v>426</v>
      </c>
    </row>
    <row r="5" spans="1:18" ht="29.25" customHeight="1" x14ac:dyDescent="0.25">
      <c r="A5" s="51"/>
      <c r="B5" s="440" t="s">
        <v>104</v>
      </c>
      <c r="C5" s="441"/>
      <c r="D5" s="441"/>
      <c r="E5" s="442"/>
      <c r="F5" s="25" t="s">
        <v>45</v>
      </c>
      <c r="G5" s="25" t="s">
        <v>45</v>
      </c>
      <c r="H5" s="25" t="s">
        <v>45</v>
      </c>
      <c r="I5" s="25" t="s">
        <v>45</v>
      </c>
      <c r="J5" s="26" t="s">
        <v>45</v>
      </c>
      <c r="K5" s="25" t="s">
        <v>45</v>
      </c>
      <c r="L5" s="25" t="s">
        <v>45</v>
      </c>
      <c r="M5" s="25" t="s">
        <v>45</v>
      </c>
      <c r="N5" s="25" t="s">
        <v>45</v>
      </c>
      <c r="O5" s="25" t="s">
        <v>45</v>
      </c>
      <c r="P5" s="25" t="s">
        <v>45</v>
      </c>
      <c r="Q5" s="25" t="s">
        <v>45</v>
      </c>
      <c r="R5" s="25" t="s">
        <v>45</v>
      </c>
    </row>
    <row r="6" spans="1:18" ht="13.5" customHeight="1" x14ac:dyDescent="0.25">
      <c r="A6" s="225" t="s">
        <v>228</v>
      </c>
      <c r="B6" s="225"/>
      <c r="C6" s="225"/>
      <c r="D6" s="150"/>
      <c r="E6" s="150"/>
      <c r="F6" s="150"/>
      <c r="G6" s="150"/>
      <c r="H6" s="150"/>
      <c r="I6" s="150"/>
      <c r="J6" s="150"/>
      <c r="K6" s="150"/>
      <c r="L6" s="43"/>
      <c r="M6" s="43"/>
    </row>
    <row r="7" spans="1:18" ht="13.5" customHeight="1" x14ac:dyDescent="0.25">
      <c r="A7" s="32" t="s">
        <v>286</v>
      </c>
      <c r="B7" s="32">
        <v>0</v>
      </c>
      <c r="C7" s="33">
        <f>+B10</f>
        <v>5</v>
      </c>
      <c r="D7" s="33">
        <f t="shared" ref="D7:R7" si="0">+C10</f>
        <v>317.54000000000002</v>
      </c>
      <c r="E7" s="33">
        <f t="shared" si="0"/>
        <v>609.45000000000005</v>
      </c>
      <c r="F7" s="33">
        <f t="shared" si="0"/>
        <v>934.92</v>
      </c>
      <c r="G7" s="33">
        <f t="shared" si="0"/>
        <v>726.33</v>
      </c>
      <c r="H7" s="33">
        <f t="shared" si="0"/>
        <v>659.62</v>
      </c>
      <c r="I7" s="33">
        <f t="shared" si="0"/>
        <v>695.35</v>
      </c>
      <c r="J7" s="33">
        <f t="shared" si="0"/>
        <v>803.71</v>
      </c>
      <c r="K7" s="33">
        <f t="shared" si="0"/>
        <v>971.29</v>
      </c>
      <c r="L7" s="33">
        <f t="shared" si="0"/>
        <v>1153.44</v>
      </c>
      <c r="M7" s="33">
        <f t="shared" si="0"/>
        <v>1389.47</v>
      </c>
      <c r="N7" s="33">
        <f t="shared" si="0"/>
        <v>1656.07</v>
      </c>
      <c r="O7" s="33">
        <f t="shared" si="0"/>
        <v>1954.34</v>
      </c>
      <c r="P7" s="33">
        <f t="shared" si="0"/>
        <v>2286.79</v>
      </c>
      <c r="Q7" s="33">
        <f t="shared" si="0"/>
        <v>2654.96</v>
      </c>
      <c r="R7" s="33">
        <f t="shared" si="0"/>
        <v>3061.44</v>
      </c>
    </row>
    <row r="8" spans="1:18" ht="13.5" customHeight="1" x14ac:dyDescent="0.25">
      <c r="A8" s="32" t="s">
        <v>70</v>
      </c>
      <c r="B8" s="33">
        <f>+Cost!C32</f>
        <v>5</v>
      </c>
      <c r="C8" s="33">
        <f>+Cost!C33</f>
        <v>312.54000000000002</v>
      </c>
      <c r="D8" s="150">
        <f>+Cost!C34</f>
        <v>291.91000000000003</v>
      </c>
      <c r="E8" s="150">
        <f>+Cost!C35</f>
        <v>325.47000000000003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50">
        <v>0</v>
      </c>
      <c r="R8" s="150">
        <v>0</v>
      </c>
    </row>
    <row r="9" spans="1:18" ht="13.5" customHeight="1" x14ac:dyDescent="0.25">
      <c r="A9" s="32" t="s">
        <v>95</v>
      </c>
      <c r="B9" s="33">
        <f>+Profitability!C43</f>
        <v>0</v>
      </c>
      <c r="C9" s="33">
        <f>+Profitability!D43</f>
        <v>0</v>
      </c>
      <c r="D9" s="33">
        <f>+Profitability!E43</f>
        <v>0</v>
      </c>
      <c r="E9" s="33">
        <f>+Profitability!F43</f>
        <v>0</v>
      </c>
      <c r="F9" s="33">
        <f>+Profitability!G43</f>
        <v>-208.58999999999992</v>
      </c>
      <c r="G9" s="33">
        <f>+Profitability!H43</f>
        <v>-66.710000000000036</v>
      </c>
      <c r="H9" s="33">
        <f>+Profitability!I43</f>
        <v>35.730000000000018</v>
      </c>
      <c r="I9" s="33">
        <f>+Profitability!J43</f>
        <v>108.3599999999999</v>
      </c>
      <c r="J9" s="33">
        <f>+Profitability!K43</f>
        <v>167.58200000000005</v>
      </c>
      <c r="K9" s="33">
        <f>+Profitability!L43</f>
        <v>182.14700000000005</v>
      </c>
      <c r="L9" s="33">
        <f>+Profitability!M43</f>
        <v>236.02600000000007</v>
      </c>
      <c r="M9" s="33">
        <f>+Profitability!N43</f>
        <v>266.59500000000008</v>
      </c>
      <c r="N9" s="33">
        <f>+Profitability!O43</f>
        <v>298.26999999999992</v>
      </c>
      <c r="O9" s="33">
        <f>+Profitability!P43</f>
        <v>332.45099999999991</v>
      </c>
      <c r="P9" s="33">
        <f>+Profitability!Q43</f>
        <v>368.16499999999985</v>
      </c>
      <c r="Q9" s="33">
        <f>+Profitability!R43</f>
        <v>406.48299999999989</v>
      </c>
      <c r="R9" s="33">
        <f>+Profitability!S43</f>
        <v>440.46100000000018</v>
      </c>
    </row>
    <row r="10" spans="1:18" ht="13.5" customHeight="1" x14ac:dyDescent="0.25">
      <c r="A10" s="32" t="s">
        <v>11</v>
      </c>
      <c r="B10" s="33">
        <f>SUM(B7:B9)</f>
        <v>5</v>
      </c>
      <c r="C10" s="33">
        <f>SUM(C7:C9)</f>
        <v>317.54000000000002</v>
      </c>
      <c r="D10" s="33">
        <f>SUM(D7:D9)</f>
        <v>609.45000000000005</v>
      </c>
      <c r="E10" s="33">
        <f t="shared" ref="E10:R10" si="1">ROUND(SUM(E7:E9),2)</f>
        <v>934.92</v>
      </c>
      <c r="F10" s="33">
        <f t="shared" si="1"/>
        <v>726.33</v>
      </c>
      <c r="G10" s="33">
        <f t="shared" si="1"/>
        <v>659.62</v>
      </c>
      <c r="H10" s="33">
        <f t="shared" si="1"/>
        <v>695.35</v>
      </c>
      <c r="I10" s="33">
        <f t="shared" si="1"/>
        <v>803.71</v>
      </c>
      <c r="J10" s="33">
        <f t="shared" si="1"/>
        <v>971.29</v>
      </c>
      <c r="K10" s="33">
        <f t="shared" si="1"/>
        <v>1153.44</v>
      </c>
      <c r="L10" s="33">
        <f t="shared" si="1"/>
        <v>1389.47</v>
      </c>
      <c r="M10" s="33">
        <f t="shared" si="1"/>
        <v>1656.07</v>
      </c>
      <c r="N10" s="33">
        <f t="shared" si="1"/>
        <v>1954.34</v>
      </c>
      <c r="O10" s="33">
        <f t="shared" si="1"/>
        <v>2286.79</v>
      </c>
      <c r="P10" s="33">
        <f t="shared" si="1"/>
        <v>2654.96</v>
      </c>
      <c r="Q10" s="33">
        <f t="shared" si="1"/>
        <v>3061.44</v>
      </c>
      <c r="R10" s="33">
        <f t="shared" si="1"/>
        <v>3501.9</v>
      </c>
    </row>
    <row r="11" spans="1:18" ht="15" hidden="1" x14ac:dyDescent="0.25">
      <c r="A11" s="32" t="s">
        <v>128</v>
      </c>
      <c r="B11" s="32"/>
      <c r="C11" s="32"/>
      <c r="D11" s="228">
        <v>0</v>
      </c>
      <c r="E11" s="228">
        <v>0</v>
      </c>
      <c r="F11" s="228">
        <v>0</v>
      </c>
      <c r="G11" s="228">
        <v>0</v>
      </c>
      <c r="H11" s="228">
        <v>0</v>
      </c>
      <c r="I11" s="228">
        <v>0</v>
      </c>
      <c r="J11" s="228">
        <v>0</v>
      </c>
      <c r="K11" s="228">
        <v>0</v>
      </c>
      <c r="L11" s="43"/>
      <c r="M11" s="43"/>
    </row>
    <row r="12" spans="1:18" ht="13.5" customHeight="1" x14ac:dyDescent="0.25">
      <c r="A12" s="144" t="s">
        <v>113</v>
      </c>
      <c r="B12" s="159">
        <f t="shared" ref="B12:R12" si="2">B10-B11</f>
        <v>5</v>
      </c>
      <c r="C12" s="159">
        <f t="shared" si="2"/>
        <v>317.54000000000002</v>
      </c>
      <c r="D12" s="159">
        <f t="shared" si="2"/>
        <v>609.45000000000005</v>
      </c>
      <c r="E12" s="159">
        <f t="shared" si="2"/>
        <v>934.92</v>
      </c>
      <c r="F12" s="159">
        <f t="shared" si="2"/>
        <v>726.33</v>
      </c>
      <c r="G12" s="159">
        <f t="shared" si="2"/>
        <v>659.62</v>
      </c>
      <c r="H12" s="159">
        <f t="shared" si="2"/>
        <v>695.35</v>
      </c>
      <c r="I12" s="159">
        <f t="shared" si="2"/>
        <v>803.71</v>
      </c>
      <c r="J12" s="159">
        <f t="shared" si="2"/>
        <v>971.29</v>
      </c>
      <c r="K12" s="159">
        <f t="shared" si="2"/>
        <v>1153.44</v>
      </c>
      <c r="L12" s="159">
        <f t="shared" si="2"/>
        <v>1389.47</v>
      </c>
      <c r="M12" s="159">
        <f t="shared" si="2"/>
        <v>1656.07</v>
      </c>
      <c r="N12" s="159">
        <f t="shared" si="2"/>
        <v>1954.34</v>
      </c>
      <c r="O12" s="159">
        <f t="shared" si="2"/>
        <v>2286.79</v>
      </c>
      <c r="P12" s="159">
        <f t="shared" si="2"/>
        <v>2654.96</v>
      </c>
      <c r="Q12" s="159">
        <f t="shared" si="2"/>
        <v>3061.44</v>
      </c>
      <c r="R12" s="159">
        <f t="shared" si="2"/>
        <v>3501.9</v>
      </c>
    </row>
    <row r="13" spans="1:18" ht="13.5" customHeight="1" x14ac:dyDescent="0.25">
      <c r="A13" s="32" t="s">
        <v>43</v>
      </c>
      <c r="B13" s="33">
        <v>0</v>
      </c>
      <c r="C13" s="33">
        <f>+'Debt Schedule '!B239</f>
        <v>280</v>
      </c>
      <c r="D13" s="33">
        <f>+'Debt Schedule '!C239</f>
        <v>1120</v>
      </c>
      <c r="E13" s="33">
        <f>+'Debt Schedule '!D239</f>
        <v>2000</v>
      </c>
      <c r="F13" s="33">
        <f>+'Debt Schedule '!E239</f>
        <v>1975</v>
      </c>
      <c r="G13" s="33">
        <f>+'Debt Schedule '!F239</f>
        <v>1915</v>
      </c>
      <c r="H13" s="33">
        <f>+'Debt Schedule '!G239</f>
        <v>1855</v>
      </c>
      <c r="I13" s="33">
        <f>+'Debt Schedule '!H239</f>
        <v>1795</v>
      </c>
      <c r="J13" s="33">
        <f>+'Debt Schedule '!I239</f>
        <v>1675</v>
      </c>
      <c r="K13" s="33">
        <f>+'Debt Schedule '!J239</f>
        <v>1555</v>
      </c>
      <c r="L13" s="33">
        <f>+'Debt Schedule '!K239</f>
        <v>1435</v>
      </c>
      <c r="M13" s="33">
        <f>+'Debt Schedule '!L239</f>
        <v>1315</v>
      </c>
      <c r="N13" s="33">
        <f>+'Debt Schedule '!M239</f>
        <v>1115.0008</v>
      </c>
      <c r="O13" s="33">
        <f>+'Debt Schedule '!N239</f>
        <v>865.00080000000003</v>
      </c>
      <c r="P13" s="33">
        <f>+'Debt Schedule '!O239</f>
        <v>565.00080000000003</v>
      </c>
      <c r="Q13" s="33">
        <f>+'Debt Schedule '!P239</f>
        <v>185.00079999999991</v>
      </c>
      <c r="R13" s="33">
        <f>+'Debt Schedule '!Q239</f>
        <v>7.999999998844487E-4</v>
      </c>
    </row>
    <row r="14" spans="1:18" ht="13.5" customHeight="1" x14ac:dyDescent="0.25">
      <c r="A14" s="32" t="s">
        <v>146</v>
      </c>
      <c r="B14" s="33">
        <f>Cost!C27/2</f>
        <v>0</v>
      </c>
      <c r="C14" s="33">
        <f>Cost!D27/2</f>
        <v>0</v>
      </c>
      <c r="D14" s="33">
        <f>Cost!E27/2</f>
        <v>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27" customHeight="1" x14ac:dyDescent="0.25">
      <c r="A15" s="103" t="s">
        <v>88</v>
      </c>
      <c r="B15" s="229">
        <v>0</v>
      </c>
      <c r="C15" s="230">
        <f>(Profitability!C40-Profitability!C39-Profitability!C35)*30/360</f>
        <v>0</v>
      </c>
      <c r="D15" s="230">
        <v>0</v>
      </c>
      <c r="E15" s="230">
        <v>0</v>
      </c>
      <c r="F15" s="230">
        <f>+(Profitability!G40-Profitability!G39-Profitability!G35)/12</f>
        <v>48.975958333333324</v>
      </c>
      <c r="G15" s="230">
        <f>+(Profitability!H40-Profitability!H39-Profitability!H35)/12</f>
        <v>58.512306250000002</v>
      </c>
      <c r="H15" s="230">
        <f>+(Profitability!I40-Profitability!I39-Profitability!I35)/12</f>
        <v>65.977859062500002</v>
      </c>
      <c r="I15" s="230">
        <f>+(Profitability!J40-Profitability!J39-Profitability!J35)/12</f>
        <v>72.079681578125005</v>
      </c>
      <c r="J15" s="230">
        <f>+(Profitability!K40-Profitability!K39-Profitability!K35)/12</f>
        <v>78.675391078906259</v>
      </c>
      <c r="K15" s="230">
        <f>+(Profitability!L40-Profitability!L39-Profitability!L35)/12</f>
        <v>85.80240261415365</v>
      </c>
      <c r="L15" s="230">
        <f>+(Profitability!M40-Profitability!M39-Profitability!M35)/12</f>
        <v>93.50402767940561</v>
      </c>
      <c r="M15" s="230">
        <f>+(Profitability!N40-Profitability!N39-Profitability!N35)/12</f>
        <v>99.593917973798909</v>
      </c>
      <c r="N15" s="230">
        <f>+(Profitability!O40-Profitability!O39-Profitability!O35)/12</f>
        <v>106.12977563353617</v>
      </c>
      <c r="O15" s="230">
        <f>+(Profitability!P40-Profitability!P39-Profitability!P35)/12</f>
        <v>113.14993325176768</v>
      </c>
      <c r="P15" s="230">
        <f>+(Profitability!Q40-Profitability!Q39-Profitability!Q35)/12</f>
        <v>120.69119810703738</v>
      </c>
      <c r="Q15" s="230">
        <f>+(Profitability!R40-Profitability!R39-Profitability!R35)/12</f>
        <v>128.79678268953927</v>
      </c>
      <c r="R15" s="230">
        <f>+(Profitability!S40-Profitability!S39-Profitability!S35)/12</f>
        <v>137.51837657870581</v>
      </c>
    </row>
    <row r="16" spans="1:18" ht="13.5" customHeight="1" x14ac:dyDescent="0.25">
      <c r="A16" s="144" t="s">
        <v>11</v>
      </c>
      <c r="B16" s="159">
        <f t="shared" ref="B16" si="3">SUM(B12:B15)</f>
        <v>5</v>
      </c>
      <c r="C16" s="159">
        <f>SUM(C12:C15)</f>
        <v>597.54</v>
      </c>
      <c r="D16" s="159">
        <f t="shared" ref="D16:R16" si="4">SUM(D12:D15)</f>
        <v>1729.45</v>
      </c>
      <c r="E16" s="159">
        <f t="shared" si="4"/>
        <v>2934.92</v>
      </c>
      <c r="F16" s="159">
        <f t="shared" si="4"/>
        <v>2750.3059583333334</v>
      </c>
      <c r="G16" s="159">
        <f>SUM(G12:G15)</f>
        <v>2633.1323062500001</v>
      </c>
      <c r="H16" s="159">
        <f t="shared" si="4"/>
        <v>2616.3278590625</v>
      </c>
      <c r="I16" s="159">
        <f t="shared" si="4"/>
        <v>2670.7896815781251</v>
      </c>
      <c r="J16" s="159">
        <f t="shared" si="4"/>
        <v>2724.9653910789061</v>
      </c>
      <c r="K16" s="159">
        <f t="shared" si="4"/>
        <v>2794.2424026141539</v>
      </c>
      <c r="L16" s="159">
        <f t="shared" si="4"/>
        <v>2917.9740276794059</v>
      </c>
      <c r="M16" s="159">
        <f t="shared" si="4"/>
        <v>3070.6639179737986</v>
      </c>
      <c r="N16" s="159">
        <f t="shared" si="4"/>
        <v>3175.4705756335361</v>
      </c>
      <c r="O16" s="159">
        <f t="shared" si="4"/>
        <v>3264.9407332517676</v>
      </c>
      <c r="P16" s="159">
        <f t="shared" si="4"/>
        <v>3340.6519981070373</v>
      </c>
      <c r="Q16" s="159">
        <f t="shared" si="4"/>
        <v>3375.2375826895391</v>
      </c>
      <c r="R16" s="159">
        <f t="shared" si="4"/>
        <v>3639.4191765787059</v>
      </c>
    </row>
    <row r="17" spans="1:23" ht="13.5" customHeight="1" x14ac:dyDescent="0.25">
      <c r="A17" s="225" t="s">
        <v>229</v>
      </c>
      <c r="B17" s="231">
        <f>+B16-B24</f>
        <v>0</v>
      </c>
      <c r="C17" s="231">
        <f t="shared" ref="C17:R17" si="5">+C16-C24</f>
        <v>0</v>
      </c>
      <c r="D17" s="231">
        <f t="shared" si="5"/>
        <v>0</v>
      </c>
      <c r="E17" s="231">
        <f t="shared" si="5"/>
        <v>0</v>
      </c>
      <c r="F17" s="231">
        <f t="shared" si="5"/>
        <v>-4.5000000004620233E-3</v>
      </c>
      <c r="G17" s="231">
        <f t="shared" si="5"/>
        <v>-9.3979166740609799E-4</v>
      </c>
      <c r="H17" s="231">
        <f t="shared" si="5"/>
        <v>-3.4832395836019714E-3</v>
      </c>
      <c r="I17" s="231">
        <f t="shared" si="5"/>
        <v>-4.4984994792685029E-3</v>
      </c>
      <c r="J17" s="231">
        <f t="shared" si="5"/>
        <v>-3.8519997406183393E-4</v>
      </c>
      <c r="K17" s="231">
        <f t="shared" si="5"/>
        <v>-4.3948368556812056E-4</v>
      </c>
      <c r="L17" s="231">
        <f t="shared" si="5"/>
        <v>3.4839002955777687E-4</v>
      </c>
      <c r="M17" s="231">
        <f t="shared" si="5"/>
        <v>-1.5725606626801891E-3</v>
      </c>
      <c r="N17" s="231">
        <f t="shared" si="5"/>
        <v>-1.4455434711635462E-3</v>
      </c>
      <c r="O17" s="231">
        <f t="shared" si="5"/>
        <v>7.6368967256712494E-5</v>
      </c>
      <c r="P17" s="231">
        <f t="shared" si="5"/>
        <v>5.8603068810043624E-3</v>
      </c>
      <c r="Q17" s="231">
        <f t="shared" si="5"/>
        <v>8.5273326230890234E-3</v>
      </c>
      <c r="R17" s="231">
        <f t="shared" si="5"/>
        <v>3.9524826993329043E-3</v>
      </c>
    </row>
    <row r="18" spans="1:23" ht="13.5" customHeight="1" x14ac:dyDescent="0.25">
      <c r="A18" s="149" t="s">
        <v>244</v>
      </c>
      <c r="B18" s="33">
        <f>+Depreciation!C47</f>
        <v>5</v>
      </c>
      <c r="C18" s="33">
        <f>+Depreciation!D47</f>
        <v>572.21</v>
      </c>
      <c r="D18" s="33">
        <f>+Depreciation!E47</f>
        <v>1684.46</v>
      </c>
      <c r="E18" s="33">
        <f>+Depreciation!F47</f>
        <v>2934.63</v>
      </c>
      <c r="F18" s="33">
        <f>+Depreciation!G47</f>
        <v>2621.1865000000003</v>
      </c>
      <c r="G18" s="33">
        <f>+Depreciation!H47</f>
        <v>2343.6241750000004</v>
      </c>
      <c r="H18" s="33">
        <f>+Depreciation!I47</f>
        <v>2097.0884837500003</v>
      </c>
      <c r="I18" s="33">
        <f>+Depreciation!J47</f>
        <v>1877.6346626875002</v>
      </c>
      <c r="J18" s="33">
        <f>+Depreciation!K47</f>
        <v>1681.979355634375</v>
      </c>
      <c r="K18" s="33">
        <f>+Depreciation!L47</f>
        <v>1507.3381870042188</v>
      </c>
      <c r="L18" s="33">
        <f>+Depreciation!M47</f>
        <v>1351.3165191570856</v>
      </c>
      <c r="M18" s="33">
        <f>+Depreciation!N47</f>
        <v>1211.8335348426729</v>
      </c>
      <c r="N18" s="33">
        <f>+Depreciation!O47</f>
        <v>1087.0675524451071</v>
      </c>
      <c r="O18" s="33">
        <f>+Depreciation!P47</f>
        <v>975.4151647996523</v>
      </c>
      <c r="P18" s="33">
        <f>+Depreciation!Q47</f>
        <v>875.45962208410094</v>
      </c>
      <c r="Q18" s="33">
        <f>+Depreciation!R47</f>
        <v>785.94559435857195</v>
      </c>
      <c r="R18" s="33">
        <f>+Depreciation!S47</f>
        <v>705.75849330304163</v>
      </c>
    </row>
    <row r="19" spans="1:23" ht="13.5" customHeight="1" x14ac:dyDescent="0.25">
      <c r="A19" s="32" t="s">
        <v>102</v>
      </c>
      <c r="B19" s="150"/>
      <c r="C19" s="150"/>
      <c r="D19" s="195"/>
      <c r="E19" s="195"/>
      <c r="F19" s="230">
        <f>+E44</f>
        <v>0</v>
      </c>
      <c r="G19" s="230">
        <f t="shared" ref="G19:R19" si="6">+F19+F44</f>
        <v>95.619071041666615</v>
      </c>
      <c r="H19" s="230">
        <f t="shared" si="6"/>
        <v>244.46094188541662</v>
      </c>
      <c r="I19" s="230">
        <f t="shared" si="6"/>
        <v>431.37364239010412</v>
      </c>
      <c r="J19" s="230">
        <f t="shared" si="6"/>
        <v>601.72950397783848</v>
      </c>
      <c r="K19" s="230">
        <f t="shared" si="6"/>
        <v>772.91369676028773</v>
      </c>
      <c r="L19" s="230">
        <f t="shared" si="6"/>
        <v>973.5553684656237</v>
      </c>
      <c r="M19" s="230">
        <f t="shared" si="6"/>
        <v>1192.4043306917881</v>
      </c>
      <c r="N19" s="230">
        <f t="shared" si="6"/>
        <v>1371.6672187319004</v>
      </c>
      <c r="O19" s="230">
        <f t="shared" si="6"/>
        <v>1535.4207004164807</v>
      </c>
      <c r="P19" s="230">
        <f t="shared" si="6"/>
        <v>1686.312099049389</v>
      </c>
      <c r="Q19" s="230">
        <f t="shared" si="6"/>
        <v>1806.6778776650103</v>
      </c>
      <c r="R19" s="230">
        <f t="shared" si="6"/>
        <v>2087.5523141262984</v>
      </c>
    </row>
    <row r="20" spans="1:23" ht="13.5" customHeight="1" x14ac:dyDescent="0.25">
      <c r="A20" s="149" t="s">
        <v>242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 spans="1:23" ht="13.5" customHeight="1" x14ac:dyDescent="0.25">
      <c r="A21" s="32" t="s">
        <v>432</v>
      </c>
      <c r="B21" s="150">
        <f>ROUND((Profitability!B17+Profitability!B18)/12*2,2)</f>
        <v>0</v>
      </c>
      <c r="C21" s="150">
        <f>ROUND((Profitability!C17+Profitability!C18)/12*2,2)</f>
        <v>0</v>
      </c>
      <c r="D21" s="150">
        <f>ROUND((Profitability!D17+Profitability!D18)/12*2,2)</f>
        <v>0</v>
      </c>
      <c r="E21" s="150">
        <f>ROUND((Profitability!E17+Profitability!E18)/12*2,2)</f>
        <v>0</v>
      </c>
      <c r="F21" s="150">
        <f>+Profitability!G23/12</f>
        <v>74.328333333333333</v>
      </c>
      <c r="G21" s="150">
        <f>+Profitability!H23/12</f>
        <v>92.270833333333329</v>
      </c>
      <c r="H21" s="150">
        <f>+Profitability!I23/12</f>
        <v>105.1875</v>
      </c>
      <c r="I21" s="150">
        <f>+Profitability!J23/12</f>
        <v>114.58499999999999</v>
      </c>
      <c r="J21" s="150">
        <f>+Profitability!K23/12</f>
        <v>124.66083333333334</v>
      </c>
      <c r="K21" s="150">
        <f>+Profitability!L23/12</f>
        <v>135.45666666666668</v>
      </c>
      <c r="L21" s="150">
        <f>+Profitability!M23/12</f>
        <v>147.02083333333334</v>
      </c>
      <c r="M21" s="150">
        <f>+Profitability!N23/12</f>
        <v>154.37166666666667</v>
      </c>
      <c r="N21" s="150">
        <f>+Profitability!O23/12</f>
        <v>162.09083333333334</v>
      </c>
      <c r="O21" s="150">
        <f>+Profitability!P23/12</f>
        <v>170.19499999999999</v>
      </c>
      <c r="P21" s="150">
        <f>+Profitability!Q23/12</f>
        <v>178.70416666666665</v>
      </c>
      <c r="Q21" s="150">
        <f>+Profitability!R23/12</f>
        <v>187.64</v>
      </c>
      <c r="R21" s="150">
        <f>+Profitability!S23/12</f>
        <v>197.02166666666668</v>
      </c>
    </row>
    <row r="22" spans="1:23" ht="13.5" customHeight="1" x14ac:dyDescent="0.25">
      <c r="A22" s="32" t="s">
        <v>439</v>
      </c>
      <c r="B22" s="150">
        <v>0</v>
      </c>
      <c r="C22" s="150">
        <f>(Profitability!C18+Profitability!C20)*1/12</f>
        <v>0</v>
      </c>
      <c r="D22" s="150">
        <v>0</v>
      </c>
      <c r="E22" s="150">
        <v>0</v>
      </c>
      <c r="F22" s="150">
        <f>+(Profitability!G27+Profitability!G26+Profitability!G30)/12</f>
        <v>23.025625000000002</v>
      </c>
      <c r="G22" s="150">
        <f>+(Profitability!H27+Profitability!H26+Profitability!H30)/12</f>
        <v>28.869166666666661</v>
      </c>
      <c r="H22" s="150">
        <f>+(Profitability!I27+Profitability!I26+Profitability!I30)/12</f>
        <v>33.054416666666661</v>
      </c>
      <c r="I22" s="150">
        <f>+(Profitability!J27+Profitability!J26+Profitability!J30)/12</f>
        <v>36.070874999999994</v>
      </c>
      <c r="J22" s="150">
        <f>+(Profitability!K27+Profitability!K26+Profitability!K30)/12</f>
        <v>39.306083333333333</v>
      </c>
      <c r="K22" s="150">
        <f>+(Profitability!L27+Profitability!L26+Profitability!L30)/12</f>
        <v>42.774291666666663</v>
      </c>
      <c r="L22" s="150">
        <f>+(Profitability!M27+Profitability!M26+Profitability!M30)/12</f>
        <v>46.490958333333332</v>
      </c>
      <c r="M22" s="150">
        <f>+(Profitability!N27+Profitability!N26+Profitability!N30)/12</f>
        <v>48.815958333333327</v>
      </c>
      <c r="N22" s="150">
        <f>+(Profitability!O27+Profitability!O26+Profitability!O30)/12</f>
        <v>51.256416666666667</v>
      </c>
      <c r="O22" s="150">
        <f>+(Profitability!P27+Profitability!P26+Profitability!P30)/12</f>
        <v>53.819791666666667</v>
      </c>
      <c r="P22" s="150">
        <f>+(Profitability!Q27+Profitability!Q26+Profitability!Q30)/12</f>
        <v>56.510249999999992</v>
      </c>
      <c r="Q22" s="150">
        <f>+(Profitability!R27+Profitability!R26+Profitability!R30)/12</f>
        <v>59.335583333333325</v>
      </c>
      <c r="R22" s="150">
        <f>+(Profitability!S27+Profitability!S26+Profitability!S30)/12</f>
        <v>62.302749999999982</v>
      </c>
    </row>
    <row r="23" spans="1:23" ht="13.5" customHeight="1" x14ac:dyDescent="0.25">
      <c r="A23" s="32" t="s">
        <v>18</v>
      </c>
      <c r="B23" s="150">
        <f>+'Cash Flow'!B24</f>
        <v>0</v>
      </c>
      <c r="C23" s="150">
        <f>+'Cash Flow'!C24</f>
        <v>25.33</v>
      </c>
      <c r="D23" s="150">
        <f>+'Cash Flow'!D24</f>
        <v>44.99</v>
      </c>
      <c r="E23" s="150">
        <f>+'Cash Flow'!E24</f>
        <v>0.28999999999999998</v>
      </c>
      <c r="F23" s="150">
        <f>+'Cash Flow'!F24</f>
        <v>31.77</v>
      </c>
      <c r="G23" s="150">
        <f>+'Cash Flow'!G24</f>
        <v>72.75</v>
      </c>
      <c r="H23" s="150">
        <f>+'Cash Flow'!H24</f>
        <v>136.54</v>
      </c>
      <c r="I23" s="150">
        <f>+'Cash Flow'!I24</f>
        <v>211.13</v>
      </c>
      <c r="J23" s="150">
        <f>+'Cash Flow'!J24</f>
        <v>277.29000000000002</v>
      </c>
      <c r="K23" s="150">
        <f>+'Cash Flow'!K24</f>
        <v>335.76</v>
      </c>
      <c r="L23" s="150">
        <f>+'Cash Flow'!L24</f>
        <v>399.59</v>
      </c>
      <c r="M23" s="150">
        <f>+'Cash Flow'!M24</f>
        <v>463.24</v>
      </c>
      <c r="N23" s="150">
        <f>+'Cash Flow'!N24</f>
        <v>503.39</v>
      </c>
      <c r="O23" s="150">
        <f>+'Cash Flow'!O24</f>
        <v>530.09</v>
      </c>
      <c r="P23" s="150">
        <f>+'Cash Flow'!P24</f>
        <v>543.66</v>
      </c>
      <c r="Q23" s="150">
        <f>+'Cash Flow'!Q24</f>
        <v>535.63</v>
      </c>
      <c r="R23" s="150">
        <f>+'Cash Flow'!R24</f>
        <v>586.78</v>
      </c>
    </row>
    <row r="24" spans="1:23" ht="13.5" customHeight="1" x14ac:dyDescent="0.25">
      <c r="A24" s="144" t="s">
        <v>11</v>
      </c>
      <c r="B24" s="165">
        <f t="shared" ref="B24:R24" si="7">SUM(B18:B23)</f>
        <v>5</v>
      </c>
      <c r="C24" s="165">
        <f t="shared" si="7"/>
        <v>597.54000000000008</v>
      </c>
      <c r="D24" s="165">
        <f t="shared" si="7"/>
        <v>1729.45</v>
      </c>
      <c r="E24" s="165">
        <f t="shared" si="7"/>
        <v>2934.92</v>
      </c>
      <c r="F24" s="165">
        <f t="shared" si="7"/>
        <v>2750.3104583333338</v>
      </c>
      <c r="G24" s="165">
        <f t="shared" si="7"/>
        <v>2633.1332460416675</v>
      </c>
      <c r="H24" s="165">
        <f t="shared" si="7"/>
        <v>2616.3313423020836</v>
      </c>
      <c r="I24" s="165">
        <f t="shared" si="7"/>
        <v>2670.7941800776043</v>
      </c>
      <c r="J24" s="165">
        <f t="shared" si="7"/>
        <v>2724.9657762788802</v>
      </c>
      <c r="K24" s="165">
        <f t="shared" si="7"/>
        <v>2794.2428420978395</v>
      </c>
      <c r="L24" s="165">
        <f t="shared" si="7"/>
        <v>2917.9736792893764</v>
      </c>
      <c r="M24" s="165">
        <f t="shared" si="7"/>
        <v>3070.6654905344612</v>
      </c>
      <c r="N24" s="165">
        <f t="shared" si="7"/>
        <v>3175.4720211770073</v>
      </c>
      <c r="O24" s="165">
        <f t="shared" si="7"/>
        <v>3264.9406568828003</v>
      </c>
      <c r="P24" s="165">
        <f t="shared" si="7"/>
        <v>3340.6461378001563</v>
      </c>
      <c r="Q24" s="165">
        <f t="shared" si="7"/>
        <v>3375.229055356916</v>
      </c>
      <c r="R24" s="165">
        <f t="shared" si="7"/>
        <v>3639.4152240960066</v>
      </c>
      <c r="S24" s="29"/>
      <c r="T24" s="29"/>
      <c r="U24" s="29"/>
      <c r="V24" s="29"/>
      <c r="W24" s="29"/>
    </row>
    <row r="25" spans="1:23" ht="13.5" customHeight="1" x14ac:dyDescent="0.25">
      <c r="A25" s="40" t="s">
        <v>39</v>
      </c>
      <c r="B25" s="48">
        <f>B21+B22</f>
        <v>0</v>
      </c>
      <c r="C25" s="48">
        <f>C21+C22</f>
        <v>0</v>
      </c>
      <c r="D25" s="48">
        <f>D21+D22</f>
        <v>0</v>
      </c>
      <c r="E25" s="48">
        <f>E21+E22</f>
        <v>0</v>
      </c>
      <c r="F25" s="48">
        <f t="shared" ref="F25:R25" si="8">F21+F22</f>
        <v>97.353958333333338</v>
      </c>
      <c r="G25" s="48">
        <f t="shared" si="8"/>
        <v>121.13999999999999</v>
      </c>
      <c r="H25" s="48">
        <f t="shared" si="8"/>
        <v>138.24191666666667</v>
      </c>
      <c r="I25" s="48">
        <f t="shared" si="8"/>
        <v>150.65587499999998</v>
      </c>
      <c r="J25" s="48">
        <f t="shared" si="8"/>
        <v>163.96691666666669</v>
      </c>
      <c r="K25" s="48">
        <f t="shared" si="8"/>
        <v>178.23095833333335</v>
      </c>
      <c r="L25" s="48">
        <f t="shared" si="8"/>
        <v>193.51179166666668</v>
      </c>
      <c r="M25" s="48">
        <f t="shared" si="8"/>
        <v>203.187625</v>
      </c>
      <c r="N25" s="48">
        <f t="shared" si="8"/>
        <v>213.34725</v>
      </c>
      <c r="O25" s="48">
        <f t="shared" si="8"/>
        <v>224.01479166666667</v>
      </c>
      <c r="P25" s="48">
        <f t="shared" si="8"/>
        <v>235.21441666666664</v>
      </c>
      <c r="Q25" s="48">
        <f t="shared" si="8"/>
        <v>246.9755833333333</v>
      </c>
      <c r="R25" s="48">
        <f t="shared" si="8"/>
        <v>259.32441666666665</v>
      </c>
    </row>
    <row r="26" spans="1:23" ht="13.5" customHeight="1" x14ac:dyDescent="0.25">
      <c r="A26" s="40" t="s">
        <v>48</v>
      </c>
      <c r="B26" s="48">
        <f t="shared" ref="B26:D26" si="9">SUM(B21:B23)</f>
        <v>0</v>
      </c>
      <c r="C26" s="48">
        <f t="shared" si="9"/>
        <v>25.33</v>
      </c>
      <c r="D26" s="48">
        <f t="shared" si="9"/>
        <v>44.99</v>
      </c>
      <c r="E26" s="48">
        <f>SUM(E21:E23)</f>
        <v>0.28999999999999998</v>
      </c>
      <c r="F26" s="48">
        <f t="shared" ref="F26:J26" si="10">SUM(F21:F23)</f>
        <v>129.12395833333335</v>
      </c>
      <c r="G26" s="48">
        <f>SUM(G21:G23)</f>
        <v>193.89</v>
      </c>
      <c r="H26" s="48">
        <f t="shared" si="10"/>
        <v>274.78191666666669</v>
      </c>
      <c r="I26" s="48">
        <f t="shared" si="10"/>
        <v>361.78587499999998</v>
      </c>
      <c r="J26" s="48">
        <f t="shared" si="10"/>
        <v>441.25691666666671</v>
      </c>
      <c r="K26" s="48">
        <f>SUM(K21:K23)</f>
        <v>513.99095833333331</v>
      </c>
      <c r="L26" s="48">
        <f t="shared" ref="L26:R26" si="11">SUM(L21:L23)</f>
        <v>593.10179166666671</v>
      </c>
      <c r="M26" s="48">
        <f t="shared" si="11"/>
        <v>666.42762500000003</v>
      </c>
      <c r="N26" s="48">
        <f t="shared" si="11"/>
        <v>716.73725000000002</v>
      </c>
      <c r="O26" s="48">
        <f t="shared" si="11"/>
        <v>754.10479166666664</v>
      </c>
      <c r="P26" s="48">
        <f t="shared" si="11"/>
        <v>778.87441666666655</v>
      </c>
      <c r="Q26" s="48">
        <f t="shared" si="11"/>
        <v>782.60558333333324</v>
      </c>
      <c r="R26" s="48">
        <f t="shared" si="11"/>
        <v>846.10441666666657</v>
      </c>
    </row>
    <row r="27" spans="1:23" ht="13.5" customHeight="1" x14ac:dyDescent="0.25">
      <c r="A27" s="40" t="s">
        <v>49</v>
      </c>
      <c r="B27" s="47">
        <f t="shared" ref="B27:C27" si="12">B15</f>
        <v>0</v>
      </c>
      <c r="C27" s="47">
        <f t="shared" si="12"/>
        <v>0</v>
      </c>
      <c r="D27" s="47">
        <f>D15</f>
        <v>0</v>
      </c>
      <c r="E27" s="47">
        <f t="shared" ref="E27:R27" si="13">E15</f>
        <v>0</v>
      </c>
      <c r="F27" s="47">
        <f t="shared" si="13"/>
        <v>48.975958333333324</v>
      </c>
      <c r="G27" s="47">
        <f t="shared" si="13"/>
        <v>58.512306250000002</v>
      </c>
      <c r="H27" s="47">
        <f t="shared" si="13"/>
        <v>65.977859062500002</v>
      </c>
      <c r="I27" s="47">
        <f t="shared" si="13"/>
        <v>72.079681578125005</v>
      </c>
      <c r="J27" s="47">
        <f t="shared" si="13"/>
        <v>78.675391078906259</v>
      </c>
      <c r="K27" s="47">
        <f t="shared" si="13"/>
        <v>85.80240261415365</v>
      </c>
      <c r="L27" s="47">
        <f t="shared" si="13"/>
        <v>93.50402767940561</v>
      </c>
      <c r="M27" s="47">
        <f t="shared" si="13"/>
        <v>99.593917973798909</v>
      </c>
      <c r="N27" s="47">
        <f t="shared" si="13"/>
        <v>106.12977563353617</v>
      </c>
      <c r="O27" s="47">
        <f t="shared" si="13"/>
        <v>113.14993325176768</v>
      </c>
      <c r="P27" s="47">
        <f t="shared" si="13"/>
        <v>120.69119810703738</v>
      </c>
      <c r="Q27" s="47">
        <f t="shared" si="13"/>
        <v>128.79678268953927</v>
      </c>
      <c r="R27" s="47">
        <f t="shared" si="13"/>
        <v>137.51837657870581</v>
      </c>
    </row>
    <row r="28" spans="1:23" ht="13.5" customHeight="1" x14ac:dyDescent="0.25">
      <c r="A28" s="144" t="s">
        <v>50</v>
      </c>
      <c r="B28" s="160">
        <f>B26-B27</f>
        <v>0</v>
      </c>
      <c r="C28" s="160">
        <f t="shared" ref="C28:R28" si="14">C26-C27</f>
        <v>25.33</v>
      </c>
      <c r="D28" s="160">
        <f t="shared" si="14"/>
        <v>44.99</v>
      </c>
      <c r="E28" s="160">
        <f t="shared" si="14"/>
        <v>0.28999999999999998</v>
      </c>
      <c r="F28" s="160">
        <f t="shared" si="14"/>
        <v>80.148000000000025</v>
      </c>
      <c r="G28" s="160">
        <f t="shared" si="14"/>
        <v>135.37769374999999</v>
      </c>
      <c r="H28" s="160">
        <f t="shared" si="14"/>
        <v>208.8040576041667</v>
      </c>
      <c r="I28" s="160">
        <f t="shared" si="14"/>
        <v>289.70619342187496</v>
      </c>
      <c r="J28" s="160">
        <f t="shared" si="14"/>
        <v>362.58152558776044</v>
      </c>
      <c r="K28" s="160">
        <f t="shared" si="14"/>
        <v>428.18855571917965</v>
      </c>
      <c r="L28" s="160">
        <f t="shared" si="14"/>
        <v>499.59776398726109</v>
      </c>
      <c r="M28" s="160">
        <f t="shared" si="14"/>
        <v>566.83370702620118</v>
      </c>
      <c r="N28" s="160">
        <f t="shared" si="14"/>
        <v>610.60747436646386</v>
      </c>
      <c r="O28" s="160">
        <f t="shared" si="14"/>
        <v>640.95485841489892</v>
      </c>
      <c r="P28" s="160">
        <f t="shared" si="14"/>
        <v>658.18321855962915</v>
      </c>
      <c r="Q28" s="160">
        <f t="shared" si="14"/>
        <v>653.80880064379403</v>
      </c>
      <c r="R28" s="160">
        <f t="shared" si="14"/>
        <v>708.58604008796078</v>
      </c>
    </row>
    <row r="29" spans="1:23" ht="13.5" customHeight="1" x14ac:dyDescent="0.25">
      <c r="A29" s="40" t="s">
        <v>51</v>
      </c>
      <c r="B29" s="53">
        <v>0</v>
      </c>
      <c r="C29" s="53">
        <v>0</v>
      </c>
      <c r="D29" s="53">
        <v>0</v>
      </c>
      <c r="E29" s="53">
        <v>0</v>
      </c>
      <c r="F29" s="53">
        <f>(F26+F13-G13)/F27</f>
        <v>3.8615672825867851</v>
      </c>
      <c r="G29" s="53">
        <f t="shared" ref="G29:K29" si="15">(G26+G13-H13)/G27</f>
        <v>4.3390872155205793</v>
      </c>
      <c r="H29" s="53">
        <f t="shared" si="15"/>
        <v>5.0741555034323271</v>
      </c>
      <c r="I29" s="53">
        <f t="shared" si="15"/>
        <v>6.6840732984899045</v>
      </c>
      <c r="J29" s="53">
        <f t="shared" si="15"/>
        <v>7.1338306549218524</v>
      </c>
      <c r="K29" s="53">
        <f t="shared" si="15"/>
        <v>7.3889650990816484</v>
      </c>
      <c r="L29" s="53">
        <f t="shared" ref="L29" si="16">(L26+L13-M13)/L27</f>
        <v>7.6264286080986476</v>
      </c>
      <c r="M29" s="53">
        <f t="shared" ref="M29" si="17">(M26+M13-N13)/M27</f>
        <v>8.6995957446712655</v>
      </c>
      <c r="N29" s="53">
        <f t="shared" ref="N29" si="18">(N26+N13-O13)/N27</f>
        <v>9.1090105884904791</v>
      </c>
      <c r="O29" s="53">
        <f t="shared" ref="O29" si="19">(O26+O13-P13)/O27</f>
        <v>9.3160001192506137</v>
      </c>
      <c r="P29" s="53">
        <f t="shared" ref="P29" si="20">(P26+P13-Q13)/P27</f>
        <v>9.6019795547882101</v>
      </c>
      <c r="Q29" s="53">
        <f t="shared" ref="Q29" si="21">(Q26+Q13-R13)/Q27</f>
        <v>7.5126533685683521</v>
      </c>
      <c r="R29" s="53">
        <f t="shared" ref="R29" si="22">(R26+R13-S13)/R27</f>
        <v>6.1526701937352755</v>
      </c>
    </row>
    <row r="30" spans="1:23" ht="13.5" customHeight="1" x14ac:dyDescent="0.25">
      <c r="A30" s="393" t="s">
        <v>71</v>
      </c>
      <c r="B30" s="48">
        <f t="shared" ref="B30:J30" si="23">B13</f>
        <v>0</v>
      </c>
      <c r="C30" s="48">
        <f t="shared" si="23"/>
        <v>280</v>
      </c>
      <c r="D30" s="48">
        <f t="shared" si="23"/>
        <v>1120</v>
      </c>
      <c r="E30" s="48">
        <f t="shared" si="23"/>
        <v>2000</v>
      </c>
      <c r="F30" s="48">
        <f t="shared" si="23"/>
        <v>1975</v>
      </c>
      <c r="G30" s="48">
        <f t="shared" si="23"/>
        <v>1915</v>
      </c>
      <c r="H30" s="48">
        <f t="shared" si="23"/>
        <v>1855</v>
      </c>
      <c r="I30" s="48">
        <f t="shared" si="23"/>
        <v>1795</v>
      </c>
      <c r="J30" s="48">
        <f t="shared" si="23"/>
        <v>1675</v>
      </c>
      <c r="K30" s="46">
        <f>K13</f>
        <v>1555</v>
      </c>
      <c r="L30" s="46">
        <f t="shared" ref="L30:R30" si="24">L13</f>
        <v>1435</v>
      </c>
      <c r="M30" s="46">
        <f t="shared" si="24"/>
        <v>1315</v>
      </c>
      <c r="N30" s="46">
        <f t="shared" si="24"/>
        <v>1115.0008</v>
      </c>
      <c r="O30" s="46">
        <f t="shared" si="24"/>
        <v>865.00080000000003</v>
      </c>
      <c r="P30" s="46">
        <f t="shared" si="24"/>
        <v>565.00080000000003</v>
      </c>
      <c r="Q30" s="46">
        <f t="shared" si="24"/>
        <v>185.00079999999991</v>
      </c>
      <c r="R30" s="46">
        <f t="shared" si="24"/>
        <v>7.999999998844487E-4</v>
      </c>
    </row>
    <row r="31" spans="1:23" ht="13.5" customHeight="1" x14ac:dyDescent="0.25">
      <c r="A31" s="393" t="s">
        <v>145</v>
      </c>
      <c r="B31" s="48">
        <f t="shared" ref="B31:R31" si="25">B12+B14</f>
        <v>5</v>
      </c>
      <c r="C31" s="48">
        <f t="shared" si="25"/>
        <v>317.54000000000002</v>
      </c>
      <c r="D31" s="48">
        <f t="shared" si="25"/>
        <v>609.45000000000005</v>
      </c>
      <c r="E31" s="48">
        <f t="shared" si="25"/>
        <v>934.92</v>
      </c>
      <c r="F31" s="48">
        <f t="shared" si="25"/>
        <v>726.33</v>
      </c>
      <c r="G31" s="48">
        <f t="shared" si="25"/>
        <v>659.62</v>
      </c>
      <c r="H31" s="48">
        <f t="shared" si="25"/>
        <v>695.35</v>
      </c>
      <c r="I31" s="48">
        <f t="shared" si="25"/>
        <v>803.71</v>
      </c>
      <c r="J31" s="48">
        <f t="shared" si="25"/>
        <v>971.29</v>
      </c>
      <c r="K31" s="48">
        <f t="shared" si="25"/>
        <v>1153.44</v>
      </c>
      <c r="L31" s="48">
        <f t="shared" si="25"/>
        <v>1389.47</v>
      </c>
      <c r="M31" s="48">
        <f t="shared" si="25"/>
        <v>1656.07</v>
      </c>
      <c r="N31" s="48">
        <f t="shared" si="25"/>
        <v>1954.34</v>
      </c>
      <c r="O31" s="48">
        <f t="shared" si="25"/>
        <v>2286.79</v>
      </c>
      <c r="P31" s="48">
        <f t="shared" si="25"/>
        <v>2654.96</v>
      </c>
      <c r="Q31" s="48">
        <f t="shared" si="25"/>
        <v>3061.44</v>
      </c>
      <c r="R31" s="48">
        <f t="shared" si="25"/>
        <v>3501.9</v>
      </c>
    </row>
    <row r="32" spans="1:23" ht="13.5" customHeight="1" x14ac:dyDescent="0.25">
      <c r="A32" s="394" t="s">
        <v>247</v>
      </c>
      <c r="B32" s="342">
        <f>B30/B31</f>
        <v>0</v>
      </c>
      <c r="C32" s="342">
        <f t="shared" ref="C32" si="26">C30/C31</f>
        <v>0.88177867355293815</v>
      </c>
      <c r="D32" s="342">
        <f>D30/D31</f>
        <v>1.83772253671343</v>
      </c>
      <c r="E32" s="342">
        <f t="shared" ref="E32:R32" si="27">E30/E31</f>
        <v>2.1392204680614384</v>
      </c>
      <c r="F32" s="342">
        <f t="shared" si="27"/>
        <v>2.7191496977957677</v>
      </c>
      <c r="G32" s="342">
        <f t="shared" si="27"/>
        <v>2.9031866832418665</v>
      </c>
      <c r="H32" s="342">
        <f t="shared" si="27"/>
        <v>2.6677212914359676</v>
      </c>
      <c r="I32" s="342">
        <f t="shared" si="27"/>
        <v>2.2333926416244663</v>
      </c>
      <c r="J32" s="342">
        <f t="shared" si="27"/>
        <v>1.7245107022619404</v>
      </c>
      <c r="K32" s="343">
        <f t="shared" si="27"/>
        <v>1.348141212373422</v>
      </c>
      <c r="L32" s="343">
        <f t="shared" si="27"/>
        <v>1.0327678899148596</v>
      </c>
      <c r="M32" s="343">
        <f t="shared" si="27"/>
        <v>0.79404856074924368</v>
      </c>
      <c r="N32" s="343">
        <f t="shared" si="27"/>
        <v>0.57052549709876488</v>
      </c>
      <c r="O32" s="343">
        <f t="shared" si="27"/>
        <v>0.37825983146681597</v>
      </c>
      <c r="P32" s="343">
        <f t="shared" si="27"/>
        <v>0.21280953385361739</v>
      </c>
      <c r="Q32" s="343">
        <f t="shared" si="27"/>
        <v>6.0429340441099585E-2</v>
      </c>
      <c r="R32" s="343">
        <f t="shared" si="27"/>
        <v>2.284474142278331E-7</v>
      </c>
    </row>
    <row r="33" spans="1:18" ht="13.5" customHeight="1" x14ac:dyDescent="0.25">
      <c r="A33" s="334" t="s">
        <v>55</v>
      </c>
      <c r="B33" s="334"/>
      <c r="C33" s="334"/>
      <c r="D33" s="354"/>
      <c r="E33" s="354">
        <f>(D32+E32+F32+G32+H32+I32+J32+K32)/8</f>
        <v>2.196630654188537</v>
      </c>
      <c r="F33" s="27"/>
      <c r="G33" s="27" t="s">
        <v>0</v>
      </c>
    </row>
    <row r="34" spans="1:18" ht="13.5" customHeight="1" x14ac:dyDescent="0.25">
      <c r="A34" s="32" t="s">
        <v>130</v>
      </c>
      <c r="B34" s="33">
        <f t="shared" ref="B34:R34" si="28">B13</f>
        <v>0</v>
      </c>
      <c r="C34" s="33">
        <f>C13</f>
        <v>280</v>
      </c>
      <c r="D34" s="33">
        <f t="shared" si="28"/>
        <v>1120</v>
      </c>
      <c r="E34" s="33">
        <f t="shared" si="28"/>
        <v>2000</v>
      </c>
      <c r="F34" s="33">
        <f t="shared" si="28"/>
        <v>1975</v>
      </c>
      <c r="G34" s="33">
        <f t="shared" si="28"/>
        <v>1915</v>
      </c>
      <c r="H34" s="33">
        <f t="shared" si="28"/>
        <v>1855</v>
      </c>
      <c r="I34" s="33">
        <f t="shared" si="28"/>
        <v>1795</v>
      </c>
      <c r="J34" s="33">
        <f t="shared" si="28"/>
        <v>1675</v>
      </c>
      <c r="K34" s="33">
        <f t="shared" si="28"/>
        <v>1555</v>
      </c>
      <c r="L34" s="33">
        <f t="shared" si="28"/>
        <v>1435</v>
      </c>
      <c r="M34" s="33">
        <f t="shared" si="28"/>
        <v>1315</v>
      </c>
      <c r="N34" s="33">
        <f t="shared" si="28"/>
        <v>1115.0008</v>
      </c>
      <c r="O34" s="33">
        <f t="shared" si="28"/>
        <v>865.00080000000003</v>
      </c>
      <c r="P34" s="33">
        <f t="shared" si="28"/>
        <v>565.00080000000003</v>
      </c>
      <c r="Q34" s="33">
        <f t="shared" si="28"/>
        <v>185.00079999999991</v>
      </c>
      <c r="R34" s="33">
        <f t="shared" si="28"/>
        <v>7.999999998844487E-4</v>
      </c>
    </row>
    <row r="35" spans="1:18" ht="13.5" customHeight="1" x14ac:dyDescent="0.25">
      <c r="A35" s="32" t="s">
        <v>249</v>
      </c>
      <c r="B35" s="33">
        <f t="shared" ref="B35:R35" si="29">B12+B14</f>
        <v>5</v>
      </c>
      <c r="C35" s="33">
        <f t="shared" si="29"/>
        <v>317.54000000000002</v>
      </c>
      <c r="D35" s="33">
        <f t="shared" si="29"/>
        <v>609.45000000000005</v>
      </c>
      <c r="E35" s="33">
        <f t="shared" si="29"/>
        <v>934.92</v>
      </c>
      <c r="F35" s="33">
        <f t="shared" si="29"/>
        <v>726.33</v>
      </c>
      <c r="G35" s="33">
        <f t="shared" si="29"/>
        <v>659.62</v>
      </c>
      <c r="H35" s="33">
        <f t="shared" si="29"/>
        <v>695.35</v>
      </c>
      <c r="I35" s="33">
        <f t="shared" si="29"/>
        <v>803.71</v>
      </c>
      <c r="J35" s="33">
        <f t="shared" si="29"/>
        <v>971.29</v>
      </c>
      <c r="K35" s="33">
        <f t="shared" si="29"/>
        <v>1153.44</v>
      </c>
      <c r="L35" s="33">
        <f t="shared" si="29"/>
        <v>1389.47</v>
      </c>
      <c r="M35" s="33">
        <f t="shared" si="29"/>
        <v>1656.07</v>
      </c>
      <c r="N35" s="33">
        <f t="shared" si="29"/>
        <v>1954.34</v>
      </c>
      <c r="O35" s="33">
        <f t="shared" si="29"/>
        <v>2286.79</v>
      </c>
      <c r="P35" s="33">
        <f t="shared" si="29"/>
        <v>2654.96</v>
      </c>
      <c r="Q35" s="33">
        <f t="shared" si="29"/>
        <v>3061.44</v>
      </c>
      <c r="R35" s="33">
        <f t="shared" si="29"/>
        <v>3501.9</v>
      </c>
    </row>
    <row r="36" spans="1:18" ht="13.5" customHeight="1" x14ac:dyDescent="0.25">
      <c r="A36" s="32" t="s">
        <v>248</v>
      </c>
      <c r="B36" s="33">
        <f>B34/B35</f>
        <v>0</v>
      </c>
      <c r="C36" s="33">
        <f>C34/C35</f>
        <v>0.88177867355293815</v>
      </c>
      <c r="D36" s="33">
        <f t="shared" ref="D36:R36" si="30">D34/D35</f>
        <v>1.83772253671343</v>
      </c>
      <c r="E36" s="33">
        <f t="shared" si="30"/>
        <v>2.1392204680614384</v>
      </c>
      <c r="F36" s="33">
        <f t="shared" si="30"/>
        <v>2.7191496977957677</v>
      </c>
      <c r="G36" s="33">
        <f t="shared" si="30"/>
        <v>2.9031866832418665</v>
      </c>
      <c r="H36" s="33">
        <f t="shared" si="30"/>
        <v>2.6677212914359676</v>
      </c>
      <c r="I36" s="33">
        <f t="shared" si="30"/>
        <v>2.2333926416244663</v>
      </c>
      <c r="J36" s="33">
        <f t="shared" si="30"/>
        <v>1.7245107022619404</v>
      </c>
      <c r="K36" s="33">
        <f t="shared" si="30"/>
        <v>1.348141212373422</v>
      </c>
      <c r="L36" s="33">
        <f t="shared" si="30"/>
        <v>1.0327678899148596</v>
      </c>
      <c r="M36" s="33">
        <f t="shared" si="30"/>
        <v>0.79404856074924368</v>
      </c>
      <c r="N36" s="33">
        <f t="shared" si="30"/>
        <v>0.57052549709876488</v>
      </c>
      <c r="O36" s="33">
        <f t="shared" si="30"/>
        <v>0.37825983146681597</v>
      </c>
      <c r="P36" s="33">
        <f t="shared" si="30"/>
        <v>0.21280953385361739</v>
      </c>
      <c r="Q36" s="33">
        <f t="shared" si="30"/>
        <v>6.0429340441099585E-2</v>
      </c>
      <c r="R36" s="33">
        <f t="shared" si="30"/>
        <v>2.284474142278331E-7</v>
      </c>
    </row>
    <row r="38" spans="1:18" ht="13.5" customHeight="1" x14ac:dyDescent="0.25">
      <c r="A38" s="32" t="s">
        <v>171</v>
      </c>
      <c r="B38" s="33">
        <v>0</v>
      </c>
      <c r="C38" s="33">
        <v>0</v>
      </c>
      <c r="D38" s="33">
        <v>0</v>
      </c>
      <c r="E38" s="33">
        <v>0</v>
      </c>
      <c r="F38" s="33">
        <f>+Profitability!G35+Profitability!G38+'Balance Sheet'!F9</f>
        <v>104.85350000000011</v>
      </c>
      <c r="G38" s="33">
        <f>+Profitability!H35+Profitability!H38+'Balance Sheet'!G9</f>
        <v>210.85232499999995</v>
      </c>
      <c r="H38" s="33">
        <f>+Profitability!I35+Profitability!I38+'Balance Sheet'!H9</f>
        <v>282.26569125000003</v>
      </c>
      <c r="I38" s="33">
        <f>+Profitability!J35+Profitability!J38+'Balance Sheet'!I9</f>
        <v>327.81382106249987</v>
      </c>
      <c r="J38" s="33">
        <f>+Profitability!K35+Profitability!K38+'Balance Sheet'!J9</f>
        <v>363.23730705312505</v>
      </c>
      <c r="K38" s="33">
        <f>+Profitability!L35+Profitability!L38+'Balance Sheet'!K9</f>
        <v>356.78816863015629</v>
      </c>
      <c r="L38" s="33">
        <f>+Profitability!M35+Profitability!M38+'Balance Sheet'!L9</f>
        <v>392.04766784713286</v>
      </c>
      <c r="M38" s="33">
        <f>+Profitability!N35+Profitability!N38+'Balance Sheet'!M9</f>
        <v>406.07798431441302</v>
      </c>
      <c r="N38" s="33">
        <f>+Profitability!O35+Profitability!O38+'Balance Sheet'!N9</f>
        <v>423.03598239756587</v>
      </c>
      <c r="O38" s="33">
        <f>+Profitability!P35+Profitability!P38+'Balance Sheet'!O9</f>
        <v>444.10338764545446</v>
      </c>
      <c r="P38" s="33">
        <f>+Profitability!Q35+Profitability!Q38+'Balance Sheet'!P9</f>
        <v>468.12054271555138</v>
      </c>
      <c r="Q38" s="33">
        <f>+Profitability!R35+Profitability!R38+'Balance Sheet'!Q9</f>
        <v>495.99702772552871</v>
      </c>
      <c r="R38" s="33">
        <f>+Profitability!S35+Profitability!S38+'Balance Sheet'!R9</f>
        <v>520.64810105553056</v>
      </c>
    </row>
    <row r="39" spans="1:18" ht="13.5" customHeight="1" x14ac:dyDescent="0.25">
      <c r="A39" s="32" t="s">
        <v>187</v>
      </c>
      <c r="B39" s="33">
        <v>0</v>
      </c>
      <c r="C39" s="33">
        <v>0</v>
      </c>
      <c r="D39" s="33">
        <v>0</v>
      </c>
      <c r="E39" s="33">
        <v>0</v>
      </c>
      <c r="F39" s="33">
        <f>F25-F27</f>
        <v>48.378000000000014</v>
      </c>
      <c r="G39" s="33">
        <f t="shared" ref="G39:R39" si="31">G25-G27</f>
        <v>62.627693749999985</v>
      </c>
      <c r="H39" s="33">
        <f t="shared" si="31"/>
        <v>72.264057604166666</v>
      </c>
      <c r="I39" s="33">
        <f t="shared" si="31"/>
        <v>78.576193421874976</v>
      </c>
      <c r="J39" s="33">
        <f t="shared" si="31"/>
        <v>85.291525587760432</v>
      </c>
      <c r="K39" s="33">
        <f t="shared" si="31"/>
        <v>92.428555719179698</v>
      </c>
      <c r="L39" s="33">
        <f t="shared" si="31"/>
        <v>100.00776398726107</v>
      </c>
      <c r="M39" s="33">
        <f t="shared" si="31"/>
        <v>103.59370702620109</v>
      </c>
      <c r="N39" s="33">
        <f t="shared" si="31"/>
        <v>107.21747436646383</v>
      </c>
      <c r="O39" s="33">
        <f t="shared" si="31"/>
        <v>110.86485841489899</v>
      </c>
      <c r="P39" s="33">
        <f t="shared" si="31"/>
        <v>114.52321855962926</v>
      </c>
      <c r="Q39" s="33">
        <f t="shared" si="31"/>
        <v>118.17880064379403</v>
      </c>
      <c r="R39" s="33">
        <f t="shared" si="31"/>
        <v>121.80604008796084</v>
      </c>
    </row>
    <row r="40" spans="1:18" ht="13.5" customHeight="1" x14ac:dyDescent="0.25">
      <c r="A40" s="32" t="s">
        <v>188</v>
      </c>
      <c r="B40" s="33">
        <v>0</v>
      </c>
      <c r="C40" s="33">
        <v>0</v>
      </c>
      <c r="D40" s="33">
        <v>0</v>
      </c>
      <c r="E40" s="33">
        <v>0</v>
      </c>
      <c r="F40" s="33">
        <f>F39-E39</f>
        <v>48.378000000000014</v>
      </c>
      <c r="G40" s="33">
        <f>G39-F39</f>
        <v>14.24969374999997</v>
      </c>
      <c r="H40" s="33">
        <f t="shared" ref="H40:K40" si="32">H39-G39</f>
        <v>9.6363638541666816</v>
      </c>
      <c r="I40" s="33">
        <f t="shared" si="32"/>
        <v>6.3121358177083096</v>
      </c>
      <c r="J40" s="33">
        <f t="shared" si="32"/>
        <v>6.7153321658854566</v>
      </c>
      <c r="K40" s="33">
        <f t="shared" si="32"/>
        <v>7.1370301314192659</v>
      </c>
      <c r="L40" s="33">
        <f t="shared" ref="L40" si="33">L39-K39</f>
        <v>7.5792082680813735</v>
      </c>
      <c r="M40" s="33">
        <f t="shared" ref="M40" si="34">M39-L39</f>
        <v>3.585943038940016</v>
      </c>
      <c r="N40" s="33">
        <f t="shared" ref="N40" si="35">N39-M39</f>
        <v>3.6237673402627451</v>
      </c>
      <c r="O40" s="33">
        <f t="shared" ref="O40" si="36">O39-N39</f>
        <v>3.647384048435157</v>
      </c>
      <c r="P40" s="33">
        <f t="shared" ref="P40" si="37">P39-O39</f>
        <v>3.6583601447302669</v>
      </c>
      <c r="Q40" s="33">
        <f t="shared" ref="Q40" si="38">Q39-P39</f>
        <v>3.6555820841647773</v>
      </c>
      <c r="R40" s="33">
        <f t="shared" ref="R40" si="39">R39-Q39</f>
        <v>3.6272394441668041</v>
      </c>
    </row>
    <row r="44" spans="1:18" ht="13.5" customHeight="1" x14ac:dyDescent="0.25">
      <c r="E44" s="29">
        <f>+'Cash Flow'!F17</f>
        <v>0</v>
      </c>
      <c r="F44" s="29">
        <f>+'Cash Flow'!G17</f>
        <v>95.619071041666615</v>
      </c>
      <c r="G44" s="29">
        <f>+'Cash Flow'!H17</f>
        <v>148.84187084375</v>
      </c>
      <c r="H44" s="29">
        <f>+'Cash Flow'!I17</f>
        <v>186.91270050468751</v>
      </c>
      <c r="I44" s="29">
        <f>+'Cash Flow'!J17</f>
        <v>170.3558615877343</v>
      </c>
      <c r="J44" s="29">
        <f>+'Cash Flow'!K17</f>
        <v>171.18419278244923</v>
      </c>
      <c r="K44" s="29">
        <f>+'Cash Flow'!L17</f>
        <v>200.64167170533594</v>
      </c>
      <c r="L44" s="29">
        <f>+'Cash Flow'!M17</f>
        <v>218.84896222616436</v>
      </c>
      <c r="M44" s="29">
        <f>+'Cash Flow'!N17</f>
        <v>179.26288804011227</v>
      </c>
      <c r="N44" s="29">
        <f>+'Cash Flow'!O17</f>
        <v>163.75348168458032</v>
      </c>
      <c r="O44" s="29">
        <f>+'Cash Flow'!P17</f>
        <v>150.89139863290825</v>
      </c>
      <c r="P44" s="29">
        <f>+'Cash Flow'!Q17</f>
        <v>120.36577861562144</v>
      </c>
      <c r="Q44" s="29">
        <f>+'Cash Flow'!R17</f>
        <v>280.87443646128781</v>
      </c>
    </row>
  </sheetData>
  <mergeCells count="5">
    <mergeCell ref="A3:I3"/>
    <mergeCell ref="J3:K3"/>
    <mergeCell ref="B5:E5"/>
    <mergeCell ref="A2:R2"/>
    <mergeCell ref="A1:R1"/>
  </mergeCells>
  <phoneticPr fontId="0" type="noConversion"/>
  <pageMargins left="0.7" right="0.7" top="0.75" bottom="0.75" header="0.3" footer="0.3"/>
  <pageSetup paperSize="9" scale="58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opLeftCell="A17" zoomScaleNormal="100" zoomScaleSheetLayoutView="115" workbookViewId="0">
      <selection activeCell="A24" sqref="A24"/>
    </sheetView>
  </sheetViews>
  <sheetFormatPr defaultColWidth="9.140625" defaultRowHeight="15" x14ac:dyDescent="0.25"/>
  <cols>
    <col min="1" max="1" width="45.85546875" style="10" bestFit="1" customWidth="1"/>
    <col min="2" max="2" width="6.28515625" style="10" bestFit="1" customWidth="1"/>
    <col min="3" max="3" width="7.28515625" style="10" bestFit="1" customWidth="1"/>
    <col min="4" max="8" width="8.5703125" style="10" bestFit="1" customWidth="1"/>
    <col min="9" max="9" width="9.140625" style="10"/>
    <col min="10" max="10" width="9.42578125" style="10" customWidth="1"/>
    <col min="11" max="11" width="10.28515625" style="10" customWidth="1"/>
    <col min="12" max="12" width="9.140625" style="10" customWidth="1"/>
    <col min="13" max="16384" width="9.140625" style="10"/>
  </cols>
  <sheetData>
    <row r="1" spans="1:18" x14ac:dyDescent="0.25">
      <c r="A1" s="399" t="str">
        <f>Estimation!A1</f>
        <v>Vaayu Suites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</row>
    <row r="2" spans="1:18" ht="15" customHeight="1" x14ac:dyDescent="0.25">
      <c r="A2" s="399" t="str">
        <f>'Balance Sheet'!A2:I2</f>
        <v>LAND IS SITUATED AT KHASARA NO. 579/546, REVENUE VILLAGE-SENA, TEHSIL-BALI, DISTRICT-PALI, RAJASTHAN, HAVING TOTAL AREA OF 32800 SQUARE METERS.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</row>
    <row r="3" spans="1:18" x14ac:dyDescent="0.25">
      <c r="A3" s="448" t="s">
        <v>436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</row>
    <row r="4" spans="1:18" ht="28.9" customHeight="1" x14ac:dyDescent="0.25">
      <c r="A4" s="444" t="s">
        <v>40</v>
      </c>
      <c r="B4" s="193" t="s">
        <v>342</v>
      </c>
      <c r="C4" s="193" t="s">
        <v>250</v>
      </c>
      <c r="D4" s="193" t="s">
        <v>251</v>
      </c>
      <c r="E4" s="193" t="s">
        <v>132</v>
      </c>
      <c r="F4" s="23" t="s">
        <v>133</v>
      </c>
      <c r="G4" s="23" t="s">
        <v>134</v>
      </c>
      <c r="H4" s="23" t="s">
        <v>135</v>
      </c>
      <c r="I4" s="23" t="s">
        <v>136</v>
      </c>
      <c r="J4" s="23" t="s">
        <v>137</v>
      </c>
      <c r="K4" s="23" t="s">
        <v>138</v>
      </c>
      <c r="L4" s="23" t="s">
        <v>139</v>
      </c>
      <c r="M4" s="23" t="s">
        <v>376</v>
      </c>
      <c r="N4" s="23" t="s">
        <v>377</v>
      </c>
      <c r="O4" s="23" t="s">
        <v>378</v>
      </c>
      <c r="P4" s="23" t="s">
        <v>379</v>
      </c>
      <c r="Q4" s="23" t="s">
        <v>380</v>
      </c>
      <c r="R4" s="23" t="s">
        <v>426</v>
      </c>
    </row>
    <row r="5" spans="1:18" ht="15" customHeight="1" x14ac:dyDescent="0.25">
      <c r="A5" s="444"/>
      <c r="B5" s="445" t="s">
        <v>433</v>
      </c>
      <c r="C5" s="446"/>
      <c r="D5" s="446"/>
      <c r="E5" s="447"/>
      <c r="F5" s="148" t="s">
        <v>45</v>
      </c>
      <c r="G5" s="148" t="s">
        <v>45</v>
      </c>
      <c r="H5" s="148" t="s">
        <v>45</v>
      </c>
      <c r="I5" s="148" t="s">
        <v>45</v>
      </c>
      <c r="J5" s="148" t="s">
        <v>45</v>
      </c>
      <c r="K5" s="148" t="s">
        <v>45</v>
      </c>
      <c r="L5" s="148" t="s">
        <v>45</v>
      </c>
      <c r="M5" s="148" t="s">
        <v>45</v>
      </c>
      <c r="N5" s="148" t="s">
        <v>45</v>
      </c>
      <c r="O5" s="148" t="s">
        <v>45</v>
      </c>
      <c r="P5" s="148" t="s">
        <v>45</v>
      </c>
      <c r="Q5" s="148" t="s">
        <v>45</v>
      </c>
      <c r="R5" s="148" t="s">
        <v>45</v>
      </c>
    </row>
    <row r="6" spans="1:18" x14ac:dyDescent="0.25">
      <c r="A6" s="38" t="s">
        <v>19</v>
      </c>
      <c r="B6" s="149"/>
      <c r="C6" s="149"/>
      <c r="D6" s="139"/>
      <c r="E6" s="139"/>
      <c r="F6" s="139"/>
      <c r="G6" s="139"/>
      <c r="H6" s="139"/>
      <c r="I6" s="139"/>
      <c r="J6" s="139"/>
      <c r="K6" s="139"/>
      <c r="L6" s="43"/>
      <c r="M6" s="43"/>
      <c r="N6" s="43"/>
    </row>
    <row r="7" spans="1:18" x14ac:dyDescent="0.25">
      <c r="A7" s="32" t="s">
        <v>114</v>
      </c>
      <c r="B7" s="33">
        <f>'Balance Sheet'!B8</f>
        <v>5</v>
      </c>
      <c r="C7" s="33">
        <f>'Balance Sheet'!C8</f>
        <v>312.54000000000002</v>
      </c>
      <c r="D7" s="33">
        <f>'Balance Sheet'!D8</f>
        <v>291.91000000000003</v>
      </c>
      <c r="E7" s="33">
        <f>'Balance Sheet'!E8</f>
        <v>325.47000000000003</v>
      </c>
      <c r="F7" s="33">
        <f>'Balance Sheet'!F8</f>
        <v>0</v>
      </c>
      <c r="G7" s="33">
        <f>'Balance Sheet'!G8</f>
        <v>0</v>
      </c>
      <c r="H7" s="33">
        <f>'Balance Sheet'!H8</f>
        <v>0</v>
      </c>
      <c r="I7" s="33">
        <f>'Balance Sheet'!I8</f>
        <v>0</v>
      </c>
      <c r="J7" s="33">
        <f>'Balance Sheet'!J8</f>
        <v>0</v>
      </c>
      <c r="K7" s="33">
        <f>'Balance Sheet'!K8</f>
        <v>0</v>
      </c>
      <c r="L7" s="33">
        <f>'Balance Sheet'!L8</f>
        <v>0</v>
      </c>
      <c r="M7" s="33">
        <f>'Balance Sheet'!M8</f>
        <v>0</v>
      </c>
      <c r="N7" s="33">
        <f>'Balance Sheet'!N8</f>
        <v>0</v>
      </c>
      <c r="O7" s="33">
        <f>'Balance Sheet'!O8</f>
        <v>0</v>
      </c>
      <c r="P7" s="33">
        <f>'Balance Sheet'!P8</f>
        <v>0</v>
      </c>
      <c r="Q7" s="33">
        <f>'Balance Sheet'!Q8</f>
        <v>0</v>
      </c>
      <c r="R7" s="33">
        <f>'Balance Sheet'!R8</f>
        <v>0</v>
      </c>
    </row>
    <row r="8" spans="1:18" x14ac:dyDescent="0.25">
      <c r="A8" s="32" t="s">
        <v>147</v>
      </c>
      <c r="B8" s="33">
        <f>+'Balance Sheet'!B9</f>
        <v>0</v>
      </c>
      <c r="C8" s="33">
        <f>+'Balance Sheet'!C9</f>
        <v>0</v>
      </c>
      <c r="D8" s="33">
        <f>+'Balance Sheet'!D9</f>
        <v>0</v>
      </c>
      <c r="E8" s="33">
        <f>+'Balance Sheet'!E9</f>
        <v>0</v>
      </c>
      <c r="F8" s="33">
        <f>+'Balance Sheet'!F9</f>
        <v>-208.58999999999992</v>
      </c>
      <c r="G8" s="33">
        <f>+'Balance Sheet'!G9</f>
        <v>-66.710000000000036</v>
      </c>
      <c r="H8" s="33">
        <f>+'Balance Sheet'!H9</f>
        <v>35.730000000000018</v>
      </c>
      <c r="I8" s="33">
        <f>+'Balance Sheet'!I9</f>
        <v>108.3599999999999</v>
      </c>
      <c r="J8" s="33">
        <f>+'Balance Sheet'!J9</f>
        <v>167.58200000000005</v>
      </c>
      <c r="K8" s="33">
        <f>+'Balance Sheet'!K9</f>
        <v>182.14700000000005</v>
      </c>
      <c r="L8" s="33">
        <f>+'Balance Sheet'!L9</f>
        <v>236.02600000000007</v>
      </c>
      <c r="M8" s="33">
        <f>+'Balance Sheet'!M9</f>
        <v>266.59500000000008</v>
      </c>
      <c r="N8" s="33">
        <f>+'Balance Sheet'!N9</f>
        <v>298.26999999999992</v>
      </c>
      <c r="O8" s="33">
        <f>+'Balance Sheet'!O9</f>
        <v>332.45099999999991</v>
      </c>
      <c r="P8" s="33">
        <f>+'Balance Sheet'!P9</f>
        <v>368.16499999999985</v>
      </c>
      <c r="Q8" s="33">
        <f>+'Balance Sheet'!Q9</f>
        <v>406.48299999999989</v>
      </c>
      <c r="R8" s="33">
        <f>+'Balance Sheet'!R9</f>
        <v>440.46100000000018</v>
      </c>
    </row>
    <row r="9" spans="1:18" x14ac:dyDescent="0.25">
      <c r="A9" s="32" t="s">
        <v>57</v>
      </c>
      <c r="B9" s="33">
        <f>+'Balance Sheet'!B13</f>
        <v>0</v>
      </c>
      <c r="C9" s="33">
        <f>+'Debt Schedule '!B237</f>
        <v>280</v>
      </c>
      <c r="D9" s="33">
        <f>+'Debt Schedule '!C237</f>
        <v>840</v>
      </c>
      <c r="E9" s="33">
        <f>+'Debt Schedule '!D237</f>
        <v>880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</row>
    <row r="10" spans="1:18" x14ac:dyDescent="0.25">
      <c r="A10" s="32" t="s">
        <v>148</v>
      </c>
      <c r="B10" s="33">
        <f>Cost!C27/2</f>
        <v>0</v>
      </c>
      <c r="C10" s="33">
        <f>B10*2</f>
        <v>0</v>
      </c>
      <c r="D10" s="195">
        <v>0</v>
      </c>
      <c r="E10" s="150"/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</row>
    <row r="11" spans="1:18" x14ac:dyDescent="0.25">
      <c r="A11" s="32" t="s">
        <v>15</v>
      </c>
      <c r="B11" s="33">
        <f>+Profitability!C35</f>
        <v>0</v>
      </c>
      <c r="C11" s="33">
        <f>+Profitability!D35</f>
        <v>0</v>
      </c>
      <c r="D11" s="33">
        <f>+Profitability!E35</f>
        <v>0</v>
      </c>
      <c r="E11" s="33">
        <f>+Profitability!F35</f>
        <v>0</v>
      </c>
      <c r="F11" s="33">
        <f>+Profitability!G35</f>
        <v>313.44350000000003</v>
      </c>
      <c r="G11" s="33">
        <f>+Profitability!H35</f>
        <v>277.56232499999999</v>
      </c>
      <c r="H11" s="33">
        <f>+Profitability!I35</f>
        <v>246.53569125000001</v>
      </c>
      <c r="I11" s="33">
        <f>+Profitability!J35</f>
        <v>219.4538210625</v>
      </c>
      <c r="J11" s="33">
        <f>+Profitability!K35</f>
        <v>195.655307053125</v>
      </c>
      <c r="K11" s="33">
        <f>+Profitability!L35</f>
        <v>174.64116863015627</v>
      </c>
      <c r="L11" s="33">
        <f>+Profitability!M35</f>
        <v>156.02166784713279</v>
      </c>
      <c r="M11" s="33">
        <f>+Profitability!N35</f>
        <v>139.4829843144129</v>
      </c>
      <c r="N11" s="33">
        <f>+Profitability!O35</f>
        <v>124.76598239756595</v>
      </c>
      <c r="O11" s="33">
        <f>+Profitability!P35</f>
        <v>111.65238764545455</v>
      </c>
      <c r="P11" s="33">
        <f>+Profitability!Q35</f>
        <v>99.955542715551516</v>
      </c>
      <c r="Q11" s="33">
        <f>+Profitability!R35</f>
        <v>89.51402772552882</v>
      </c>
      <c r="R11" s="33">
        <f>+Profitability!S35</f>
        <v>80.187101055530363</v>
      </c>
    </row>
    <row r="12" spans="1:18" x14ac:dyDescent="0.25">
      <c r="A12" s="32" t="s">
        <v>243</v>
      </c>
      <c r="B12" s="33">
        <v>0</v>
      </c>
      <c r="C12" s="33">
        <v>0</v>
      </c>
      <c r="D12" s="195">
        <v>0</v>
      </c>
      <c r="E12" s="150">
        <v>0</v>
      </c>
      <c r="F12" s="150">
        <f>+Profitability!G38</f>
        <v>0</v>
      </c>
      <c r="G12" s="150">
        <f>+Profitability!H38</f>
        <v>0</v>
      </c>
      <c r="H12" s="150">
        <f>+Profitability!I38</f>
        <v>0</v>
      </c>
      <c r="I12" s="150">
        <f>+Profitability!J38</f>
        <v>0</v>
      </c>
      <c r="J12" s="150">
        <f>+Profitability!K38</f>
        <v>0</v>
      </c>
      <c r="K12" s="150">
        <f>+Profitability!L38</f>
        <v>0</v>
      </c>
      <c r="L12" s="150">
        <f>+Profitability!M38</f>
        <v>0</v>
      </c>
      <c r="M12" s="150">
        <f>+Profitability!N38</f>
        <v>0</v>
      </c>
      <c r="N12" s="150">
        <f>+Profitability!O38</f>
        <v>0</v>
      </c>
      <c r="O12" s="150">
        <f>+Profitability!P38</f>
        <v>0</v>
      </c>
      <c r="P12" s="150">
        <f>+Profitability!Q38</f>
        <v>0</v>
      </c>
      <c r="Q12" s="150">
        <f>+Profitability!R38</f>
        <v>0</v>
      </c>
      <c r="R12" s="150">
        <f>+Profitability!S38</f>
        <v>0</v>
      </c>
    </row>
    <row r="13" spans="1:18" x14ac:dyDescent="0.25">
      <c r="A13" s="32" t="s">
        <v>20</v>
      </c>
      <c r="B13" s="33">
        <v>0</v>
      </c>
      <c r="C13" s="33">
        <f>'Balance Sheet'!C15</f>
        <v>0</v>
      </c>
      <c r="D13" s="195">
        <f>'Balance Sheet'!D15-'Balance Sheet'!C15</f>
        <v>0</v>
      </c>
      <c r="E13" s="150">
        <f>'Balance Sheet'!E15-'Balance Sheet'!D15</f>
        <v>0</v>
      </c>
      <c r="F13" s="150">
        <f>'Balance Sheet'!F15-'Balance Sheet'!E15</f>
        <v>48.975958333333324</v>
      </c>
      <c r="G13" s="150">
        <f>'Balance Sheet'!G15-'Balance Sheet'!F15</f>
        <v>9.5363479166666778</v>
      </c>
      <c r="H13" s="150">
        <f>'Balance Sheet'!H15-'Balance Sheet'!G15</f>
        <v>7.4655528125000004</v>
      </c>
      <c r="I13" s="150">
        <f>'Balance Sheet'!I15-'Balance Sheet'!H15</f>
        <v>6.1018225156250026</v>
      </c>
      <c r="J13" s="150">
        <f>'Balance Sheet'!J15-'Balance Sheet'!I15</f>
        <v>6.5957095007812541</v>
      </c>
      <c r="K13" s="150">
        <f>'Balance Sheet'!K15-'Balance Sheet'!J15</f>
        <v>7.1270115352473908</v>
      </c>
      <c r="L13" s="150">
        <f>'Balance Sheet'!L15-'Balance Sheet'!K15</f>
        <v>7.7016250652519602</v>
      </c>
      <c r="M13" s="150">
        <f>'Balance Sheet'!M15-'Balance Sheet'!L15</f>
        <v>6.0898902943932995</v>
      </c>
      <c r="N13" s="150">
        <f>'Balance Sheet'!N15-'Balance Sheet'!M15</f>
        <v>6.5358576597372604</v>
      </c>
      <c r="O13" s="150">
        <f>'Balance Sheet'!O15-'Balance Sheet'!N15</f>
        <v>7.020157618231508</v>
      </c>
      <c r="P13" s="150">
        <f>'Balance Sheet'!P15-'Balance Sheet'!O15</f>
        <v>7.5412648552697021</v>
      </c>
      <c r="Q13" s="150">
        <f>'Balance Sheet'!Q15-'Balance Sheet'!P15</f>
        <v>8.1055845825018906</v>
      </c>
      <c r="R13" s="150">
        <f>'Balance Sheet'!R15-'Balance Sheet'!Q15</f>
        <v>8.7215938891665417</v>
      </c>
    </row>
    <row r="14" spans="1:18" x14ac:dyDescent="0.25">
      <c r="A14" s="144" t="s">
        <v>11</v>
      </c>
      <c r="B14" s="165">
        <f t="shared" ref="B14:R14" si="0">SUM(B7:B13)</f>
        <v>5</v>
      </c>
      <c r="C14" s="165">
        <f>SUM(C7:C13)</f>
        <v>592.54</v>
      </c>
      <c r="D14" s="165">
        <f t="shared" si="0"/>
        <v>1131.9100000000001</v>
      </c>
      <c r="E14" s="165">
        <f t="shared" si="0"/>
        <v>1205.47</v>
      </c>
      <c r="F14" s="165">
        <f t="shared" si="0"/>
        <v>153.82945833333343</v>
      </c>
      <c r="G14" s="165">
        <f t="shared" si="0"/>
        <v>220.38867291666662</v>
      </c>
      <c r="H14" s="165">
        <f t="shared" si="0"/>
        <v>289.73124406250002</v>
      </c>
      <c r="I14" s="165">
        <f t="shared" si="0"/>
        <v>333.9156435781249</v>
      </c>
      <c r="J14" s="165">
        <f t="shared" si="0"/>
        <v>369.8330165539063</v>
      </c>
      <c r="K14" s="165">
        <f t="shared" si="0"/>
        <v>363.91518016540368</v>
      </c>
      <c r="L14" s="165">
        <f t="shared" si="0"/>
        <v>399.74929291238482</v>
      </c>
      <c r="M14" s="165">
        <f t="shared" si="0"/>
        <v>412.1678746088063</v>
      </c>
      <c r="N14" s="165">
        <f t="shared" si="0"/>
        <v>429.57184005730312</v>
      </c>
      <c r="O14" s="165">
        <f t="shared" si="0"/>
        <v>451.12354526368597</v>
      </c>
      <c r="P14" s="165">
        <f t="shared" si="0"/>
        <v>475.66180757082111</v>
      </c>
      <c r="Q14" s="165">
        <f t="shared" si="0"/>
        <v>504.10261230803059</v>
      </c>
      <c r="R14" s="165">
        <f t="shared" si="0"/>
        <v>529.36969494469713</v>
      </c>
    </row>
    <row r="15" spans="1:18" x14ac:dyDescent="0.25">
      <c r="A15" s="38" t="s">
        <v>17</v>
      </c>
      <c r="B15" s="149"/>
      <c r="C15" s="149"/>
      <c r="D15" s="150"/>
      <c r="E15" s="150"/>
      <c r="F15" s="150"/>
      <c r="G15" s="150"/>
      <c r="H15" s="150"/>
      <c r="I15" s="150"/>
      <c r="J15" s="150"/>
      <c r="K15" s="150"/>
      <c r="L15" s="43"/>
      <c r="M15" s="43"/>
      <c r="N15" s="43"/>
    </row>
    <row r="16" spans="1:18" x14ac:dyDescent="0.25">
      <c r="A16" s="32" t="s">
        <v>21</v>
      </c>
      <c r="B16" s="33">
        <f>+Depreciation!C47</f>
        <v>5</v>
      </c>
      <c r="C16" s="33">
        <f>+Depreciation!D47-Depreciation!C47</f>
        <v>567.21</v>
      </c>
      <c r="D16" s="33">
        <f>+Depreciation!E47-Depreciation!D47</f>
        <v>1112.25</v>
      </c>
      <c r="E16" s="33">
        <f>+Depreciation!F47-Depreciation!E47</f>
        <v>1250.17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</row>
    <row r="17" spans="1:31" x14ac:dyDescent="0.25">
      <c r="A17" s="32" t="s">
        <v>434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95.619071041666615</v>
      </c>
      <c r="H17" s="33">
        <v>148.84187084375</v>
      </c>
      <c r="I17" s="33">
        <v>186.91270050468751</v>
      </c>
      <c r="J17" s="33">
        <v>170.3558615877343</v>
      </c>
      <c r="K17" s="33">
        <v>171.18419278244923</v>
      </c>
      <c r="L17" s="33">
        <v>200.64167170533594</v>
      </c>
      <c r="M17" s="33">
        <v>218.84896222616436</v>
      </c>
      <c r="N17" s="33">
        <v>179.26288804011227</v>
      </c>
      <c r="O17" s="33">
        <v>163.75348168458032</v>
      </c>
      <c r="P17" s="33">
        <v>150.89139863290825</v>
      </c>
      <c r="Q17" s="33">
        <v>120.36577861562144</v>
      </c>
      <c r="R17" s="387">
        <v>280.87443646128781</v>
      </c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</row>
    <row r="18" spans="1:31" x14ac:dyDescent="0.25">
      <c r="A18" s="32" t="s">
        <v>22</v>
      </c>
      <c r="B18" s="33">
        <v>0</v>
      </c>
      <c r="C18" s="33">
        <v>0</v>
      </c>
      <c r="D18" s="195">
        <f>'Balance Sheet'!D25-'Balance Sheet'!C25</f>
        <v>0</v>
      </c>
      <c r="E18" s="150">
        <f>'Balance Sheet'!E25-'Balance Sheet'!D25</f>
        <v>0</v>
      </c>
      <c r="F18" s="150">
        <v>97.353958333333338</v>
      </c>
      <c r="G18" s="150">
        <v>23.786041666666648</v>
      </c>
      <c r="H18" s="150">
        <v>17.101916666666682</v>
      </c>
      <c r="I18" s="150">
        <v>12.413958333333312</v>
      </c>
      <c r="J18" s="150">
        <v>13.311041666666711</v>
      </c>
      <c r="K18" s="150">
        <v>14.264041666666657</v>
      </c>
      <c r="L18" s="150">
        <v>15.280833333333334</v>
      </c>
      <c r="M18" s="150">
        <v>9.6758333333333155</v>
      </c>
      <c r="N18" s="150">
        <v>10.159625000000005</v>
      </c>
      <c r="O18" s="150">
        <v>10.667541666666665</v>
      </c>
      <c r="P18" s="150">
        <v>11.199624999999969</v>
      </c>
      <c r="Q18" s="150">
        <v>11.761166666666668</v>
      </c>
      <c r="R18" s="388">
        <v>12.348833333333346</v>
      </c>
      <c r="S18" s="22"/>
    </row>
    <row r="19" spans="1:31" x14ac:dyDescent="0.25">
      <c r="A19" s="32" t="s">
        <v>36</v>
      </c>
      <c r="B19" s="150">
        <v>0</v>
      </c>
      <c r="C19" s="150">
        <v>0</v>
      </c>
      <c r="D19" s="150">
        <v>0</v>
      </c>
      <c r="E19" s="150">
        <v>0</v>
      </c>
      <c r="F19" s="150">
        <f>+'Debt Schedule '!E238</f>
        <v>25</v>
      </c>
      <c r="G19" s="150">
        <f>+'Debt Schedule '!F238</f>
        <v>60</v>
      </c>
      <c r="H19" s="150">
        <f>+'Debt Schedule '!G238</f>
        <v>60</v>
      </c>
      <c r="I19" s="150">
        <f>+'Debt Schedule '!H238</f>
        <v>60</v>
      </c>
      <c r="J19" s="150">
        <f>+'Debt Schedule '!I238</f>
        <v>120</v>
      </c>
      <c r="K19" s="150">
        <f>+'Debt Schedule '!J238</f>
        <v>120</v>
      </c>
      <c r="L19" s="150">
        <f>+'Debt Schedule '!K238</f>
        <v>120</v>
      </c>
      <c r="M19" s="150">
        <f>+'Debt Schedule '!L238</f>
        <v>120</v>
      </c>
      <c r="N19" s="150">
        <f>+'Debt Schedule '!M238</f>
        <v>199.99919999999995</v>
      </c>
      <c r="O19" s="150">
        <f>+'Debt Schedule '!N238</f>
        <v>250.00000000000003</v>
      </c>
      <c r="P19" s="150">
        <f>+'Debt Schedule '!O238</f>
        <v>300</v>
      </c>
      <c r="Q19" s="150">
        <f>+'Debt Schedule '!P238</f>
        <v>380.00000000000011</v>
      </c>
      <c r="R19" s="388">
        <f>+'Debt Schedule '!Q238</f>
        <v>185.00000000000003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x14ac:dyDescent="0.25">
      <c r="A20" s="32" t="s">
        <v>23</v>
      </c>
      <c r="B20" s="33">
        <v>0</v>
      </c>
      <c r="C20" s="33">
        <v>0</v>
      </c>
      <c r="D20" s="150">
        <v>0</v>
      </c>
      <c r="E20" s="150">
        <v>0</v>
      </c>
      <c r="F20" s="150">
        <v>0</v>
      </c>
      <c r="G20" s="150">
        <v>0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0</v>
      </c>
      <c r="R20" s="150">
        <v>0</v>
      </c>
    </row>
    <row r="21" spans="1:31" x14ac:dyDescent="0.25">
      <c r="A21" s="144" t="s">
        <v>11</v>
      </c>
      <c r="B21" s="165">
        <f t="shared" ref="B21:K21" si="1">ROUND(SUM(B16:B20),2)</f>
        <v>5</v>
      </c>
      <c r="C21" s="165">
        <f t="shared" si="1"/>
        <v>567.21</v>
      </c>
      <c r="D21" s="165">
        <f t="shared" si="1"/>
        <v>1112.25</v>
      </c>
      <c r="E21" s="165">
        <f t="shared" si="1"/>
        <v>1250.17</v>
      </c>
      <c r="F21" s="165">
        <f t="shared" si="1"/>
        <v>122.35</v>
      </c>
      <c r="G21" s="165">
        <f t="shared" si="1"/>
        <v>179.41</v>
      </c>
      <c r="H21" s="165">
        <f t="shared" si="1"/>
        <v>225.94</v>
      </c>
      <c r="I21" s="165">
        <f t="shared" si="1"/>
        <v>259.33</v>
      </c>
      <c r="J21" s="165">
        <f t="shared" si="1"/>
        <v>303.67</v>
      </c>
      <c r="K21" s="165">
        <f t="shared" si="1"/>
        <v>305.45</v>
      </c>
      <c r="L21" s="165">
        <f t="shared" ref="L21:R21" si="2">ROUND(SUM(L16:L20),2)</f>
        <v>335.92</v>
      </c>
      <c r="M21" s="165">
        <f>ROUND(SUM(M16:M20),2)</f>
        <v>348.52</v>
      </c>
      <c r="N21" s="165">
        <f t="shared" si="2"/>
        <v>389.42</v>
      </c>
      <c r="O21" s="165">
        <f t="shared" si="2"/>
        <v>424.42</v>
      </c>
      <c r="P21" s="165">
        <f>ROUND(SUM(P16:P20),2)</f>
        <v>462.09</v>
      </c>
      <c r="Q21" s="165">
        <f t="shared" si="2"/>
        <v>512.13</v>
      </c>
      <c r="R21" s="165">
        <f t="shared" si="2"/>
        <v>478.22</v>
      </c>
    </row>
    <row r="22" spans="1:31" x14ac:dyDescent="0.25">
      <c r="A22" s="32" t="s">
        <v>24</v>
      </c>
      <c r="B22" s="33">
        <v>0</v>
      </c>
      <c r="C22" s="33">
        <f>B24</f>
        <v>0</v>
      </c>
      <c r="D22" s="150">
        <f>C24</f>
        <v>25.33</v>
      </c>
      <c r="E22" s="150">
        <f>D24</f>
        <v>44.99</v>
      </c>
      <c r="F22" s="150">
        <f t="shared" ref="F22:K22" si="3">E24</f>
        <v>0.28999999999999998</v>
      </c>
      <c r="G22" s="150">
        <f>F24</f>
        <v>31.77</v>
      </c>
      <c r="H22" s="150">
        <f t="shared" si="3"/>
        <v>72.75</v>
      </c>
      <c r="I22" s="150">
        <f t="shared" si="3"/>
        <v>136.54</v>
      </c>
      <c r="J22" s="150">
        <f t="shared" si="3"/>
        <v>211.13</v>
      </c>
      <c r="K22" s="150">
        <f t="shared" si="3"/>
        <v>277.29000000000002</v>
      </c>
      <c r="L22" s="150">
        <f>K24</f>
        <v>335.76</v>
      </c>
      <c r="M22" s="150">
        <f t="shared" ref="M22" si="4">L24</f>
        <v>399.59</v>
      </c>
      <c r="N22" s="150">
        <f t="shared" ref="N22" si="5">M24</f>
        <v>463.24</v>
      </c>
      <c r="O22" s="150">
        <f t="shared" ref="O22" si="6">N24</f>
        <v>503.39</v>
      </c>
      <c r="P22" s="150">
        <f t="shared" ref="P22" si="7">O24</f>
        <v>530.09</v>
      </c>
      <c r="Q22" s="150">
        <f t="shared" ref="Q22" si="8">P24</f>
        <v>543.66</v>
      </c>
      <c r="R22" s="150">
        <f t="shared" ref="R22" si="9">Q24</f>
        <v>535.63</v>
      </c>
    </row>
    <row r="23" spans="1:31" x14ac:dyDescent="0.25">
      <c r="A23" s="32" t="s">
        <v>25</v>
      </c>
      <c r="B23" s="33">
        <v>0</v>
      </c>
      <c r="C23" s="33">
        <f>C14-C21</f>
        <v>25.329999999999927</v>
      </c>
      <c r="D23" s="33">
        <f>D14-D21</f>
        <v>19.660000000000082</v>
      </c>
      <c r="E23" s="33">
        <f>E14-E21</f>
        <v>-44.700000000000045</v>
      </c>
      <c r="F23" s="33">
        <f t="shared" ref="F23:R23" si="10">F14-F21</f>
        <v>31.47945833333344</v>
      </c>
      <c r="G23" s="33">
        <f>G14-G21</f>
        <v>40.978672916666625</v>
      </c>
      <c r="H23" s="33">
        <f t="shared" si="10"/>
        <v>63.791244062500027</v>
      </c>
      <c r="I23" s="33">
        <f t="shared" si="10"/>
        <v>74.585643578124916</v>
      </c>
      <c r="J23" s="33">
        <f t="shared" si="10"/>
        <v>66.163016553906289</v>
      </c>
      <c r="K23" s="33">
        <f>K14-K21</f>
        <v>58.465180165403694</v>
      </c>
      <c r="L23" s="33">
        <f t="shared" si="10"/>
        <v>63.829292912384801</v>
      </c>
      <c r="M23" s="33">
        <f>M14-M21</f>
        <v>63.647874608806319</v>
      </c>
      <c r="N23" s="33">
        <f>N14-N21</f>
        <v>40.151840057303104</v>
      </c>
      <c r="O23" s="33">
        <f t="shared" si="10"/>
        <v>26.703545263685953</v>
      </c>
      <c r="P23" s="33">
        <f>P14-P21</f>
        <v>13.571807570821136</v>
      </c>
      <c r="Q23" s="33">
        <f t="shared" si="10"/>
        <v>-8.0273876919694089</v>
      </c>
      <c r="R23" s="33">
        <f t="shared" si="10"/>
        <v>51.149694944697103</v>
      </c>
    </row>
    <row r="24" spans="1:31" s="390" customFormat="1" x14ac:dyDescent="0.25">
      <c r="A24" s="384" t="s">
        <v>26</v>
      </c>
      <c r="B24" s="389">
        <f>ROUND(SUM(B22:B23),2)</f>
        <v>0</v>
      </c>
      <c r="C24" s="389">
        <f>ROUND(SUM(C22:C23),2)</f>
        <v>25.33</v>
      </c>
      <c r="D24" s="389">
        <f t="shared" ref="D24:R24" si="11">ROUND(SUM(D22:D23),2)</f>
        <v>44.99</v>
      </c>
      <c r="E24" s="389">
        <f t="shared" si="11"/>
        <v>0.28999999999999998</v>
      </c>
      <c r="F24" s="389">
        <f t="shared" si="11"/>
        <v>31.77</v>
      </c>
      <c r="G24" s="389">
        <f t="shared" si="11"/>
        <v>72.75</v>
      </c>
      <c r="H24" s="389">
        <f t="shared" si="11"/>
        <v>136.54</v>
      </c>
      <c r="I24" s="389">
        <f t="shared" si="11"/>
        <v>211.13</v>
      </c>
      <c r="J24" s="389">
        <f t="shared" si="11"/>
        <v>277.29000000000002</v>
      </c>
      <c r="K24" s="389">
        <f t="shared" si="11"/>
        <v>335.76</v>
      </c>
      <c r="L24" s="389">
        <f t="shared" si="11"/>
        <v>399.59</v>
      </c>
      <c r="M24" s="389">
        <f t="shared" si="11"/>
        <v>463.24</v>
      </c>
      <c r="N24" s="389">
        <f t="shared" si="11"/>
        <v>503.39</v>
      </c>
      <c r="O24" s="389">
        <f t="shared" si="11"/>
        <v>530.09</v>
      </c>
      <c r="P24" s="389">
        <f t="shared" si="11"/>
        <v>543.66</v>
      </c>
      <c r="Q24" s="389">
        <f t="shared" si="11"/>
        <v>535.63</v>
      </c>
      <c r="R24" s="389">
        <f t="shared" si="11"/>
        <v>586.78</v>
      </c>
    </row>
    <row r="25" spans="1:31" x14ac:dyDescent="0.25">
      <c r="A25" s="38" t="s">
        <v>44</v>
      </c>
      <c r="B25" s="32"/>
      <c r="C25" s="32"/>
      <c r="D25" s="33"/>
      <c r="E25" s="33"/>
      <c r="F25" s="33"/>
      <c r="G25" s="33"/>
      <c r="H25" s="33"/>
      <c r="I25" s="33"/>
      <c r="J25" s="33"/>
      <c r="K25" s="33"/>
      <c r="L25" s="50"/>
      <c r="M25" s="50"/>
      <c r="N25" s="50"/>
      <c r="O25" s="50"/>
      <c r="P25" s="50"/>
      <c r="Q25" s="50"/>
      <c r="R25" s="50"/>
    </row>
    <row r="26" spans="1:31" x14ac:dyDescent="0.25">
      <c r="A26" s="32" t="s">
        <v>32</v>
      </c>
      <c r="B26" s="33">
        <v>0</v>
      </c>
      <c r="C26" s="33">
        <f>Profitability!C43</f>
        <v>0</v>
      </c>
      <c r="D26" s="150">
        <v>0</v>
      </c>
      <c r="E26" s="150">
        <v>0</v>
      </c>
      <c r="F26" s="150">
        <f>+Profitability!G43</f>
        <v>-208.58999999999992</v>
      </c>
      <c r="G26" s="150">
        <f>+Profitability!H43</f>
        <v>-66.710000000000036</v>
      </c>
      <c r="H26" s="150">
        <f>+Profitability!I43</f>
        <v>35.730000000000018</v>
      </c>
      <c r="I26" s="150">
        <f>+Profitability!J43</f>
        <v>108.3599999999999</v>
      </c>
      <c r="J26" s="150">
        <f>+Profitability!K43</f>
        <v>167.58200000000005</v>
      </c>
      <c r="K26" s="150">
        <f>+Profitability!L43</f>
        <v>182.14700000000005</v>
      </c>
      <c r="L26" s="150">
        <f>+Profitability!M43</f>
        <v>236.02600000000007</v>
      </c>
      <c r="M26" s="150">
        <f>+Profitability!N43</f>
        <v>266.59500000000008</v>
      </c>
      <c r="N26" s="150">
        <f>+Profitability!O43</f>
        <v>298.26999999999992</v>
      </c>
      <c r="O26" s="150">
        <f>+Profitability!P43</f>
        <v>332.45099999999991</v>
      </c>
      <c r="P26" s="150">
        <f>+Profitability!Q43</f>
        <v>368.16499999999985</v>
      </c>
      <c r="Q26" s="150">
        <f>+Profitability!R43</f>
        <v>406.48299999999989</v>
      </c>
      <c r="R26" s="150">
        <f>+Profitability!S43</f>
        <v>440.46100000000018</v>
      </c>
    </row>
    <row r="27" spans="1:31" x14ac:dyDescent="0.25">
      <c r="A27" s="32" t="s">
        <v>33</v>
      </c>
      <c r="B27" s="33">
        <v>0</v>
      </c>
      <c r="C27" s="33">
        <f>C11</f>
        <v>0</v>
      </c>
      <c r="D27" s="150">
        <f>D11</f>
        <v>0</v>
      </c>
      <c r="E27" s="150">
        <f>E11</f>
        <v>0</v>
      </c>
      <c r="F27" s="150">
        <f>F11</f>
        <v>313.44350000000003</v>
      </c>
      <c r="G27" s="150">
        <f t="shared" ref="G27:R27" si="12">G11</f>
        <v>277.56232499999999</v>
      </c>
      <c r="H27" s="150">
        <f t="shared" si="12"/>
        <v>246.53569125000001</v>
      </c>
      <c r="I27" s="150">
        <f t="shared" si="12"/>
        <v>219.4538210625</v>
      </c>
      <c r="J27" s="150">
        <f t="shared" si="12"/>
        <v>195.655307053125</v>
      </c>
      <c r="K27" s="150">
        <f t="shared" si="12"/>
        <v>174.64116863015627</v>
      </c>
      <c r="L27" s="150">
        <f t="shared" si="12"/>
        <v>156.02166784713279</v>
      </c>
      <c r="M27" s="150">
        <f t="shared" si="12"/>
        <v>139.4829843144129</v>
      </c>
      <c r="N27" s="150">
        <f t="shared" si="12"/>
        <v>124.76598239756595</v>
      </c>
      <c r="O27" s="150">
        <f t="shared" si="12"/>
        <v>111.65238764545455</v>
      </c>
      <c r="P27" s="150">
        <f t="shared" si="12"/>
        <v>99.955542715551516</v>
      </c>
      <c r="Q27" s="150">
        <f t="shared" si="12"/>
        <v>89.51402772552882</v>
      </c>
      <c r="R27" s="150">
        <f t="shared" si="12"/>
        <v>80.187101055530363</v>
      </c>
    </row>
    <row r="28" spans="1:31" x14ac:dyDescent="0.25">
      <c r="A28" s="32" t="s">
        <v>241</v>
      </c>
      <c r="B28" s="33"/>
      <c r="C28" s="33"/>
      <c r="D28" s="150">
        <v>0</v>
      </c>
      <c r="E28" s="150">
        <v>0</v>
      </c>
      <c r="F28" s="150">
        <f>+Profitability!G38</f>
        <v>0</v>
      </c>
      <c r="G28" s="150">
        <f>+Profitability!H38</f>
        <v>0</v>
      </c>
      <c r="H28" s="150">
        <f>+Profitability!I38</f>
        <v>0</v>
      </c>
      <c r="I28" s="150">
        <f>+Profitability!J38</f>
        <v>0</v>
      </c>
      <c r="J28" s="150">
        <f>+Profitability!K38</f>
        <v>0</v>
      </c>
      <c r="K28" s="150">
        <f>+Profitability!L38</f>
        <v>0</v>
      </c>
      <c r="L28" s="150">
        <f>+Profitability!M38</f>
        <v>0</v>
      </c>
      <c r="M28" s="150">
        <f>+Profitability!N38</f>
        <v>0</v>
      </c>
      <c r="N28" s="150">
        <f>+Profitability!O38</f>
        <v>0</v>
      </c>
      <c r="O28" s="150">
        <f>+Profitability!P38</f>
        <v>0</v>
      </c>
      <c r="P28" s="150">
        <f>+Profitability!Q38</f>
        <v>0</v>
      </c>
      <c r="Q28" s="150">
        <f>+Profitability!R38</f>
        <v>0</v>
      </c>
      <c r="R28" s="150">
        <f>+Profitability!S38</f>
        <v>0</v>
      </c>
    </row>
    <row r="29" spans="1:31" x14ac:dyDescent="0.25">
      <c r="A29" s="32" t="s">
        <v>34</v>
      </c>
      <c r="B29" s="33">
        <v>0</v>
      </c>
      <c r="C29" s="33">
        <f>Profitability!C39</f>
        <v>0</v>
      </c>
      <c r="D29" s="150"/>
      <c r="E29" s="150"/>
      <c r="F29" s="150">
        <f>+Profitability!G39</f>
        <v>199.37500000000003</v>
      </c>
      <c r="G29" s="150">
        <f>+Profitability!H39</f>
        <v>194.25000000000003</v>
      </c>
      <c r="H29" s="150">
        <f>+Profitability!I39</f>
        <v>188.25</v>
      </c>
      <c r="I29" s="150">
        <f>+Profitability!J39</f>
        <v>182.25</v>
      </c>
      <c r="J29" s="150">
        <f>+Profitability!K39</f>
        <v>173</v>
      </c>
      <c r="K29" s="150">
        <f>+Profitability!L39</f>
        <v>161</v>
      </c>
      <c r="L29" s="150">
        <f>+Profitability!M39</f>
        <v>149</v>
      </c>
      <c r="M29" s="150">
        <f>+Profitability!N39</f>
        <v>137</v>
      </c>
      <c r="N29" s="150">
        <f>+Profitability!O39</f>
        <v>120.66671000000001</v>
      </c>
      <c r="O29" s="150">
        <f>+Profitability!P39</f>
        <v>97.958413333333326</v>
      </c>
      <c r="P29" s="150">
        <f>+Profitability!Q39</f>
        <v>70.250079999999969</v>
      </c>
      <c r="Q29" s="150">
        <f>+Profitability!R39</f>
        <v>35.91457999999998</v>
      </c>
      <c r="R29" s="150">
        <f>+Profitability!S39</f>
        <v>4.6223799999999793</v>
      </c>
    </row>
    <row r="30" spans="1:31" x14ac:dyDescent="0.25">
      <c r="A30" s="144" t="s">
        <v>35</v>
      </c>
      <c r="B30" s="165">
        <f>SUM(B26:B29)</f>
        <v>0</v>
      </c>
      <c r="C30" s="165">
        <f t="shared" ref="C30:R30" si="13">SUM(C26:C29)</f>
        <v>0</v>
      </c>
      <c r="D30" s="165">
        <f t="shared" si="13"/>
        <v>0</v>
      </c>
      <c r="E30" s="165">
        <f t="shared" si="13"/>
        <v>0</v>
      </c>
      <c r="F30" s="165">
        <f>SUM(F26:F29)</f>
        <v>304.22850000000017</v>
      </c>
      <c r="G30" s="165">
        <f t="shared" si="13"/>
        <v>405.10232499999995</v>
      </c>
      <c r="H30" s="165">
        <f t="shared" si="13"/>
        <v>470.51569125000003</v>
      </c>
      <c r="I30" s="165">
        <f t="shared" si="13"/>
        <v>510.06382106249987</v>
      </c>
      <c r="J30" s="165">
        <f t="shared" si="13"/>
        <v>536.23730705312505</v>
      </c>
      <c r="K30" s="165">
        <f t="shared" si="13"/>
        <v>517.78816863015629</v>
      </c>
      <c r="L30" s="165">
        <f t="shared" si="13"/>
        <v>541.04766784713286</v>
      </c>
      <c r="M30" s="165">
        <f t="shared" si="13"/>
        <v>543.07798431441302</v>
      </c>
      <c r="N30" s="165">
        <f t="shared" si="13"/>
        <v>543.7026923975659</v>
      </c>
      <c r="O30" s="165">
        <f t="shared" si="13"/>
        <v>542.0618009787878</v>
      </c>
      <c r="P30" s="165">
        <f t="shared" si="13"/>
        <v>538.37062271555135</v>
      </c>
      <c r="Q30" s="165">
        <f t="shared" si="13"/>
        <v>531.91160772552871</v>
      </c>
      <c r="R30" s="165">
        <f t="shared" si="13"/>
        <v>525.27048105553058</v>
      </c>
    </row>
    <row r="31" spans="1:31" x14ac:dyDescent="0.25">
      <c r="A31" s="32" t="s">
        <v>36</v>
      </c>
      <c r="B31" s="33">
        <v>0</v>
      </c>
      <c r="C31" s="33">
        <f t="shared" ref="C31:R31" si="14">C19</f>
        <v>0</v>
      </c>
      <c r="D31" s="150">
        <f t="shared" si="14"/>
        <v>0</v>
      </c>
      <c r="E31" s="150">
        <f t="shared" si="14"/>
        <v>0</v>
      </c>
      <c r="F31" s="150">
        <f t="shared" si="14"/>
        <v>25</v>
      </c>
      <c r="G31" s="150">
        <f t="shared" si="14"/>
        <v>60</v>
      </c>
      <c r="H31" s="150">
        <f t="shared" si="14"/>
        <v>60</v>
      </c>
      <c r="I31" s="150">
        <f t="shared" si="14"/>
        <v>60</v>
      </c>
      <c r="J31" s="150">
        <f t="shared" si="14"/>
        <v>120</v>
      </c>
      <c r="K31" s="150">
        <f t="shared" si="14"/>
        <v>120</v>
      </c>
      <c r="L31" s="150">
        <f t="shared" si="14"/>
        <v>120</v>
      </c>
      <c r="M31" s="150">
        <f t="shared" si="14"/>
        <v>120</v>
      </c>
      <c r="N31" s="150">
        <f t="shared" si="14"/>
        <v>199.99919999999995</v>
      </c>
      <c r="O31" s="150">
        <f t="shared" si="14"/>
        <v>250.00000000000003</v>
      </c>
      <c r="P31" s="150">
        <f t="shared" si="14"/>
        <v>300</v>
      </c>
      <c r="Q31" s="150">
        <f t="shared" si="14"/>
        <v>380.00000000000011</v>
      </c>
      <c r="R31" s="150">
        <f t="shared" si="14"/>
        <v>185.00000000000003</v>
      </c>
    </row>
    <row r="32" spans="1:31" x14ac:dyDescent="0.25">
      <c r="A32" s="32" t="s">
        <v>28</v>
      </c>
      <c r="B32" s="33">
        <v>0</v>
      </c>
      <c r="C32" s="33">
        <f>Profitability!C39</f>
        <v>0</v>
      </c>
      <c r="D32" s="150">
        <v>0</v>
      </c>
      <c r="E32" s="150">
        <v>0</v>
      </c>
      <c r="F32" s="150">
        <f>+Profitability!G39</f>
        <v>199.37500000000003</v>
      </c>
      <c r="G32" s="150">
        <f>+Profitability!H39</f>
        <v>194.25000000000003</v>
      </c>
      <c r="H32" s="150">
        <f>+Profitability!I39</f>
        <v>188.25</v>
      </c>
      <c r="I32" s="150">
        <f>+Profitability!J39</f>
        <v>182.25</v>
      </c>
      <c r="J32" s="150">
        <f>+Profitability!K39</f>
        <v>173</v>
      </c>
      <c r="K32" s="150">
        <f>+Profitability!L39</f>
        <v>161</v>
      </c>
      <c r="L32" s="150">
        <f>+Profitability!M39</f>
        <v>149</v>
      </c>
      <c r="M32" s="150">
        <f>+Profitability!N39</f>
        <v>137</v>
      </c>
      <c r="N32" s="150">
        <f>+Profitability!O39</f>
        <v>120.66671000000001</v>
      </c>
      <c r="O32" s="150">
        <f>+Profitability!P39</f>
        <v>97.958413333333326</v>
      </c>
      <c r="P32" s="150">
        <f>+Profitability!Q39</f>
        <v>70.250079999999969</v>
      </c>
      <c r="Q32" s="150">
        <f>+Profitability!R39</f>
        <v>35.91457999999998</v>
      </c>
      <c r="R32" s="150">
        <f>+Profitability!S39</f>
        <v>4.6223799999999793</v>
      </c>
    </row>
    <row r="33" spans="1:18" x14ac:dyDescent="0.25">
      <c r="A33" s="144" t="s">
        <v>37</v>
      </c>
      <c r="B33" s="165">
        <f>SUM(B31:B32)</f>
        <v>0</v>
      </c>
      <c r="C33" s="165">
        <f>SUM(C31:C32)</f>
        <v>0</v>
      </c>
      <c r="D33" s="165">
        <f t="shared" ref="D33:E33" si="15">SUM(D31:D32)</f>
        <v>0</v>
      </c>
      <c r="E33" s="165">
        <f t="shared" si="15"/>
        <v>0</v>
      </c>
      <c r="F33" s="165">
        <f>SUM(F31:F32)</f>
        <v>224.37500000000003</v>
      </c>
      <c r="G33" s="165">
        <f t="shared" ref="G33:R33" si="16">SUM(G31:G32)</f>
        <v>254.25000000000003</v>
      </c>
      <c r="H33" s="165">
        <f t="shared" si="16"/>
        <v>248.25</v>
      </c>
      <c r="I33" s="165">
        <f t="shared" si="16"/>
        <v>242.25</v>
      </c>
      <c r="J33" s="165">
        <f t="shared" si="16"/>
        <v>293</v>
      </c>
      <c r="K33" s="165">
        <f t="shared" si="16"/>
        <v>281</v>
      </c>
      <c r="L33" s="165">
        <f t="shared" si="16"/>
        <v>269</v>
      </c>
      <c r="M33" s="165">
        <f t="shared" si="16"/>
        <v>257</v>
      </c>
      <c r="N33" s="165">
        <f t="shared" si="16"/>
        <v>320.66590999999994</v>
      </c>
      <c r="O33" s="165">
        <f t="shared" si="16"/>
        <v>347.95841333333334</v>
      </c>
      <c r="P33" s="165">
        <f t="shared" si="16"/>
        <v>370.25007999999997</v>
      </c>
      <c r="Q33" s="165">
        <f t="shared" si="16"/>
        <v>415.91458000000011</v>
      </c>
      <c r="R33" s="165">
        <f t="shared" si="16"/>
        <v>189.62238000000002</v>
      </c>
    </row>
    <row r="34" spans="1:18" x14ac:dyDescent="0.25">
      <c r="A34" s="38" t="s">
        <v>437</v>
      </c>
      <c r="B34" s="38"/>
      <c r="C34" s="38"/>
      <c r="D34" s="39"/>
      <c r="E34" s="39"/>
      <c r="F34" s="39">
        <f>+F30/F33</f>
        <v>1.3558930362116997</v>
      </c>
      <c r="G34" s="39">
        <f t="shared" ref="G34:R34" si="17">+G30/G33</f>
        <v>1.5933228121927234</v>
      </c>
      <c r="H34" s="39">
        <f t="shared" si="17"/>
        <v>1.895330075528701</v>
      </c>
      <c r="I34" s="39">
        <f t="shared" si="17"/>
        <v>2.1055266091331264</v>
      </c>
      <c r="J34" s="39">
        <f t="shared" si="17"/>
        <v>1.8301614575191982</v>
      </c>
      <c r="K34" s="39">
        <f t="shared" si="17"/>
        <v>1.8426625218155028</v>
      </c>
      <c r="L34" s="39">
        <f t="shared" si="17"/>
        <v>2.0113296202495645</v>
      </c>
      <c r="M34" s="39">
        <f t="shared" si="17"/>
        <v>2.1131439078381828</v>
      </c>
      <c r="N34" s="39">
        <f t="shared" si="17"/>
        <v>1.6955425426967463</v>
      </c>
      <c r="O34" s="39">
        <f t="shared" si="17"/>
        <v>1.5578350176562894</v>
      </c>
      <c r="P34" s="39">
        <f t="shared" si="17"/>
        <v>1.4540729409580448</v>
      </c>
      <c r="Q34" s="39">
        <f t="shared" si="17"/>
        <v>1.2788962765516145</v>
      </c>
      <c r="R34" s="39">
        <f t="shared" si="17"/>
        <v>2.7700869541640101</v>
      </c>
    </row>
    <row r="35" spans="1:18" x14ac:dyDescent="0.25">
      <c r="A35" s="38" t="s">
        <v>278</v>
      </c>
      <c r="B35" s="443">
        <f>+SUM(B30:R30)/SUM(B33:R33)</f>
        <v>1.7528786668961991</v>
      </c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</row>
    <row r="36" spans="1:18" x14ac:dyDescent="0.25"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</sheetData>
  <mergeCells count="6">
    <mergeCell ref="B35:R35"/>
    <mergeCell ref="A4:A5"/>
    <mergeCell ref="B5:E5"/>
    <mergeCell ref="A1:R1"/>
    <mergeCell ref="A2:R2"/>
    <mergeCell ref="A3:R3"/>
  </mergeCells>
  <phoneticPr fontId="0" type="noConversion"/>
  <pageMargins left="0.7" right="0.7" top="0.75" bottom="0.75" header="0.3" footer="0.3"/>
  <pageSetup paperSize="9" scale="62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opLeftCell="A18" zoomScaleNormal="100" zoomScaleSheetLayoutView="85" workbookViewId="0">
      <selection activeCell="F20" sqref="F20"/>
    </sheetView>
  </sheetViews>
  <sheetFormatPr defaultColWidth="9.140625" defaultRowHeight="15" x14ac:dyDescent="0.25"/>
  <cols>
    <col min="1" max="1" width="18.28515625" style="10" customWidth="1"/>
    <col min="2" max="2" width="12.140625" style="10" customWidth="1"/>
    <col min="3" max="3" width="9.140625" style="10" customWidth="1"/>
    <col min="4" max="4" width="11.42578125" style="10" bestFit="1" customWidth="1"/>
    <col min="5" max="5" width="12" style="10" customWidth="1"/>
    <col min="6" max="6" width="11.85546875" style="10" customWidth="1"/>
    <col min="7" max="7" width="10.7109375" style="10" customWidth="1"/>
    <col min="8" max="8" width="8.42578125" style="10" bestFit="1" customWidth="1"/>
    <col min="9" max="16384" width="9.140625" style="10"/>
  </cols>
  <sheetData>
    <row r="1" spans="1:19" x14ac:dyDescent="0.25">
      <c r="A1" s="399" t="str">
        <f>+'Cash Flow'!A1:R1</f>
        <v>Vaayu Suites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278"/>
    </row>
    <row r="2" spans="1:19" x14ac:dyDescent="0.25">
      <c r="A2" s="450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</row>
    <row r="3" spans="1:19" x14ac:dyDescent="0.25">
      <c r="A3" s="449" t="s">
        <v>425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</row>
    <row r="5" spans="1:19" x14ac:dyDescent="0.25">
      <c r="A5" s="310" t="s">
        <v>409</v>
      </c>
      <c r="B5" s="310"/>
      <c r="C5" s="310"/>
      <c r="D5" s="310"/>
      <c r="E5" s="310"/>
      <c r="F5" s="310"/>
      <c r="G5" s="310"/>
      <c r="H5" s="310"/>
      <c r="I5" s="311"/>
      <c r="J5" s="312"/>
      <c r="K5" s="313"/>
      <c r="L5" s="313"/>
      <c r="M5" s="313"/>
      <c r="N5" s="312"/>
      <c r="O5" s="312"/>
      <c r="P5" s="312"/>
      <c r="Q5" s="312"/>
      <c r="R5" s="312"/>
      <c r="S5" s="313" t="s">
        <v>410</v>
      </c>
    </row>
    <row r="6" spans="1:19" x14ac:dyDescent="0.25">
      <c r="A6" s="314" t="s">
        <v>265</v>
      </c>
      <c r="B6" s="250" t="s">
        <v>98</v>
      </c>
      <c r="C6" s="250" t="s">
        <v>237</v>
      </c>
      <c r="D6" s="250" t="s">
        <v>238</v>
      </c>
      <c r="E6" s="250" t="s">
        <v>239</v>
      </c>
      <c r="F6" s="250" t="s">
        <v>143</v>
      </c>
      <c r="G6" s="250" t="s">
        <v>230</v>
      </c>
      <c r="H6" s="250" t="s">
        <v>231</v>
      </c>
      <c r="I6" s="250" t="s">
        <v>232</v>
      </c>
      <c r="J6" s="290" t="s">
        <v>233</v>
      </c>
      <c r="K6" s="290" t="s">
        <v>234</v>
      </c>
      <c r="L6" s="290" t="s">
        <v>235</v>
      </c>
      <c r="M6" s="290" t="s">
        <v>236</v>
      </c>
      <c r="N6" s="290" t="s">
        <v>388</v>
      </c>
      <c r="O6" s="290" t="s">
        <v>389</v>
      </c>
      <c r="P6" s="290" t="s">
        <v>390</v>
      </c>
      <c r="Q6" s="290" t="s">
        <v>391</v>
      </c>
      <c r="R6" s="290" t="s">
        <v>392</v>
      </c>
      <c r="S6" s="290" t="s">
        <v>393</v>
      </c>
    </row>
    <row r="7" spans="1:19" x14ac:dyDescent="0.25">
      <c r="A7" s="314"/>
      <c r="B7" s="152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</row>
    <row r="8" spans="1:19" x14ac:dyDescent="0.25">
      <c r="A8" s="314" t="s">
        <v>115</v>
      </c>
      <c r="B8" s="250"/>
      <c r="C8" s="315">
        <v>5</v>
      </c>
      <c r="D8" s="315">
        <v>5</v>
      </c>
      <c r="E8" s="315">
        <v>5</v>
      </c>
      <c r="F8" s="315">
        <v>5</v>
      </c>
      <c r="G8" s="315">
        <v>5</v>
      </c>
      <c r="H8" s="315">
        <v>5</v>
      </c>
      <c r="I8" s="315">
        <v>5</v>
      </c>
      <c r="J8" s="315">
        <v>5</v>
      </c>
      <c r="K8" s="315">
        <v>5</v>
      </c>
      <c r="L8" s="315">
        <v>5</v>
      </c>
      <c r="M8" s="315">
        <v>5</v>
      </c>
      <c r="N8" s="315">
        <v>5</v>
      </c>
      <c r="O8" s="315">
        <v>5</v>
      </c>
      <c r="P8" s="315">
        <v>5</v>
      </c>
      <c r="Q8" s="315">
        <v>5</v>
      </c>
      <c r="R8" s="315">
        <v>5</v>
      </c>
      <c r="S8" s="315">
        <v>5</v>
      </c>
    </row>
    <row r="9" spans="1:19" x14ac:dyDescent="0.25">
      <c r="A9" s="316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8"/>
      <c r="O9" s="318"/>
      <c r="P9" s="318"/>
      <c r="Q9" s="318"/>
      <c r="R9" s="318"/>
      <c r="S9" s="318"/>
    </row>
    <row r="10" spans="1:19" x14ac:dyDescent="0.25">
      <c r="A10" s="314" t="s">
        <v>411</v>
      </c>
      <c r="B10" s="319">
        <v>0.1</v>
      </c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</row>
    <row r="11" spans="1:19" x14ac:dyDescent="0.25">
      <c r="A11" s="229" t="s">
        <v>412</v>
      </c>
      <c r="B11" s="152"/>
      <c r="C11" s="321">
        <v>0</v>
      </c>
      <c r="D11" s="321">
        <f t="shared" ref="D11:S11" si="0">C15</f>
        <v>0</v>
      </c>
      <c r="E11" s="321">
        <f t="shared" si="0"/>
        <v>567.21</v>
      </c>
      <c r="F11" s="321">
        <f t="shared" si="0"/>
        <v>1679.46</v>
      </c>
      <c r="G11" s="321">
        <f t="shared" si="0"/>
        <v>2282.11</v>
      </c>
      <c r="H11" s="321">
        <f t="shared" si="0"/>
        <v>2053.8990000000003</v>
      </c>
      <c r="I11" s="321">
        <f t="shared" si="0"/>
        <v>1848.5091000000002</v>
      </c>
      <c r="J11" s="321">
        <f t="shared" si="0"/>
        <v>1663.6581900000001</v>
      </c>
      <c r="K11" s="321">
        <f t="shared" si="0"/>
        <v>1497.292371</v>
      </c>
      <c r="L11" s="321">
        <f t="shared" si="0"/>
        <v>1347.5631338999999</v>
      </c>
      <c r="M11" s="321">
        <f t="shared" si="0"/>
        <v>1212.8068205099999</v>
      </c>
      <c r="N11" s="321">
        <f t="shared" si="0"/>
        <v>1091.5261384589999</v>
      </c>
      <c r="O11" s="321">
        <f t="shared" si="0"/>
        <v>982.3735246130999</v>
      </c>
      <c r="P11" s="321">
        <f t="shared" si="0"/>
        <v>884.13617215178988</v>
      </c>
      <c r="Q11" s="321">
        <f t="shared" si="0"/>
        <v>795.72255493661089</v>
      </c>
      <c r="R11" s="321">
        <f t="shared" si="0"/>
        <v>716.15029944294974</v>
      </c>
      <c r="S11" s="321">
        <f t="shared" si="0"/>
        <v>644.53526949865477</v>
      </c>
    </row>
    <row r="12" spans="1:19" x14ac:dyDescent="0.25">
      <c r="A12" s="229" t="s">
        <v>413</v>
      </c>
      <c r="B12" s="152"/>
      <c r="C12" s="321">
        <v>0</v>
      </c>
      <c r="D12" s="321">
        <v>567.21</v>
      </c>
      <c r="E12" s="321">
        <v>1112.25</v>
      </c>
      <c r="F12" s="321">
        <v>602.65</v>
      </c>
      <c r="G12" s="321">
        <v>0</v>
      </c>
      <c r="H12" s="321">
        <v>0</v>
      </c>
      <c r="I12" s="321">
        <v>0</v>
      </c>
      <c r="J12" s="321">
        <v>0</v>
      </c>
      <c r="K12" s="321">
        <v>0</v>
      </c>
      <c r="L12" s="321">
        <v>0</v>
      </c>
      <c r="M12" s="321">
        <v>0</v>
      </c>
      <c r="N12" s="321">
        <v>0</v>
      </c>
      <c r="O12" s="321">
        <v>0</v>
      </c>
      <c r="P12" s="321">
        <v>0</v>
      </c>
      <c r="Q12" s="321">
        <v>0</v>
      </c>
      <c r="R12" s="321">
        <v>0</v>
      </c>
      <c r="S12" s="321">
        <v>0</v>
      </c>
    </row>
    <row r="13" spans="1:19" x14ac:dyDescent="0.25">
      <c r="A13" s="229" t="s">
        <v>11</v>
      </c>
      <c r="B13" s="152"/>
      <c r="C13" s="321">
        <f t="shared" ref="C13:S13" si="1">C11+C12</f>
        <v>0</v>
      </c>
      <c r="D13" s="321">
        <f t="shared" si="1"/>
        <v>567.21</v>
      </c>
      <c r="E13" s="321">
        <f t="shared" si="1"/>
        <v>1679.46</v>
      </c>
      <c r="F13" s="321">
        <f t="shared" si="1"/>
        <v>2282.11</v>
      </c>
      <c r="G13" s="321">
        <f t="shared" si="1"/>
        <v>2282.11</v>
      </c>
      <c r="H13" s="321">
        <f t="shared" si="1"/>
        <v>2053.8990000000003</v>
      </c>
      <c r="I13" s="321">
        <f t="shared" si="1"/>
        <v>1848.5091000000002</v>
      </c>
      <c r="J13" s="321">
        <f t="shared" si="1"/>
        <v>1663.6581900000001</v>
      </c>
      <c r="K13" s="321">
        <f t="shared" si="1"/>
        <v>1497.292371</v>
      </c>
      <c r="L13" s="321">
        <f t="shared" si="1"/>
        <v>1347.5631338999999</v>
      </c>
      <c r="M13" s="321">
        <f t="shared" si="1"/>
        <v>1212.8068205099999</v>
      </c>
      <c r="N13" s="321">
        <f t="shared" si="1"/>
        <v>1091.5261384589999</v>
      </c>
      <c r="O13" s="321">
        <f t="shared" si="1"/>
        <v>982.3735246130999</v>
      </c>
      <c r="P13" s="321">
        <f t="shared" si="1"/>
        <v>884.13617215178988</v>
      </c>
      <c r="Q13" s="321">
        <f t="shared" si="1"/>
        <v>795.72255493661089</v>
      </c>
      <c r="R13" s="321">
        <f t="shared" si="1"/>
        <v>716.15029944294974</v>
      </c>
      <c r="S13" s="321">
        <f t="shared" si="1"/>
        <v>644.53526949865477</v>
      </c>
    </row>
    <row r="14" spans="1:19" x14ac:dyDescent="0.25">
      <c r="A14" s="229" t="s">
        <v>414</v>
      </c>
      <c r="B14" s="152"/>
      <c r="C14" s="321">
        <v>0</v>
      </c>
      <c r="D14" s="321">
        <v>0</v>
      </c>
      <c r="E14" s="321">
        <v>0</v>
      </c>
      <c r="F14" s="321">
        <v>0</v>
      </c>
      <c r="G14" s="321">
        <f t="shared" ref="G14:S14" si="2">G13*10%</f>
        <v>228.21100000000001</v>
      </c>
      <c r="H14" s="321">
        <f t="shared" si="2"/>
        <v>205.38990000000004</v>
      </c>
      <c r="I14" s="321">
        <f t="shared" si="2"/>
        <v>184.85091000000003</v>
      </c>
      <c r="J14" s="321">
        <f t="shared" si="2"/>
        <v>166.36581900000002</v>
      </c>
      <c r="K14" s="321">
        <f t="shared" si="2"/>
        <v>149.72923710000001</v>
      </c>
      <c r="L14" s="321">
        <f t="shared" si="2"/>
        <v>134.75631339</v>
      </c>
      <c r="M14" s="321">
        <f t="shared" si="2"/>
        <v>121.28068205099999</v>
      </c>
      <c r="N14" s="321">
        <f t="shared" si="2"/>
        <v>109.15261384589999</v>
      </c>
      <c r="O14" s="321">
        <f t="shared" si="2"/>
        <v>98.237352461309996</v>
      </c>
      <c r="P14" s="321">
        <f t="shared" si="2"/>
        <v>88.413617215178988</v>
      </c>
      <c r="Q14" s="321">
        <f t="shared" si="2"/>
        <v>79.572255493661089</v>
      </c>
      <c r="R14" s="321">
        <f t="shared" si="2"/>
        <v>71.615029944294974</v>
      </c>
      <c r="S14" s="321">
        <f t="shared" si="2"/>
        <v>64.453526949865477</v>
      </c>
    </row>
    <row r="15" spans="1:19" x14ac:dyDescent="0.25">
      <c r="A15" s="314" t="s">
        <v>415</v>
      </c>
      <c r="B15" s="250"/>
      <c r="C15" s="322">
        <f t="shared" ref="C15:S15" si="3">C13-C14</f>
        <v>0</v>
      </c>
      <c r="D15" s="322">
        <f t="shared" si="3"/>
        <v>567.21</v>
      </c>
      <c r="E15" s="322">
        <f t="shared" si="3"/>
        <v>1679.46</v>
      </c>
      <c r="F15" s="322">
        <f t="shared" si="3"/>
        <v>2282.11</v>
      </c>
      <c r="G15" s="322">
        <f t="shared" si="3"/>
        <v>2053.8990000000003</v>
      </c>
      <c r="H15" s="322">
        <f t="shared" si="3"/>
        <v>1848.5091000000002</v>
      </c>
      <c r="I15" s="322">
        <f t="shared" si="3"/>
        <v>1663.6581900000001</v>
      </c>
      <c r="J15" s="322">
        <f t="shared" si="3"/>
        <v>1497.292371</v>
      </c>
      <c r="K15" s="322">
        <f t="shared" si="3"/>
        <v>1347.5631338999999</v>
      </c>
      <c r="L15" s="322">
        <f t="shared" si="3"/>
        <v>1212.8068205099999</v>
      </c>
      <c r="M15" s="322">
        <f t="shared" si="3"/>
        <v>1091.5261384589999</v>
      </c>
      <c r="N15" s="322">
        <f t="shared" si="3"/>
        <v>982.3735246130999</v>
      </c>
      <c r="O15" s="322">
        <f t="shared" si="3"/>
        <v>884.13617215178988</v>
      </c>
      <c r="P15" s="322">
        <f t="shared" si="3"/>
        <v>795.72255493661089</v>
      </c>
      <c r="Q15" s="322">
        <f t="shared" si="3"/>
        <v>716.15029944294974</v>
      </c>
      <c r="R15" s="322">
        <f t="shared" si="3"/>
        <v>644.53526949865477</v>
      </c>
      <c r="S15" s="322">
        <f t="shared" si="3"/>
        <v>580.08174254878929</v>
      </c>
    </row>
    <row r="16" spans="1:19" x14ac:dyDescent="0.25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5"/>
      <c r="O16" s="325"/>
      <c r="P16" s="325"/>
      <c r="Q16" s="325"/>
      <c r="R16" s="325"/>
      <c r="S16" s="325"/>
    </row>
    <row r="17" spans="1:19" x14ac:dyDescent="0.25">
      <c r="A17" s="314" t="s">
        <v>416</v>
      </c>
      <c r="B17" s="319">
        <v>0.15</v>
      </c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</row>
    <row r="18" spans="1:19" x14ac:dyDescent="0.25">
      <c r="A18" s="229" t="s">
        <v>412</v>
      </c>
      <c r="B18" s="319"/>
      <c r="C18" s="321">
        <v>0</v>
      </c>
      <c r="D18" s="321">
        <f t="shared" ref="D18:S18" si="4">C22</f>
        <v>0</v>
      </c>
      <c r="E18" s="321">
        <f t="shared" si="4"/>
        <v>0</v>
      </c>
      <c r="F18" s="321">
        <f t="shared" si="4"/>
        <v>0</v>
      </c>
      <c r="G18" s="321">
        <f t="shared" si="4"/>
        <v>292.42999999999995</v>
      </c>
      <c r="H18" s="321">
        <f t="shared" si="4"/>
        <v>248.56549999999996</v>
      </c>
      <c r="I18" s="321">
        <f t="shared" si="4"/>
        <v>211.28067499999997</v>
      </c>
      <c r="J18" s="321">
        <f t="shared" si="4"/>
        <v>179.58857374999997</v>
      </c>
      <c r="K18" s="321">
        <f t="shared" si="4"/>
        <v>152.65028768749997</v>
      </c>
      <c r="L18" s="321">
        <f t="shared" si="4"/>
        <v>129.75274453437498</v>
      </c>
      <c r="M18" s="321">
        <f t="shared" si="4"/>
        <v>110.28983285421873</v>
      </c>
      <c r="N18" s="321">
        <f t="shared" si="4"/>
        <v>93.746357926085921</v>
      </c>
      <c r="O18" s="321">
        <f t="shared" si="4"/>
        <v>79.684404237173027</v>
      </c>
      <c r="P18" s="321">
        <f t="shared" si="4"/>
        <v>67.731743601597074</v>
      </c>
      <c r="Q18" s="321">
        <f t="shared" si="4"/>
        <v>57.571982061357517</v>
      </c>
      <c r="R18" s="321">
        <f t="shared" si="4"/>
        <v>48.936184752153892</v>
      </c>
      <c r="S18" s="321">
        <f t="shared" si="4"/>
        <v>41.595757039330806</v>
      </c>
    </row>
    <row r="19" spans="1:19" x14ac:dyDescent="0.25">
      <c r="A19" s="229" t="s">
        <v>413</v>
      </c>
      <c r="B19" s="319"/>
      <c r="C19" s="321">
        <v>0</v>
      </c>
      <c r="D19" s="321">
        <v>0</v>
      </c>
      <c r="E19" s="321">
        <v>0</v>
      </c>
      <c r="F19" s="321">
        <f>311.96-19.53</f>
        <v>292.42999999999995</v>
      </c>
      <c r="G19" s="321">
        <v>0</v>
      </c>
      <c r="H19" s="321">
        <v>0</v>
      </c>
      <c r="I19" s="321">
        <v>0</v>
      </c>
      <c r="J19" s="321">
        <v>0</v>
      </c>
      <c r="K19" s="321">
        <v>0</v>
      </c>
      <c r="L19" s="321">
        <v>0</v>
      </c>
      <c r="M19" s="321">
        <v>0</v>
      </c>
      <c r="N19" s="321">
        <v>0</v>
      </c>
      <c r="O19" s="321">
        <v>0</v>
      </c>
      <c r="P19" s="321">
        <v>0</v>
      </c>
      <c r="Q19" s="321">
        <v>0</v>
      </c>
      <c r="R19" s="321">
        <v>0</v>
      </c>
      <c r="S19" s="321">
        <v>0</v>
      </c>
    </row>
    <row r="20" spans="1:19" x14ac:dyDescent="0.25">
      <c r="A20" s="229" t="s">
        <v>11</v>
      </c>
      <c r="B20" s="319"/>
      <c r="C20" s="321">
        <f t="shared" ref="C20:S20" si="5">C18+C19</f>
        <v>0</v>
      </c>
      <c r="D20" s="321">
        <f t="shared" si="5"/>
        <v>0</v>
      </c>
      <c r="E20" s="321">
        <f t="shared" si="5"/>
        <v>0</v>
      </c>
      <c r="F20" s="321">
        <f t="shared" si="5"/>
        <v>292.42999999999995</v>
      </c>
      <c r="G20" s="321">
        <f t="shared" si="5"/>
        <v>292.42999999999995</v>
      </c>
      <c r="H20" s="321">
        <f t="shared" si="5"/>
        <v>248.56549999999996</v>
      </c>
      <c r="I20" s="321">
        <f t="shared" si="5"/>
        <v>211.28067499999997</v>
      </c>
      <c r="J20" s="321">
        <f t="shared" si="5"/>
        <v>179.58857374999997</v>
      </c>
      <c r="K20" s="321">
        <f t="shared" si="5"/>
        <v>152.65028768749997</v>
      </c>
      <c r="L20" s="321">
        <f t="shared" si="5"/>
        <v>129.75274453437498</v>
      </c>
      <c r="M20" s="321">
        <f t="shared" si="5"/>
        <v>110.28983285421873</v>
      </c>
      <c r="N20" s="321">
        <f t="shared" si="5"/>
        <v>93.746357926085921</v>
      </c>
      <c r="O20" s="321">
        <f t="shared" si="5"/>
        <v>79.684404237173027</v>
      </c>
      <c r="P20" s="321">
        <f t="shared" si="5"/>
        <v>67.731743601597074</v>
      </c>
      <c r="Q20" s="321">
        <f t="shared" si="5"/>
        <v>57.571982061357517</v>
      </c>
      <c r="R20" s="321">
        <f t="shared" si="5"/>
        <v>48.936184752153892</v>
      </c>
      <c r="S20" s="321">
        <f t="shared" si="5"/>
        <v>41.595757039330806</v>
      </c>
    </row>
    <row r="21" spans="1:19" x14ac:dyDescent="0.25">
      <c r="A21" s="229" t="s">
        <v>414</v>
      </c>
      <c r="B21" s="319"/>
      <c r="C21" s="321">
        <v>0</v>
      </c>
      <c r="D21" s="321">
        <v>0</v>
      </c>
      <c r="E21" s="321">
        <v>0</v>
      </c>
      <c r="F21" s="321">
        <v>0</v>
      </c>
      <c r="G21" s="321">
        <f t="shared" ref="G21:S21" si="6">G20*15%</f>
        <v>43.864499999999992</v>
      </c>
      <c r="H21" s="321">
        <f t="shared" si="6"/>
        <v>37.284824999999991</v>
      </c>
      <c r="I21" s="321">
        <f t="shared" si="6"/>
        <v>31.692101249999993</v>
      </c>
      <c r="J21" s="321">
        <f t="shared" si="6"/>
        <v>26.938286062499994</v>
      </c>
      <c r="K21" s="321">
        <f t="shared" si="6"/>
        <v>22.897543153124996</v>
      </c>
      <c r="L21" s="321">
        <f t="shared" si="6"/>
        <v>19.462911680156246</v>
      </c>
      <c r="M21" s="321">
        <f t="shared" si="6"/>
        <v>16.54347492813281</v>
      </c>
      <c r="N21" s="321">
        <f t="shared" si="6"/>
        <v>14.061953688912888</v>
      </c>
      <c r="O21" s="321">
        <f t="shared" si="6"/>
        <v>11.952660635575954</v>
      </c>
      <c r="P21" s="321">
        <f t="shared" si="6"/>
        <v>10.159761540239561</v>
      </c>
      <c r="Q21" s="321">
        <f t="shared" si="6"/>
        <v>8.6357973092036264</v>
      </c>
      <c r="R21" s="321">
        <f t="shared" si="6"/>
        <v>7.3404277128230833</v>
      </c>
      <c r="S21" s="321">
        <f t="shared" si="6"/>
        <v>6.2393635558996206</v>
      </c>
    </row>
    <row r="22" spans="1:19" x14ac:dyDescent="0.25">
      <c r="A22" s="314" t="s">
        <v>415</v>
      </c>
      <c r="B22" s="327"/>
      <c r="C22" s="322">
        <f t="shared" ref="C22:S22" si="7">C20-C21</f>
        <v>0</v>
      </c>
      <c r="D22" s="322">
        <f t="shared" si="7"/>
        <v>0</v>
      </c>
      <c r="E22" s="322">
        <f t="shared" si="7"/>
        <v>0</v>
      </c>
      <c r="F22" s="322">
        <f t="shared" si="7"/>
        <v>292.42999999999995</v>
      </c>
      <c r="G22" s="322">
        <f t="shared" si="7"/>
        <v>248.56549999999996</v>
      </c>
      <c r="H22" s="322">
        <f t="shared" si="7"/>
        <v>211.28067499999997</v>
      </c>
      <c r="I22" s="322">
        <f t="shared" si="7"/>
        <v>179.58857374999997</v>
      </c>
      <c r="J22" s="322">
        <f t="shared" si="7"/>
        <v>152.65028768749997</v>
      </c>
      <c r="K22" s="322">
        <f t="shared" si="7"/>
        <v>129.75274453437498</v>
      </c>
      <c r="L22" s="322">
        <f t="shared" si="7"/>
        <v>110.28983285421873</v>
      </c>
      <c r="M22" s="322">
        <f t="shared" si="7"/>
        <v>93.746357926085921</v>
      </c>
      <c r="N22" s="322">
        <f t="shared" si="7"/>
        <v>79.684404237173027</v>
      </c>
      <c r="O22" s="322">
        <f t="shared" si="7"/>
        <v>67.731743601597074</v>
      </c>
      <c r="P22" s="322">
        <f t="shared" si="7"/>
        <v>57.571982061357517</v>
      </c>
      <c r="Q22" s="322">
        <f t="shared" si="7"/>
        <v>48.936184752153892</v>
      </c>
      <c r="R22" s="322">
        <f t="shared" si="7"/>
        <v>41.595757039330806</v>
      </c>
      <c r="S22" s="322">
        <f t="shared" si="7"/>
        <v>35.356393483431184</v>
      </c>
    </row>
    <row r="23" spans="1:19" x14ac:dyDescent="0.25">
      <c r="A23" s="323"/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5"/>
      <c r="O23" s="325"/>
      <c r="P23" s="325"/>
      <c r="Q23" s="325"/>
      <c r="R23" s="325"/>
      <c r="S23" s="325"/>
    </row>
    <row r="24" spans="1:19" x14ac:dyDescent="0.25">
      <c r="A24" s="314" t="s">
        <v>417</v>
      </c>
      <c r="B24" s="319">
        <v>0.4</v>
      </c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</row>
    <row r="25" spans="1:19" x14ac:dyDescent="0.25">
      <c r="A25" s="229" t="s">
        <v>412</v>
      </c>
      <c r="B25" s="319"/>
      <c r="C25" s="321">
        <v>0</v>
      </c>
      <c r="D25" s="321">
        <f t="shared" ref="D25:S25" si="8">C29</f>
        <v>0</v>
      </c>
      <c r="E25" s="321">
        <f t="shared" si="8"/>
        <v>0</v>
      </c>
      <c r="F25" s="321">
        <f t="shared" si="8"/>
        <v>0</v>
      </c>
      <c r="G25" s="321">
        <f t="shared" si="8"/>
        <v>19.53</v>
      </c>
      <c r="H25" s="321">
        <f t="shared" si="8"/>
        <v>11.718</v>
      </c>
      <c r="I25" s="321">
        <f t="shared" si="8"/>
        <v>7.0308000000000002</v>
      </c>
      <c r="J25" s="321">
        <f t="shared" si="8"/>
        <v>4.2184799999999996</v>
      </c>
      <c r="K25" s="321">
        <f t="shared" si="8"/>
        <v>2.5310879999999996</v>
      </c>
      <c r="L25" s="321">
        <f t="shared" si="8"/>
        <v>1.5186527999999997</v>
      </c>
      <c r="M25" s="321">
        <f t="shared" si="8"/>
        <v>0.91119167999999973</v>
      </c>
      <c r="N25" s="321">
        <f t="shared" si="8"/>
        <v>0.54671500799999984</v>
      </c>
      <c r="O25" s="321">
        <f t="shared" si="8"/>
        <v>0.32802900479999986</v>
      </c>
      <c r="P25" s="321">
        <f t="shared" si="8"/>
        <v>0.19681740287999991</v>
      </c>
      <c r="Q25" s="321">
        <f t="shared" si="8"/>
        <v>0.11809044172799994</v>
      </c>
      <c r="R25" s="321">
        <f t="shared" si="8"/>
        <v>7.0854265036799965E-2</v>
      </c>
      <c r="S25" s="321">
        <f t="shared" si="8"/>
        <v>4.2512559022079982E-2</v>
      </c>
    </row>
    <row r="26" spans="1:19" x14ac:dyDescent="0.25">
      <c r="A26" s="229" t="s">
        <v>413</v>
      </c>
      <c r="B26" s="152"/>
      <c r="C26" s="321">
        <v>0</v>
      </c>
      <c r="D26" s="321">
        <v>0</v>
      </c>
      <c r="E26" s="321">
        <v>0</v>
      </c>
      <c r="F26" s="321">
        <v>19.53</v>
      </c>
      <c r="G26" s="321">
        <v>0</v>
      </c>
      <c r="H26" s="321">
        <v>0</v>
      </c>
      <c r="I26" s="321">
        <v>0</v>
      </c>
      <c r="J26" s="321">
        <v>0</v>
      </c>
      <c r="K26" s="321">
        <v>0</v>
      </c>
      <c r="L26" s="321">
        <v>0</v>
      </c>
      <c r="M26" s="321">
        <v>0</v>
      </c>
      <c r="N26" s="321">
        <v>0</v>
      </c>
      <c r="O26" s="321">
        <v>0</v>
      </c>
      <c r="P26" s="321">
        <v>0</v>
      </c>
      <c r="Q26" s="321">
        <v>0</v>
      </c>
      <c r="R26" s="321">
        <v>0</v>
      </c>
      <c r="S26" s="321">
        <v>0</v>
      </c>
    </row>
    <row r="27" spans="1:19" x14ac:dyDescent="0.25">
      <c r="A27" s="229" t="s">
        <v>11</v>
      </c>
      <c r="B27" s="152"/>
      <c r="C27" s="321">
        <f t="shared" ref="C27:S27" si="9">C25+C26</f>
        <v>0</v>
      </c>
      <c r="D27" s="321">
        <f t="shared" si="9"/>
        <v>0</v>
      </c>
      <c r="E27" s="321">
        <f t="shared" si="9"/>
        <v>0</v>
      </c>
      <c r="F27" s="321">
        <f t="shared" si="9"/>
        <v>19.53</v>
      </c>
      <c r="G27" s="321">
        <f t="shared" si="9"/>
        <v>19.53</v>
      </c>
      <c r="H27" s="321">
        <f t="shared" si="9"/>
        <v>11.718</v>
      </c>
      <c r="I27" s="321">
        <f t="shared" si="9"/>
        <v>7.0308000000000002</v>
      </c>
      <c r="J27" s="321">
        <f t="shared" si="9"/>
        <v>4.2184799999999996</v>
      </c>
      <c r="K27" s="321">
        <f t="shared" si="9"/>
        <v>2.5310879999999996</v>
      </c>
      <c r="L27" s="321">
        <f t="shared" si="9"/>
        <v>1.5186527999999997</v>
      </c>
      <c r="M27" s="321">
        <f t="shared" si="9"/>
        <v>0.91119167999999973</v>
      </c>
      <c r="N27" s="321">
        <f t="shared" si="9"/>
        <v>0.54671500799999984</v>
      </c>
      <c r="O27" s="321">
        <f t="shared" si="9"/>
        <v>0.32802900479999986</v>
      </c>
      <c r="P27" s="321">
        <f t="shared" si="9"/>
        <v>0.19681740287999991</v>
      </c>
      <c r="Q27" s="321">
        <f t="shared" si="9"/>
        <v>0.11809044172799994</v>
      </c>
      <c r="R27" s="321">
        <f t="shared" si="9"/>
        <v>7.0854265036799965E-2</v>
      </c>
      <c r="S27" s="321">
        <f t="shared" si="9"/>
        <v>4.2512559022079982E-2</v>
      </c>
    </row>
    <row r="28" spans="1:19" x14ac:dyDescent="0.25">
      <c r="A28" s="229" t="s">
        <v>414</v>
      </c>
      <c r="B28" s="152"/>
      <c r="C28" s="321">
        <v>0</v>
      </c>
      <c r="D28" s="321">
        <v>0</v>
      </c>
      <c r="E28" s="321">
        <v>0</v>
      </c>
      <c r="F28" s="321">
        <v>0</v>
      </c>
      <c r="G28" s="321">
        <f t="shared" ref="G28:S28" si="10">G27*40%</f>
        <v>7.8120000000000012</v>
      </c>
      <c r="H28" s="321">
        <f t="shared" si="10"/>
        <v>4.6871999999999998</v>
      </c>
      <c r="I28" s="321">
        <f t="shared" si="10"/>
        <v>2.8123200000000002</v>
      </c>
      <c r="J28" s="321">
        <f t="shared" si="10"/>
        <v>1.687392</v>
      </c>
      <c r="K28" s="321">
        <f t="shared" si="10"/>
        <v>1.0124351999999999</v>
      </c>
      <c r="L28" s="321">
        <f t="shared" si="10"/>
        <v>0.60746111999999997</v>
      </c>
      <c r="M28" s="321">
        <f t="shared" si="10"/>
        <v>0.36447667199999989</v>
      </c>
      <c r="N28" s="321">
        <f t="shared" si="10"/>
        <v>0.21868600319999995</v>
      </c>
      <c r="O28" s="321">
        <f t="shared" si="10"/>
        <v>0.13121160191999995</v>
      </c>
      <c r="P28" s="321">
        <f t="shared" si="10"/>
        <v>7.8726961151999966E-2</v>
      </c>
      <c r="Q28" s="321">
        <f t="shared" si="10"/>
        <v>4.7236176691199977E-2</v>
      </c>
      <c r="R28" s="321">
        <f t="shared" si="10"/>
        <v>2.8341706014719987E-2</v>
      </c>
      <c r="S28" s="321">
        <f t="shared" si="10"/>
        <v>1.7005023608831993E-2</v>
      </c>
    </row>
    <row r="29" spans="1:19" x14ac:dyDescent="0.25">
      <c r="A29" s="314" t="s">
        <v>415</v>
      </c>
      <c r="B29" s="250"/>
      <c r="C29" s="322">
        <f t="shared" ref="C29:S29" si="11">C27-C28</f>
        <v>0</v>
      </c>
      <c r="D29" s="322">
        <f t="shared" si="11"/>
        <v>0</v>
      </c>
      <c r="E29" s="322">
        <f t="shared" si="11"/>
        <v>0</v>
      </c>
      <c r="F29" s="322">
        <f t="shared" si="11"/>
        <v>19.53</v>
      </c>
      <c r="G29" s="322">
        <f t="shared" si="11"/>
        <v>11.718</v>
      </c>
      <c r="H29" s="322">
        <f t="shared" si="11"/>
        <v>7.0308000000000002</v>
      </c>
      <c r="I29" s="322">
        <f t="shared" si="11"/>
        <v>4.2184799999999996</v>
      </c>
      <c r="J29" s="322">
        <f t="shared" si="11"/>
        <v>2.5310879999999996</v>
      </c>
      <c r="K29" s="322">
        <f t="shared" si="11"/>
        <v>1.5186527999999997</v>
      </c>
      <c r="L29" s="322">
        <f t="shared" si="11"/>
        <v>0.91119167999999973</v>
      </c>
      <c r="M29" s="322">
        <f t="shared" si="11"/>
        <v>0.54671500799999984</v>
      </c>
      <c r="N29" s="322">
        <f t="shared" si="11"/>
        <v>0.32802900479999986</v>
      </c>
      <c r="O29" s="322">
        <f t="shared" si="11"/>
        <v>0.19681740287999991</v>
      </c>
      <c r="P29" s="322">
        <f t="shared" si="11"/>
        <v>0.11809044172799994</v>
      </c>
      <c r="Q29" s="322">
        <f t="shared" si="11"/>
        <v>7.0854265036799965E-2</v>
      </c>
      <c r="R29" s="322">
        <f t="shared" si="11"/>
        <v>4.2512559022079982E-2</v>
      </c>
      <c r="S29" s="322">
        <f t="shared" si="11"/>
        <v>2.5507535413247989E-2</v>
      </c>
    </row>
    <row r="30" spans="1:19" x14ac:dyDescent="0.25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</row>
    <row r="31" spans="1:19" x14ac:dyDescent="0.25">
      <c r="A31" s="314" t="s">
        <v>418</v>
      </c>
      <c r="B31" s="319">
        <v>0.1</v>
      </c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</row>
    <row r="32" spans="1:19" x14ac:dyDescent="0.25">
      <c r="A32" s="229" t="s">
        <v>412</v>
      </c>
      <c r="B32" s="152"/>
      <c r="C32" s="321">
        <v>0</v>
      </c>
      <c r="D32" s="321">
        <f t="shared" ref="D32:S32" si="12">C36</f>
        <v>0</v>
      </c>
      <c r="E32" s="321">
        <f t="shared" si="12"/>
        <v>0</v>
      </c>
      <c r="F32" s="321">
        <f t="shared" si="12"/>
        <v>0</v>
      </c>
      <c r="G32" s="321">
        <f t="shared" si="12"/>
        <v>335.56</v>
      </c>
      <c r="H32" s="321">
        <f t="shared" si="12"/>
        <v>302.00400000000002</v>
      </c>
      <c r="I32" s="321">
        <f t="shared" si="12"/>
        <v>271.80360000000002</v>
      </c>
      <c r="J32" s="321">
        <f t="shared" si="12"/>
        <v>244.62324000000001</v>
      </c>
      <c r="K32" s="321">
        <f t="shared" si="12"/>
        <v>220.16091600000001</v>
      </c>
      <c r="L32" s="321">
        <f t="shared" si="12"/>
        <v>198.1448244</v>
      </c>
      <c r="M32" s="321">
        <f t="shared" si="12"/>
        <v>178.33034196</v>
      </c>
      <c r="N32" s="321">
        <f t="shared" si="12"/>
        <v>160.497307764</v>
      </c>
      <c r="O32" s="321">
        <f t="shared" si="12"/>
        <v>144.4475769876</v>
      </c>
      <c r="P32" s="321">
        <f t="shared" si="12"/>
        <v>130.00281928883999</v>
      </c>
      <c r="Q32" s="321">
        <f t="shared" si="12"/>
        <v>117.00253735995599</v>
      </c>
      <c r="R32" s="321">
        <f t="shared" si="12"/>
        <v>105.30228362396039</v>
      </c>
      <c r="S32" s="321">
        <f t="shared" si="12"/>
        <v>94.772055261564347</v>
      </c>
    </row>
    <row r="33" spans="1:19" x14ac:dyDescent="0.25">
      <c r="A33" s="229" t="s">
        <v>413</v>
      </c>
      <c r="B33" s="152"/>
      <c r="C33" s="321">
        <v>0</v>
      </c>
      <c r="D33" s="321">
        <v>0</v>
      </c>
      <c r="E33" s="321">
        <v>0</v>
      </c>
      <c r="F33" s="321">
        <v>335.56</v>
      </c>
      <c r="G33" s="321">
        <v>0</v>
      </c>
      <c r="H33" s="321">
        <v>0</v>
      </c>
      <c r="I33" s="321">
        <v>0</v>
      </c>
      <c r="J33" s="321">
        <v>0</v>
      </c>
      <c r="K33" s="321">
        <v>0</v>
      </c>
      <c r="L33" s="321">
        <v>0</v>
      </c>
      <c r="M33" s="321">
        <v>0</v>
      </c>
      <c r="N33" s="321">
        <v>0</v>
      </c>
      <c r="O33" s="321">
        <v>0</v>
      </c>
      <c r="P33" s="321">
        <v>0</v>
      </c>
      <c r="Q33" s="321">
        <v>0</v>
      </c>
      <c r="R33" s="321">
        <v>0</v>
      </c>
      <c r="S33" s="321">
        <v>0</v>
      </c>
    </row>
    <row r="34" spans="1:19" x14ac:dyDescent="0.25">
      <c r="A34" s="229" t="s">
        <v>11</v>
      </c>
      <c r="B34" s="152"/>
      <c r="C34" s="321">
        <f t="shared" ref="C34:S34" si="13">C32+C33</f>
        <v>0</v>
      </c>
      <c r="D34" s="321">
        <f t="shared" si="13"/>
        <v>0</v>
      </c>
      <c r="E34" s="321">
        <f t="shared" si="13"/>
        <v>0</v>
      </c>
      <c r="F34" s="321">
        <f t="shared" si="13"/>
        <v>335.56</v>
      </c>
      <c r="G34" s="321">
        <f t="shared" si="13"/>
        <v>335.56</v>
      </c>
      <c r="H34" s="321">
        <f t="shared" si="13"/>
        <v>302.00400000000002</v>
      </c>
      <c r="I34" s="321">
        <f t="shared" si="13"/>
        <v>271.80360000000002</v>
      </c>
      <c r="J34" s="321">
        <f t="shared" si="13"/>
        <v>244.62324000000001</v>
      </c>
      <c r="K34" s="321">
        <f t="shared" si="13"/>
        <v>220.16091600000001</v>
      </c>
      <c r="L34" s="321">
        <f t="shared" si="13"/>
        <v>198.1448244</v>
      </c>
      <c r="M34" s="321">
        <f t="shared" si="13"/>
        <v>178.33034196</v>
      </c>
      <c r="N34" s="321">
        <f t="shared" si="13"/>
        <v>160.497307764</v>
      </c>
      <c r="O34" s="321">
        <f t="shared" si="13"/>
        <v>144.4475769876</v>
      </c>
      <c r="P34" s="321">
        <f t="shared" si="13"/>
        <v>130.00281928883999</v>
      </c>
      <c r="Q34" s="321">
        <f t="shared" si="13"/>
        <v>117.00253735995599</v>
      </c>
      <c r="R34" s="321">
        <f t="shared" si="13"/>
        <v>105.30228362396039</v>
      </c>
      <c r="S34" s="321">
        <f t="shared" si="13"/>
        <v>94.772055261564347</v>
      </c>
    </row>
    <row r="35" spans="1:19" x14ac:dyDescent="0.25">
      <c r="A35" s="229" t="s">
        <v>414</v>
      </c>
      <c r="B35" s="152"/>
      <c r="C35" s="321">
        <v>0</v>
      </c>
      <c r="D35" s="321">
        <v>0</v>
      </c>
      <c r="E35" s="321">
        <v>0</v>
      </c>
      <c r="F35" s="321">
        <v>0</v>
      </c>
      <c r="G35" s="321">
        <f t="shared" ref="G35:S35" si="14">G34*10%</f>
        <v>33.556000000000004</v>
      </c>
      <c r="H35" s="321">
        <f t="shared" si="14"/>
        <v>30.200400000000002</v>
      </c>
      <c r="I35" s="321">
        <f t="shared" si="14"/>
        <v>27.180360000000004</v>
      </c>
      <c r="J35" s="321">
        <f t="shared" si="14"/>
        <v>24.462324000000002</v>
      </c>
      <c r="K35" s="321">
        <f t="shared" si="14"/>
        <v>22.016091600000003</v>
      </c>
      <c r="L35" s="321">
        <f t="shared" si="14"/>
        <v>19.814482440000003</v>
      </c>
      <c r="M35" s="321">
        <f t="shared" si="14"/>
        <v>17.833034196</v>
      </c>
      <c r="N35" s="321">
        <f t="shared" si="14"/>
        <v>16.049730776400001</v>
      </c>
      <c r="O35" s="321">
        <f t="shared" si="14"/>
        <v>14.44475769876</v>
      </c>
      <c r="P35" s="321">
        <f t="shared" si="14"/>
        <v>13.000281928884</v>
      </c>
      <c r="Q35" s="321">
        <f t="shared" si="14"/>
        <v>11.7002537359956</v>
      </c>
      <c r="R35" s="321">
        <f t="shared" si="14"/>
        <v>10.53022836239604</v>
      </c>
      <c r="S35" s="321">
        <f t="shared" si="14"/>
        <v>9.4772055261564354</v>
      </c>
    </row>
    <row r="36" spans="1:19" x14ac:dyDescent="0.25">
      <c r="A36" s="314" t="s">
        <v>415</v>
      </c>
      <c r="B36" s="250"/>
      <c r="C36" s="322">
        <f t="shared" ref="C36:S36" si="15">C34-C35</f>
        <v>0</v>
      </c>
      <c r="D36" s="322">
        <f t="shared" si="15"/>
        <v>0</v>
      </c>
      <c r="E36" s="322">
        <f t="shared" si="15"/>
        <v>0</v>
      </c>
      <c r="F36" s="322">
        <f t="shared" si="15"/>
        <v>335.56</v>
      </c>
      <c r="G36" s="322">
        <f t="shared" si="15"/>
        <v>302.00400000000002</v>
      </c>
      <c r="H36" s="322">
        <f t="shared" si="15"/>
        <v>271.80360000000002</v>
      </c>
      <c r="I36" s="322">
        <f t="shared" si="15"/>
        <v>244.62324000000001</v>
      </c>
      <c r="J36" s="322">
        <f t="shared" si="15"/>
        <v>220.16091600000001</v>
      </c>
      <c r="K36" s="322">
        <f t="shared" si="15"/>
        <v>198.1448244</v>
      </c>
      <c r="L36" s="322">
        <f t="shared" si="15"/>
        <v>178.33034196</v>
      </c>
      <c r="M36" s="322">
        <f t="shared" si="15"/>
        <v>160.497307764</v>
      </c>
      <c r="N36" s="322">
        <f t="shared" si="15"/>
        <v>144.4475769876</v>
      </c>
      <c r="O36" s="322">
        <f t="shared" si="15"/>
        <v>130.00281928883999</v>
      </c>
      <c r="P36" s="322">
        <f t="shared" si="15"/>
        <v>117.00253735995599</v>
      </c>
      <c r="Q36" s="322">
        <f t="shared" si="15"/>
        <v>105.30228362396039</v>
      </c>
      <c r="R36" s="322">
        <f t="shared" si="15"/>
        <v>94.772055261564347</v>
      </c>
      <c r="S36" s="322">
        <f t="shared" si="15"/>
        <v>85.294849735407908</v>
      </c>
    </row>
    <row r="37" spans="1:19" x14ac:dyDescent="0.25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</row>
    <row r="38" spans="1:19" x14ac:dyDescent="0.25">
      <c r="A38" s="314" t="s">
        <v>419</v>
      </c>
      <c r="B38" s="250"/>
      <c r="C38" s="328">
        <f t="shared" ref="C38:S38" si="16">C14+C21+C28+C35</f>
        <v>0</v>
      </c>
      <c r="D38" s="328">
        <f t="shared" si="16"/>
        <v>0</v>
      </c>
      <c r="E38" s="328">
        <f t="shared" si="16"/>
        <v>0</v>
      </c>
      <c r="F38" s="328">
        <f t="shared" si="16"/>
        <v>0</v>
      </c>
      <c r="G38" s="328">
        <f t="shared" si="16"/>
        <v>313.44350000000003</v>
      </c>
      <c r="H38" s="328">
        <f t="shared" si="16"/>
        <v>277.56232499999999</v>
      </c>
      <c r="I38" s="328">
        <f t="shared" si="16"/>
        <v>246.53569125000001</v>
      </c>
      <c r="J38" s="328">
        <f t="shared" si="16"/>
        <v>219.4538210625</v>
      </c>
      <c r="K38" s="328">
        <f t="shared" si="16"/>
        <v>195.655307053125</v>
      </c>
      <c r="L38" s="328">
        <f t="shared" si="16"/>
        <v>174.64116863015627</v>
      </c>
      <c r="M38" s="328">
        <f t="shared" si="16"/>
        <v>156.02166784713279</v>
      </c>
      <c r="N38" s="328">
        <f t="shared" si="16"/>
        <v>139.4829843144129</v>
      </c>
      <c r="O38" s="328">
        <f t="shared" si="16"/>
        <v>124.76598239756595</v>
      </c>
      <c r="P38" s="328">
        <f t="shared" si="16"/>
        <v>111.65238764545455</v>
      </c>
      <c r="Q38" s="328">
        <f t="shared" si="16"/>
        <v>99.955542715551516</v>
      </c>
      <c r="R38" s="328">
        <f t="shared" si="16"/>
        <v>89.51402772552882</v>
      </c>
      <c r="S38" s="328">
        <f t="shared" si="16"/>
        <v>80.187101055530363</v>
      </c>
    </row>
    <row r="39" spans="1:19" x14ac:dyDescent="0.25">
      <c r="A39" s="312"/>
      <c r="B39" s="312"/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</row>
    <row r="40" spans="1:19" x14ac:dyDescent="0.25">
      <c r="A40" s="312"/>
      <c r="B40" s="312"/>
      <c r="C40" s="312"/>
      <c r="D40" s="312"/>
      <c r="E40" s="312"/>
      <c r="F40" s="312"/>
      <c r="G40" s="312"/>
      <c r="H40" s="312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 t="s">
        <v>410</v>
      </c>
    </row>
    <row r="41" spans="1:19" x14ac:dyDescent="0.25">
      <c r="A41" s="314" t="s">
        <v>420</v>
      </c>
      <c r="B41" s="314"/>
      <c r="C41" s="250" t="s">
        <v>237</v>
      </c>
      <c r="D41" s="250" t="s">
        <v>238</v>
      </c>
      <c r="E41" s="250" t="s">
        <v>239</v>
      </c>
      <c r="F41" s="250" t="s">
        <v>143</v>
      </c>
      <c r="G41" s="250" t="s">
        <v>230</v>
      </c>
      <c r="H41" s="250" t="s">
        <v>231</v>
      </c>
      <c r="I41" s="250" t="s">
        <v>232</v>
      </c>
      <c r="J41" s="290" t="s">
        <v>233</v>
      </c>
      <c r="K41" s="290" t="s">
        <v>234</v>
      </c>
      <c r="L41" s="290" t="s">
        <v>235</v>
      </c>
      <c r="M41" s="290" t="s">
        <v>236</v>
      </c>
      <c r="N41" s="290" t="s">
        <v>388</v>
      </c>
      <c r="O41" s="290" t="s">
        <v>389</v>
      </c>
      <c r="P41" s="290" t="s">
        <v>390</v>
      </c>
      <c r="Q41" s="290" t="s">
        <v>391</v>
      </c>
      <c r="R41" s="290" t="s">
        <v>392</v>
      </c>
      <c r="S41" s="290" t="s">
        <v>393</v>
      </c>
    </row>
    <row r="42" spans="1:19" x14ac:dyDescent="0.25">
      <c r="A42" s="314" t="s">
        <v>421</v>
      </c>
      <c r="B42" s="314"/>
      <c r="C42" s="329">
        <f t="shared" ref="C42:S42" si="17">C8+C11+C18+C25+C32</f>
        <v>5</v>
      </c>
      <c r="D42" s="329">
        <f t="shared" si="17"/>
        <v>5</v>
      </c>
      <c r="E42" s="329">
        <f t="shared" si="17"/>
        <v>572.21</v>
      </c>
      <c r="F42" s="329">
        <f t="shared" si="17"/>
        <v>1684.46</v>
      </c>
      <c r="G42" s="329">
        <f t="shared" si="17"/>
        <v>2934.63</v>
      </c>
      <c r="H42" s="329">
        <f t="shared" si="17"/>
        <v>2621.1865000000003</v>
      </c>
      <c r="I42" s="329">
        <f t="shared" si="17"/>
        <v>2343.6241750000004</v>
      </c>
      <c r="J42" s="329">
        <f t="shared" si="17"/>
        <v>2097.0884837500003</v>
      </c>
      <c r="K42" s="329">
        <f t="shared" si="17"/>
        <v>1877.6346626874999</v>
      </c>
      <c r="L42" s="329">
        <f t="shared" si="17"/>
        <v>1681.979355634375</v>
      </c>
      <c r="M42" s="329">
        <f t="shared" si="17"/>
        <v>1507.3381870042185</v>
      </c>
      <c r="N42" s="329">
        <f t="shared" si="17"/>
        <v>1351.3165191570858</v>
      </c>
      <c r="O42" s="329">
        <f t="shared" si="17"/>
        <v>1211.8335348426731</v>
      </c>
      <c r="P42" s="329">
        <f t="shared" si="17"/>
        <v>1087.0675524451069</v>
      </c>
      <c r="Q42" s="329">
        <f t="shared" si="17"/>
        <v>975.41516479965242</v>
      </c>
      <c r="R42" s="329">
        <f t="shared" si="17"/>
        <v>875.45962208410083</v>
      </c>
      <c r="S42" s="329">
        <f t="shared" si="17"/>
        <v>785.94559435857195</v>
      </c>
    </row>
    <row r="43" spans="1:19" x14ac:dyDescent="0.25">
      <c r="A43" s="314" t="s">
        <v>27</v>
      </c>
      <c r="B43" s="314"/>
      <c r="C43" s="329">
        <f t="shared" ref="C43:S43" si="18">C12+C19+C26+C33</f>
        <v>0</v>
      </c>
      <c r="D43" s="329">
        <f t="shared" si="18"/>
        <v>567.21</v>
      </c>
      <c r="E43" s="329">
        <f t="shared" si="18"/>
        <v>1112.25</v>
      </c>
      <c r="F43" s="329">
        <f t="shared" si="18"/>
        <v>1250.1699999999998</v>
      </c>
      <c r="G43" s="329">
        <f t="shared" si="18"/>
        <v>0</v>
      </c>
      <c r="H43" s="329">
        <f t="shared" si="18"/>
        <v>0</v>
      </c>
      <c r="I43" s="329">
        <f t="shared" si="18"/>
        <v>0</v>
      </c>
      <c r="J43" s="329">
        <f t="shared" si="18"/>
        <v>0</v>
      </c>
      <c r="K43" s="329">
        <f t="shared" si="18"/>
        <v>0</v>
      </c>
      <c r="L43" s="329">
        <f t="shared" si="18"/>
        <v>0</v>
      </c>
      <c r="M43" s="329">
        <f t="shared" si="18"/>
        <v>0</v>
      </c>
      <c r="N43" s="329">
        <f t="shared" si="18"/>
        <v>0</v>
      </c>
      <c r="O43" s="329">
        <f t="shared" si="18"/>
        <v>0</v>
      </c>
      <c r="P43" s="329">
        <f t="shared" si="18"/>
        <v>0</v>
      </c>
      <c r="Q43" s="329">
        <f t="shared" si="18"/>
        <v>0</v>
      </c>
      <c r="R43" s="329">
        <f t="shared" si="18"/>
        <v>0</v>
      </c>
      <c r="S43" s="329">
        <f t="shared" si="18"/>
        <v>0</v>
      </c>
    </row>
    <row r="44" spans="1:19" x14ac:dyDescent="0.25">
      <c r="A44" s="314" t="s">
        <v>11</v>
      </c>
      <c r="B44" s="314"/>
      <c r="C44" s="329">
        <f>C8+C13+C20+C27+C34</f>
        <v>5</v>
      </c>
      <c r="D44" s="329">
        <f>D8+D13+D20+D27+D34</f>
        <v>572.21</v>
      </c>
      <c r="E44" s="329">
        <f t="shared" ref="E44:S44" si="19">E8+E13+E20+E27+E34</f>
        <v>1684.46</v>
      </c>
      <c r="F44" s="329">
        <f t="shared" si="19"/>
        <v>2934.63</v>
      </c>
      <c r="G44" s="329">
        <f t="shared" si="19"/>
        <v>2934.63</v>
      </c>
      <c r="H44" s="329">
        <f t="shared" si="19"/>
        <v>2621.1865000000003</v>
      </c>
      <c r="I44" s="329">
        <f t="shared" si="19"/>
        <v>2343.6241750000004</v>
      </c>
      <c r="J44" s="329">
        <f t="shared" si="19"/>
        <v>2097.0884837500003</v>
      </c>
      <c r="K44" s="329">
        <f t="shared" si="19"/>
        <v>1877.6346626874999</v>
      </c>
      <c r="L44" s="329">
        <f t="shared" si="19"/>
        <v>1681.979355634375</v>
      </c>
      <c r="M44" s="329">
        <f t="shared" si="19"/>
        <v>1507.3381870042185</v>
      </c>
      <c r="N44" s="329">
        <f t="shared" si="19"/>
        <v>1351.3165191570858</v>
      </c>
      <c r="O44" s="329">
        <f t="shared" si="19"/>
        <v>1211.8335348426731</v>
      </c>
      <c r="P44" s="329">
        <f t="shared" si="19"/>
        <v>1087.0675524451069</v>
      </c>
      <c r="Q44" s="329">
        <f t="shared" si="19"/>
        <v>975.41516479965242</v>
      </c>
      <c r="R44" s="329">
        <f t="shared" si="19"/>
        <v>875.45962208410083</v>
      </c>
      <c r="S44" s="329">
        <f t="shared" si="19"/>
        <v>785.94559435857195</v>
      </c>
    </row>
    <row r="45" spans="1:19" x14ac:dyDescent="0.25">
      <c r="A45" s="314" t="s">
        <v>422</v>
      </c>
      <c r="B45" s="314"/>
      <c r="C45" s="329">
        <f t="shared" ref="C45:S45" si="20">C14+C21+C28+C35</f>
        <v>0</v>
      </c>
      <c r="D45" s="329">
        <f t="shared" si="20"/>
        <v>0</v>
      </c>
      <c r="E45" s="329">
        <f t="shared" si="20"/>
        <v>0</v>
      </c>
      <c r="F45" s="329">
        <f t="shared" si="20"/>
        <v>0</v>
      </c>
      <c r="G45" s="329">
        <f t="shared" si="20"/>
        <v>313.44350000000003</v>
      </c>
      <c r="H45" s="329">
        <f t="shared" si="20"/>
        <v>277.56232499999999</v>
      </c>
      <c r="I45" s="329">
        <f t="shared" si="20"/>
        <v>246.53569125000001</v>
      </c>
      <c r="J45" s="329">
        <f t="shared" si="20"/>
        <v>219.4538210625</v>
      </c>
      <c r="K45" s="329">
        <f t="shared" si="20"/>
        <v>195.655307053125</v>
      </c>
      <c r="L45" s="329">
        <f t="shared" si="20"/>
        <v>174.64116863015627</v>
      </c>
      <c r="M45" s="329">
        <f t="shared" si="20"/>
        <v>156.02166784713279</v>
      </c>
      <c r="N45" s="329">
        <f t="shared" si="20"/>
        <v>139.4829843144129</v>
      </c>
      <c r="O45" s="329">
        <f t="shared" si="20"/>
        <v>124.76598239756595</v>
      </c>
      <c r="P45" s="329">
        <f t="shared" si="20"/>
        <v>111.65238764545455</v>
      </c>
      <c r="Q45" s="329">
        <f t="shared" si="20"/>
        <v>99.955542715551516</v>
      </c>
      <c r="R45" s="329">
        <f t="shared" si="20"/>
        <v>89.51402772552882</v>
      </c>
      <c r="S45" s="329">
        <f t="shared" si="20"/>
        <v>80.187101055530363</v>
      </c>
    </row>
    <row r="46" spans="1:19" x14ac:dyDescent="0.25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8"/>
      <c r="O46" s="318"/>
      <c r="P46" s="318"/>
      <c r="Q46" s="318"/>
      <c r="R46" s="318"/>
      <c r="S46" s="318"/>
    </row>
    <row r="47" spans="1:19" x14ac:dyDescent="0.25">
      <c r="A47" s="314" t="s">
        <v>423</v>
      </c>
      <c r="B47" s="314"/>
      <c r="C47" s="328">
        <f t="shared" ref="C47:S47" si="21">C44-C45</f>
        <v>5</v>
      </c>
      <c r="D47" s="328">
        <f t="shared" si="21"/>
        <v>572.21</v>
      </c>
      <c r="E47" s="328">
        <f t="shared" si="21"/>
        <v>1684.46</v>
      </c>
      <c r="F47" s="328">
        <f t="shared" si="21"/>
        <v>2934.63</v>
      </c>
      <c r="G47" s="328">
        <f t="shared" si="21"/>
        <v>2621.1865000000003</v>
      </c>
      <c r="H47" s="328">
        <f t="shared" si="21"/>
        <v>2343.6241750000004</v>
      </c>
      <c r="I47" s="328">
        <f t="shared" si="21"/>
        <v>2097.0884837500003</v>
      </c>
      <c r="J47" s="328">
        <f t="shared" si="21"/>
        <v>1877.6346626875002</v>
      </c>
      <c r="K47" s="328">
        <f t="shared" si="21"/>
        <v>1681.979355634375</v>
      </c>
      <c r="L47" s="328">
        <f t="shared" si="21"/>
        <v>1507.3381870042188</v>
      </c>
      <c r="M47" s="328">
        <f t="shared" si="21"/>
        <v>1351.3165191570856</v>
      </c>
      <c r="N47" s="328">
        <f t="shared" si="21"/>
        <v>1211.8335348426729</v>
      </c>
      <c r="O47" s="328">
        <f t="shared" si="21"/>
        <v>1087.0675524451071</v>
      </c>
      <c r="P47" s="328">
        <f t="shared" si="21"/>
        <v>975.4151647996523</v>
      </c>
      <c r="Q47" s="328">
        <f t="shared" si="21"/>
        <v>875.45962208410094</v>
      </c>
      <c r="R47" s="328">
        <f t="shared" si="21"/>
        <v>785.94559435857195</v>
      </c>
      <c r="S47" s="328">
        <f t="shared" si="21"/>
        <v>705.75849330304163</v>
      </c>
    </row>
    <row r="48" spans="1:19" x14ac:dyDescent="0.25"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8" x14ac:dyDescent="0.25">
      <c r="A49" s="13"/>
      <c r="B49" s="13"/>
      <c r="C49" s="13"/>
      <c r="D49" s="41"/>
      <c r="E49" s="41"/>
      <c r="F49" s="41"/>
      <c r="G49" s="41"/>
      <c r="H49" s="41"/>
    </row>
  </sheetData>
  <mergeCells count="3">
    <mergeCell ref="A3:S3"/>
    <mergeCell ref="A2:S2"/>
    <mergeCell ref="A1:R1"/>
  </mergeCells>
  <phoneticPr fontId="0" type="noConversion"/>
  <pageMargins left="0.74803149606299213" right="0.74803149606299213" top="0" bottom="0" header="0.51181102362204722" footer="0.51181102362204722"/>
  <pageSetup paperSize="9" scale="39" orientation="portrait" r:id="rId1"/>
  <headerFooter alignWithMargins="0"/>
  <colBreaks count="1" manualBreakCount="1">
    <brk id="7" max="10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24"/>
  <sheetViews>
    <sheetView workbookViewId="0"/>
  </sheetViews>
  <sheetFormatPr defaultRowHeight="12.75" x14ac:dyDescent="0.2"/>
  <cols>
    <col min="2" max="2" width="34.5703125" customWidth="1"/>
    <col min="3" max="3" width="9.85546875" bestFit="1" customWidth="1"/>
    <col min="4" max="4" width="11.140625" customWidth="1"/>
    <col min="5" max="5" width="9.28515625" bestFit="1" customWidth="1"/>
    <col min="6" max="7" width="11.28515625" customWidth="1"/>
    <col min="8" max="8" width="10.85546875" customWidth="1"/>
    <col min="9" max="10" width="9.42578125" bestFit="1" customWidth="1"/>
    <col min="11" max="11" width="10.28515625" customWidth="1"/>
    <col min="12" max="12" width="9.42578125" bestFit="1" customWidth="1"/>
    <col min="13" max="13" width="10.7109375" customWidth="1"/>
    <col min="14" max="17" width="9.42578125" bestFit="1" customWidth="1"/>
    <col min="18" max="18" width="11" bestFit="1" customWidth="1"/>
    <col min="19" max="27" width="9.42578125" bestFit="1" customWidth="1"/>
    <col min="258" max="258" width="34.5703125" customWidth="1"/>
    <col min="259" max="259" width="9.85546875" bestFit="1" customWidth="1"/>
    <col min="261" max="261" width="9.28515625" bestFit="1" customWidth="1"/>
    <col min="262" max="262" width="11.28515625" customWidth="1"/>
    <col min="514" max="514" width="34.5703125" customWidth="1"/>
    <col min="515" max="515" width="9.85546875" bestFit="1" customWidth="1"/>
    <col min="517" max="517" width="9.28515625" bestFit="1" customWidth="1"/>
    <col min="518" max="518" width="11.28515625" customWidth="1"/>
    <col min="770" max="770" width="34.5703125" customWidth="1"/>
    <col min="771" max="771" width="9.85546875" bestFit="1" customWidth="1"/>
    <col min="773" max="773" width="9.28515625" bestFit="1" customWidth="1"/>
    <col min="774" max="774" width="11.28515625" customWidth="1"/>
    <col min="1026" max="1026" width="34.5703125" customWidth="1"/>
    <col min="1027" max="1027" width="9.85546875" bestFit="1" customWidth="1"/>
    <col min="1029" max="1029" width="9.28515625" bestFit="1" customWidth="1"/>
    <col min="1030" max="1030" width="11.28515625" customWidth="1"/>
    <col min="1282" max="1282" width="34.5703125" customWidth="1"/>
    <col min="1283" max="1283" width="9.85546875" bestFit="1" customWidth="1"/>
    <col min="1285" max="1285" width="9.28515625" bestFit="1" customWidth="1"/>
    <col min="1286" max="1286" width="11.28515625" customWidth="1"/>
    <col min="1538" max="1538" width="34.5703125" customWidth="1"/>
    <col min="1539" max="1539" width="9.85546875" bestFit="1" customWidth="1"/>
    <col min="1541" max="1541" width="9.28515625" bestFit="1" customWidth="1"/>
    <col min="1542" max="1542" width="11.28515625" customWidth="1"/>
    <col min="1794" max="1794" width="34.5703125" customWidth="1"/>
    <col min="1795" max="1795" width="9.85546875" bestFit="1" customWidth="1"/>
    <col min="1797" max="1797" width="9.28515625" bestFit="1" customWidth="1"/>
    <col min="1798" max="1798" width="11.28515625" customWidth="1"/>
    <col min="2050" max="2050" width="34.5703125" customWidth="1"/>
    <col min="2051" max="2051" width="9.85546875" bestFit="1" customWidth="1"/>
    <col min="2053" max="2053" width="9.28515625" bestFit="1" customWidth="1"/>
    <col min="2054" max="2054" width="11.28515625" customWidth="1"/>
    <col min="2306" max="2306" width="34.5703125" customWidth="1"/>
    <col min="2307" max="2307" width="9.85546875" bestFit="1" customWidth="1"/>
    <col min="2309" max="2309" width="9.28515625" bestFit="1" customWidth="1"/>
    <col min="2310" max="2310" width="11.28515625" customWidth="1"/>
    <col min="2562" max="2562" width="34.5703125" customWidth="1"/>
    <col min="2563" max="2563" width="9.85546875" bestFit="1" customWidth="1"/>
    <col min="2565" max="2565" width="9.28515625" bestFit="1" customWidth="1"/>
    <col min="2566" max="2566" width="11.28515625" customWidth="1"/>
    <col min="2818" max="2818" width="34.5703125" customWidth="1"/>
    <col min="2819" max="2819" width="9.85546875" bestFit="1" customWidth="1"/>
    <col min="2821" max="2821" width="9.28515625" bestFit="1" customWidth="1"/>
    <col min="2822" max="2822" width="11.28515625" customWidth="1"/>
    <col min="3074" max="3074" width="34.5703125" customWidth="1"/>
    <col min="3075" max="3075" width="9.85546875" bestFit="1" customWidth="1"/>
    <col min="3077" max="3077" width="9.28515625" bestFit="1" customWidth="1"/>
    <col min="3078" max="3078" width="11.28515625" customWidth="1"/>
    <col min="3330" max="3330" width="34.5703125" customWidth="1"/>
    <col min="3331" max="3331" width="9.85546875" bestFit="1" customWidth="1"/>
    <col min="3333" max="3333" width="9.28515625" bestFit="1" customWidth="1"/>
    <col min="3334" max="3334" width="11.28515625" customWidth="1"/>
    <col min="3586" max="3586" width="34.5703125" customWidth="1"/>
    <col min="3587" max="3587" width="9.85546875" bestFit="1" customWidth="1"/>
    <col min="3589" max="3589" width="9.28515625" bestFit="1" customWidth="1"/>
    <col min="3590" max="3590" width="11.28515625" customWidth="1"/>
    <col min="3842" max="3842" width="34.5703125" customWidth="1"/>
    <col min="3843" max="3843" width="9.85546875" bestFit="1" customWidth="1"/>
    <col min="3845" max="3845" width="9.28515625" bestFit="1" customWidth="1"/>
    <col min="3846" max="3846" width="11.28515625" customWidth="1"/>
    <col min="4098" max="4098" width="34.5703125" customWidth="1"/>
    <col min="4099" max="4099" width="9.85546875" bestFit="1" customWidth="1"/>
    <col min="4101" max="4101" width="9.28515625" bestFit="1" customWidth="1"/>
    <col min="4102" max="4102" width="11.28515625" customWidth="1"/>
    <col min="4354" max="4354" width="34.5703125" customWidth="1"/>
    <col min="4355" max="4355" width="9.85546875" bestFit="1" customWidth="1"/>
    <col min="4357" max="4357" width="9.28515625" bestFit="1" customWidth="1"/>
    <col min="4358" max="4358" width="11.28515625" customWidth="1"/>
    <col min="4610" max="4610" width="34.5703125" customWidth="1"/>
    <col min="4611" max="4611" width="9.85546875" bestFit="1" customWidth="1"/>
    <col min="4613" max="4613" width="9.28515625" bestFit="1" customWidth="1"/>
    <col min="4614" max="4614" width="11.28515625" customWidth="1"/>
    <col min="4866" max="4866" width="34.5703125" customWidth="1"/>
    <col min="4867" max="4867" width="9.85546875" bestFit="1" customWidth="1"/>
    <col min="4869" max="4869" width="9.28515625" bestFit="1" customWidth="1"/>
    <col min="4870" max="4870" width="11.28515625" customWidth="1"/>
    <col min="5122" max="5122" width="34.5703125" customWidth="1"/>
    <col min="5123" max="5123" width="9.85546875" bestFit="1" customWidth="1"/>
    <col min="5125" max="5125" width="9.28515625" bestFit="1" customWidth="1"/>
    <col min="5126" max="5126" width="11.28515625" customWidth="1"/>
    <col min="5378" max="5378" width="34.5703125" customWidth="1"/>
    <col min="5379" max="5379" width="9.85546875" bestFit="1" customWidth="1"/>
    <col min="5381" max="5381" width="9.28515625" bestFit="1" customWidth="1"/>
    <col min="5382" max="5382" width="11.28515625" customWidth="1"/>
    <col min="5634" max="5634" width="34.5703125" customWidth="1"/>
    <col min="5635" max="5635" width="9.85546875" bestFit="1" customWidth="1"/>
    <col min="5637" max="5637" width="9.28515625" bestFit="1" customWidth="1"/>
    <col min="5638" max="5638" width="11.28515625" customWidth="1"/>
    <col min="5890" max="5890" width="34.5703125" customWidth="1"/>
    <col min="5891" max="5891" width="9.85546875" bestFit="1" customWidth="1"/>
    <col min="5893" max="5893" width="9.28515625" bestFit="1" customWidth="1"/>
    <col min="5894" max="5894" width="11.28515625" customWidth="1"/>
    <col min="6146" max="6146" width="34.5703125" customWidth="1"/>
    <col min="6147" max="6147" width="9.85546875" bestFit="1" customWidth="1"/>
    <col min="6149" max="6149" width="9.28515625" bestFit="1" customWidth="1"/>
    <col min="6150" max="6150" width="11.28515625" customWidth="1"/>
    <col min="6402" max="6402" width="34.5703125" customWidth="1"/>
    <col min="6403" max="6403" width="9.85546875" bestFit="1" customWidth="1"/>
    <col min="6405" max="6405" width="9.28515625" bestFit="1" customWidth="1"/>
    <col min="6406" max="6406" width="11.28515625" customWidth="1"/>
    <col min="6658" max="6658" width="34.5703125" customWidth="1"/>
    <col min="6659" max="6659" width="9.85546875" bestFit="1" customWidth="1"/>
    <col min="6661" max="6661" width="9.28515625" bestFit="1" customWidth="1"/>
    <col min="6662" max="6662" width="11.28515625" customWidth="1"/>
    <col min="6914" max="6914" width="34.5703125" customWidth="1"/>
    <col min="6915" max="6915" width="9.85546875" bestFit="1" customWidth="1"/>
    <col min="6917" max="6917" width="9.28515625" bestFit="1" customWidth="1"/>
    <col min="6918" max="6918" width="11.28515625" customWidth="1"/>
    <col min="7170" max="7170" width="34.5703125" customWidth="1"/>
    <col min="7171" max="7171" width="9.85546875" bestFit="1" customWidth="1"/>
    <col min="7173" max="7173" width="9.28515625" bestFit="1" customWidth="1"/>
    <col min="7174" max="7174" width="11.28515625" customWidth="1"/>
    <col min="7426" max="7426" width="34.5703125" customWidth="1"/>
    <col min="7427" max="7427" width="9.85546875" bestFit="1" customWidth="1"/>
    <col min="7429" max="7429" width="9.28515625" bestFit="1" customWidth="1"/>
    <col min="7430" max="7430" width="11.28515625" customWidth="1"/>
    <col min="7682" max="7682" width="34.5703125" customWidth="1"/>
    <col min="7683" max="7683" width="9.85546875" bestFit="1" customWidth="1"/>
    <col min="7685" max="7685" width="9.28515625" bestFit="1" customWidth="1"/>
    <col min="7686" max="7686" width="11.28515625" customWidth="1"/>
    <col min="7938" max="7938" width="34.5703125" customWidth="1"/>
    <col min="7939" max="7939" width="9.85546875" bestFit="1" customWidth="1"/>
    <col min="7941" max="7941" width="9.28515625" bestFit="1" customWidth="1"/>
    <col min="7942" max="7942" width="11.28515625" customWidth="1"/>
    <col min="8194" max="8194" width="34.5703125" customWidth="1"/>
    <col min="8195" max="8195" width="9.85546875" bestFit="1" customWidth="1"/>
    <col min="8197" max="8197" width="9.28515625" bestFit="1" customWidth="1"/>
    <col min="8198" max="8198" width="11.28515625" customWidth="1"/>
    <col min="8450" max="8450" width="34.5703125" customWidth="1"/>
    <col min="8451" max="8451" width="9.85546875" bestFit="1" customWidth="1"/>
    <col min="8453" max="8453" width="9.28515625" bestFit="1" customWidth="1"/>
    <col min="8454" max="8454" width="11.28515625" customWidth="1"/>
    <col min="8706" max="8706" width="34.5703125" customWidth="1"/>
    <col min="8707" max="8707" width="9.85546875" bestFit="1" customWidth="1"/>
    <col min="8709" max="8709" width="9.28515625" bestFit="1" customWidth="1"/>
    <col min="8710" max="8710" width="11.28515625" customWidth="1"/>
    <col min="8962" max="8962" width="34.5703125" customWidth="1"/>
    <col min="8963" max="8963" width="9.85546875" bestFit="1" customWidth="1"/>
    <col min="8965" max="8965" width="9.28515625" bestFit="1" customWidth="1"/>
    <col min="8966" max="8966" width="11.28515625" customWidth="1"/>
    <col min="9218" max="9218" width="34.5703125" customWidth="1"/>
    <col min="9219" max="9219" width="9.85546875" bestFit="1" customWidth="1"/>
    <col min="9221" max="9221" width="9.28515625" bestFit="1" customWidth="1"/>
    <col min="9222" max="9222" width="11.28515625" customWidth="1"/>
    <col min="9474" max="9474" width="34.5703125" customWidth="1"/>
    <col min="9475" max="9475" width="9.85546875" bestFit="1" customWidth="1"/>
    <col min="9477" max="9477" width="9.28515625" bestFit="1" customWidth="1"/>
    <col min="9478" max="9478" width="11.28515625" customWidth="1"/>
    <col min="9730" max="9730" width="34.5703125" customWidth="1"/>
    <col min="9731" max="9731" width="9.85546875" bestFit="1" customWidth="1"/>
    <col min="9733" max="9733" width="9.28515625" bestFit="1" customWidth="1"/>
    <col min="9734" max="9734" width="11.28515625" customWidth="1"/>
    <col min="9986" max="9986" width="34.5703125" customWidth="1"/>
    <col min="9987" max="9987" width="9.85546875" bestFit="1" customWidth="1"/>
    <col min="9989" max="9989" width="9.28515625" bestFit="1" customWidth="1"/>
    <col min="9990" max="9990" width="11.28515625" customWidth="1"/>
    <col min="10242" max="10242" width="34.5703125" customWidth="1"/>
    <col min="10243" max="10243" width="9.85546875" bestFit="1" customWidth="1"/>
    <col min="10245" max="10245" width="9.28515625" bestFit="1" customWidth="1"/>
    <col min="10246" max="10246" width="11.28515625" customWidth="1"/>
    <col min="10498" max="10498" width="34.5703125" customWidth="1"/>
    <col min="10499" max="10499" width="9.85546875" bestFit="1" customWidth="1"/>
    <col min="10501" max="10501" width="9.28515625" bestFit="1" customWidth="1"/>
    <col min="10502" max="10502" width="11.28515625" customWidth="1"/>
    <col min="10754" max="10754" width="34.5703125" customWidth="1"/>
    <col min="10755" max="10755" width="9.85546875" bestFit="1" customWidth="1"/>
    <col min="10757" max="10757" width="9.28515625" bestFit="1" customWidth="1"/>
    <col min="10758" max="10758" width="11.28515625" customWidth="1"/>
    <col min="11010" max="11010" width="34.5703125" customWidth="1"/>
    <col min="11011" max="11011" width="9.85546875" bestFit="1" customWidth="1"/>
    <col min="11013" max="11013" width="9.28515625" bestFit="1" customWidth="1"/>
    <col min="11014" max="11014" width="11.28515625" customWidth="1"/>
    <col min="11266" max="11266" width="34.5703125" customWidth="1"/>
    <col min="11267" max="11267" width="9.85546875" bestFit="1" customWidth="1"/>
    <col min="11269" max="11269" width="9.28515625" bestFit="1" customWidth="1"/>
    <col min="11270" max="11270" width="11.28515625" customWidth="1"/>
    <col min="11522" max="11522" width="34.5703125" customWidth="1"/>
    <col min="11523" max="11523" width="9.85546875" bestFit="1" customWidth="1"/>
    <col min="11525" max="11525" width="9.28515625" bestFit="1" customWidth="1"/>
    <col min="11526" max="11526" width="11.28515625" customWidth="1"/>
    <col min="11778" max="11778" width="34.5703125" customWidth="1"/>
    <col min="11779" max="11779" width="9.85546875" bestFit="1" customWidth="1"/>
    <col min="11781" max="11781" width="9.28515625" bestFit="1" customWidth="1"/>
    <col min="11782" max="11782" width="11.28515625" customWidth="1"/>
    <col min="12034" max="12034" width="34.5703125" customWidth="1"/>
    <col min="12035" max="12035" width="9.85546875" bestFit="1" customWidth="1"/>
    <col min="12037" max="12037" width="9.28515625" bestFit="1" customWidth="1"/>
    <col min="12038" max="12038" width="11.28515625" customWidth="1"/>
    <col min="12290" max="12290" width="34.5703125" customWidth="1"/>
    <col min="12291" max="12291" width="9.85546875" bestFit="1" customWidth="1"/>
    <col min="12293" max="12293" width="9.28515625" bestFit="1" customWidth="1"/>
    <col min="12294" max="12294" width="11.28515625" customWidth="1"/>
    <col min="12546" max="12546" width="34.5703125" customWidth="1"/>
    <col min="12547" max="12547" width="9.85546875" bestFit="1" customWidth="1"/>
    <col min="12549" max="12549" width="9.28515625" bestFit="1" customWidth="1"/>
    <col min="12550" max="12550" width="11.28515625" customWidth="1"/>
    <col min="12802" max="12802" width="34.5703125" customWidth="1"/>
    <col min="12803" max="12803" width="9.85546875" bestFit="1" customWidth="1"/>
    <col min="12805" max="12805" width="9.28515625" bestFit="1" customWidth="1"/>
    <col min="12806" max="12806" width="11.28515625" customWidth="1"/>
    <col min="13058" max="13058" width="34.5703125" customWidth="1"/>
    <col min="13059" max="13059" width="9.85546875" bestFit="1" customWidth="1"/>
    <col min="13061" max="13061" width="9.28515625" bestFit="1" customWidth="1"/>
    <col min="13062" max="13062" width="11.28515625" customWidth="1"/>
    <col min="13314" max="13314" width="34.5703125" customWidth="1"/>
    <col min="13315" max="13315" width="9.85546875" bestFit="1" customWidth="1"/>
    <col min="13317" max="13317" width="9.28515625" bestFit="1" customWidth="1"/>
    <col min="13318" max="13318" width="11.28515625" customWidth="1"/>
    <col min="13570" max="13570" width="34.5703125" customWidth="1"/>
    <col min="13571" max="13571" width="9.85546875" bestFit="1" customWidth="1"/>
    <col min="13573" max="13573" width="9.28515625" bestFit="1" customWidth="1"/>
    <col min="13574" max="13574" width="11.28515625" customWidth="1"/>
    <col min="13826" max="13826" width="34.5703125" customWidth="1"/>
    <col min="13827" max="13827" width="9.85546875" bestFit="1" customWidth="1"/>
    <col min="13829" max="13829" width="9.28515625" bestFit="1" customWidth="1"/>
    <col min="13830" max="13830" width="11.28515625" customWidth="1"/>
    <col min="14082" max="14082" width="34.5703125" customWidth="1"/>
    <col min="14083" max="14083" width="9.85546875" bestFit="1" customWidth="1"/>
    <col min="14085" max="14085" width="9.28515625" bestFit="1" customWidth="1"/>
    <col min="14086" max="14086" width="11.28515625" customWidth="1"/>
    <col min="14338" max="14338" width="34.5703125" customWidth="1"/>
    <col min="14339" max="14339" width="9.85546875" bestFit="1" customWidth="1"/>
    <col min="14341" max="14341" width="9.28515625" bestFit="1" customWidth="1"/>
    <col min="14342" max="14342" width="11.28515625" customWidth="1"/>
    <col min="14594" max="14594" width="34.5703125" customWidth="1"/>
    <col min="14595" max="14595" width="9.85546875" bestFit="1" customWidth="1"/>
    <col min="14597" max="14597" width="9.28515625" bestFit="1" customWidth="1"/>
    <col min="14598" max="14598" width="11.28515625" customWidth="1"/>
    <col min="14850" max="14850" width="34.5703125" customWidth="1"/>
    <col min="14851" max="14851" width="9.85546875" bestFit="1" customWidth="1"/>
    <col min="14853" max="14853" width="9.28515625" bestFit="1" customWidth="1"/>
    <col min="14854" max="14854" width="11.28515625" customWidth="1"/>
    <col min="15106" max="15106" width="34.5703125" customWidth="1"/>
    <col min="15107" max="15107" width="9.85546875" bestFit="1" customWidth="1"/>
    <col min="15109" max="15109" width="9.28515625" bestFit="1" customWidth="1"/>
    <col min="15110" max="15110" width="11.28515625" customWidth="1"/>
    <col min="15362" max="15362" width="34.5703125" customWidth="1"/>
    <col min="15363" max="15363" width="9.85546875" bestFit="1" customWidth="1"/>
    <col min="15365" max="15365" width="9.28515625" bestFit="1" customWidth="1"/>
    <col min="15366" max="15366" width="11.28515625" customWidth="1"/>
    <col min="15618" max="15618" width="34.5703125" customWidth="1"/>
    <col min="15619" max="15619" width="9.85546875" bestFit="1" customWidth="1"/>
    <col min="15621" max="15621" width="9.28515625" bestFit="1" customWidth="1"/>
    <col min="15622" max="15622" width="11.28515625" customWidth="1"/>
    <col min="15874" max="15874" width="34.5703125" customWidth="1"/>
    <col min="15875" max="15875" width="9.85546875" bestFit="1" customWidth="1"/>
    <col min="15877" max="15877" width="9.28515625" bestFit="1" customWidth="1"/>
    <col min="15878" max="15878" width="11.28515625" customWidth="1"/>
    <col min="16130" max="16130" width="34.5703125" customWidth="1"/>
    <col min="16131" max="16131" width="9.85546875" bestFit="1" customWidth="1"/>
    <col min="16133" max="16133" width="9.28515625" bestFit="1" customWidth="1"/>
    <col min="16134" max="16134" width="11.28515625" customWidth="1"/>
  </cols>
  <sheetData>
    <row r="2" spans="2:35" ht="21" x14ac:dyDescent="0.35">
      <c r="B2" s="453" t="s">
        <v>191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</row>
    <row r="4" spans="2:35" ht="30" x14ac:dyDescent="0.2">
      <c r="B4" s="123" t="s">
        <v>3</v>
      </c>
      <c r="C4" s="123" t="s">
        <v>192</v>
      </c>
      <c r="D4" s="123" t="s">
        <v>193</v>
      </c>
      <c r="E4" s="123" t="s">
        <v>194</v>
      </c>
      <c r="F4" s="123" t="s">
        <v>195</v>
      </c>
      <c r="G4" s="123" t="s">
        <v>196</v>
      </c>
    </row>
    <row r="5" spans="2:35" ht="25.5" x14ac:dyDescent="0.2">
      <c r="B5" s="124" t="s">
        <v>197</v>
      </c>
      <c r="C5" s="135" t="s">
        <v>203</v>
      </c>
      <c r="D5" s="124">
        <f>'Cost Break Up'!E21</f>
        <v>1722.15</v>
      </c>
      <c r="E5" s="125">
        <v>9.6500000000000002E-2</v>
      </c>
      <c r="F5" s="126">
        <f>G5*4</f>
        <v>28</v>
      </c>
      <c r="G5" s="127">
        <v>7</v>
      </c>
    </row>
    <row r="6" spans="2:35" x14ac:dyDescent="0.2">
      <c r="B6" s="124"/>
      <c r="C6" s="135"/>
      <c r="D6" s="124"/>
      <c r="E6" s="125"/>
      <c r="F6" s="126"/>
      <c r="G6" s="127"/>
    </row>
    <row r="7" spans="2:35" ht="15" x14ac:dyDescent="0.25">
      <c r="B7" s="128" t="s">
        <v>11</v>
      </c>
      <c r="C7" s="128" t="s">
        <v>198</v>
      </c>
      <c r="D7" s="129">
        <f>SUM(D5:D6)</f>
        <v>1722.15</v>
      </c>
      <c r="E7" s="130">
        <f>SUMPRODUCT(D5:D6,E5:E6)/D7</f>
        <v>9.6500000000000002E-2</v>
      </c>
      <c r="F7" s="131">
        <v>27</v>
      </c>
      <c r="G7" s="131">
        <f>G5</f>
        <v>7</v>
      </c>
    </row>
    <row r="10" spans="2:35" ht="15" x14ac:dyDescent="0.2">
      <c r="B10" s="123" t="s">
        <v>3</v>
      </c>
      <c r="C10" s="132">
        <v>45747</v>
      </c>
      <c r="D10" s="132">
        <f>EDATE(C10,12)</f>
        <v>46112</v>
      </c>
      <c r="E10" s="132">
        <f>DATE(YEAR(D10),MONTH(D10)+4,1)-1</f>
        <v>46203</v>
      </c>
      <c r="F10" s="132">
        <f t="shared" ref="F10:AI10" si="0">DATE(YEAR(E10),MONTH(E10)+4,1)-1</f>
        <v>46295</v>
      </c>
      <c r="G10" s="132">
        <f t="shared" si="0"/>
        <v>46387</v>
      </c>
      <c r="H10" s="132">
        <f t="shared" si="0"/>
        <v>46477</v>
      </c>
      <c r="I10" s="132">
        <f t="shared" si="0"/>
        <v>46568</v>
      </c>
      <c r="J10" s="132">
        <f t="shared" si="0"/>
        <v>46660</v>
      </c>
      <c r="K10" s="132">
        <f t="shared" si="0"/>
        <v>46752</v>
      </c>
      <c r="L10" s="132">
        <f t="shared" si="0"/>
        <v>46843</v>
      </c>
      <c r="M10" s="132">
        <f t="shared" si="0"/>
        <v>46934</v>
      </c>
      <c r="N10" s="132">
        <f t="shared" si="0"/>
        <v>47026</v>
      </c>
      <c r="O10" s="132">
        <f t="shared" si="0"/>
        <v>47118</v>
      </c>
      <c r="P10" s="132">
        <f t="shared" si="0"/>
        <v>47208</v>
      </c>
      <c r="Q10" s="132">
        <f t="shared" si="0"/>
        <v>47299</v>
      </c>
      <c r="R10" s="132">
        <f t="shared" si="0"/>
        <v>47391</v>
      </c>
      <c r="S10" s="132">
        <f t="shared" si="0"/>
        <v>47483</v>
      </c>
      <c r="T10" s="132">
        <f t="shared" si="0"/>
        <v>47573</v>
      </c>
      <c r="U10" s="132">
        <f t="shared" si="0"/>
        <v>47664</v>
      </c>
      <c r="V10" s="132">
        <f t="shared" si="0"/>
        <v>47756</v>
      </c>
      <c r="W10" s="132">
        <f t="shared" si="0"/>
        <v>47848</v>
      </c>
      <c r="X10" s="132">
        <f t="shared" si="0"/>
        <v>47938</v>
      </c>
      <c r="Y10" s="132">
        <f t="shared" si="0"/>
        <v>48029</v>
      </c>
      <c r="Z10" s="132">
        <f t="shared" si="0"/>
        <v>48121</v>
      </c>
      <c r="AA10" s="132">
        <f t="shared" si="0"/>
        <v>48213</v>
      </c>
      <c r="AB10" s="132">
        <f t="shared" si="0"/>
        <v>48304</v>
      </c>
      <c r="AC10" s="132">
        <f t="shared" si="0"/>
        <v>48395</v>
      </c>
      <c r="AD10" s="132">
        <f t="shared" si="0"/>
        <v>48487</v>
      </c>
      <c r="AE10" s="132">
        <f t="shared" si="0"/>
        <v>48579</v>
      </c>
      <c r="AF10" s="132">
        <f t="shared" si="0"/>
        <v>48669</v>
      </c>
      <c r="AG10" s="132">
        <f t="shared" si="0"/>
        <v>48760</v>
      </c>
      <c r="AH10" s="132">
        <f t="shared" si="0"/>
        <v>48852</v>
      </c>
      <c r="AI10" s="132">
        <f t="shared" si="0"/>
        <v>48944</v>
      </c>
    </row>
    <row r="11" spans="2:35" x14ac:dyDescent="0.2">
      <c r="B11" s="133" t="s">
        <v>199</v>
      </c>
      <c r="C11" s="134">
        <f>D7</f>
        <v>1722.15</v>
      </c>
      <c r="D11" s="134">
        <f>D7</f>
        <v>1722.15</v>
      </c>
      <c r="E11" s="134">
        <f t="shared" ref="E11:L11" si="1">D14</f>
        <v>1722.15</v>
      </c>
      <c r="F11" s="134">
        <f t="shared" si="1"/>
        <v>1722.15</v>
      </c>
      <c r="G11" s="134">
        <f t="shared" si="1"/>
        <v>1722.15</v>
      </c>
      <c r="H11" s="134">
        <f t="shared" si="1"/>
        <v>1722.15</v>
      </c>
      <c r="I11" s="134">
        <f t="shared" si="1"/>
        <v>1722.15</v>
      </c>
      <c r="J11" s="134">
        <f t="shared" si="1"/>
        <v>1658.3666666666668</v>
      </c>
      <c r="K11" s="134">
        <f t="shared" si="1"/>
        <v>1594.5833333333335</v>
      </c>
      <c r="L11" s="134">
        <f t="shared" si="1"/>
        <v>1530.8000000000002</v>
      </c>
      <c r="M11" s="134">
        <f t="shared" ref="M11" si="2">L14</f>
        <v>1467.0166666666669</v>
      </c>
      <c r="N11" s="134">
        <f t="shared" ref="N11" si="3">M14</f>
        <v>1403.2333333333336</v>
      </c>
      <c r="O11" s="134">
        <f t="shared" ref="O11" si="4">N14</f>
        <v>1339.4500000000003</v>
      </c>
      <c r="P11" s="134">
        <f t="shared" ref="P11" si="5">O14</f>
        <v>1275.666666666667</v>
      </c>
      <c r="Q11" s="134">
        <f t="shared" ref="Q11" si="6">P14</f>
        <v>1211.8833333333337</v>
      </c>
      <c r="R11" s="134">
        <f t="shared" ref="R11" si="7">Q14</f>
        <v>1148.1000000000004</v>
      </c>
      <c r="S11" s="134">
        <f t="shared" ref="S11" si="8">R14</f>
        <v>1084.3166666666671</v>
      </c>
      <c r="T11" s="134">
        <f t="shared" ref="T11" si="9">S14</f>
        <v>1020.5333333333338</v>
      </c>
      <c r="U11" s="134">
        <f t="shared" ref="U11" si="10">T14</f>
        <v>956.75000000000045</v>
      </c>
      <c r="V11" s="134">
        <f t="shared" ref="V11" si="11">U14</f>
        <v>892.96666666666715</v>
      </c>
      <c r="W11" s="134">
        <f t="shared" ref="W11" si="12">V14</f>
        <v>829.18333333333385</v>
      </c>
      <c r="X11" s="134">
        <f t="shared" ref="X11" si="13">W14</f>
        <v>765.40000000000055</v>
      </c>
      <c r="Y11" s="134">
        <f t="shared" ref="Y11" si="14">X14</f>
        <v>701.61666666666724</v>
      </c>
      <c r="Z11" s="134">
        <f t="shared" ref="Z11" si="15">Y14</f>
        <v>637.83333333333394</v>
      </c>
      <c r="AA11" s="134">
        <f t="shared" ref="AA11" si="16">Z14</f>
        <v>574.05000000000064</v>
      </c>
      <c r="AB11" s="134">
        <f t="shared" ref="AB11" si="17">AA14</f>
        <v>510.26666666666728</v>
      </c>
      <c r="AC11" s="134">
        <f t="shared" ref="AC11" si="18">AB14</f>
        <v>446.48333333333392</v>
      </c>
      <c r="AD11" s="134">
        <f t="shared" ref="AD11" si="19">AC14</f>
        <v>382.70000000000056</v>
      </c>
      <c r="AE11" s="134">
        <f t="shared" ref="AE11" si="20">AD14</f>
        <v>318.9166666666672</v>
      </c>
      <c r="AF11" s="134">
        <f t="shared" ref="AF11" si="21">AE14</f>
        <v>255.13333333333387</v>
      </c>
      <c r="AG11" s="134">
        <f t="shared" ref="AG11" si="22">AF14</f>
        <v>191.35000000000053</v>
      </c>
      <c r="AH11" s="134">
        <f t="shared" ref="AH11" si="23">AG14</f>
        <v>127.5666666666672</v>
      </c>
      <c r="AI11" s="134">
        <f t="shared" ref="AI11" si="24">AH14</f>
        <v>63.783333333333864</v>
      </c>
    </row>
    <row r="12" spans="2:35" x14ac:dyDescent="0.2">
      <c r="B12" s="133" t="s">
        <v>200</v>
      </c>
      <c r="C12" s="134">
        <v>0</v>
      </c>
      <c r="D12" s="134">
        <v>0</v>
      </c>
      <c r="E12" s="134">
        <v>0</v>
      </c>
      <c r="F12" s="134">
        <v>0</v>
      </c>
      <c r="G12" s="134">
        <v>0</v>
      </c>
      <c r="H12" s="134">
        <v>0</v>
      </c>
      <c r="I12" s="134">
        <f t="shared" ref="I12:AI12" si="25">$D$7/$F$7</f>
        <v>63.783333333333339</v>
      </c>
      <c r="J12" s="134">
        <f t="shared" si="25"/>
        <v>63.783333333333339</v>
      </c>
      <c r="K12" s="134">
        <f t="shared" si="25"/>
        <v>63.783333333333339</v>
      </c>
      <c r="L12" s="134">
        <f t="shared" si="25"/>
        <v>63.783333333333339</v>
      </c>
      <c r="M12" s="134">
        <f t="shared" si="25"/>
        <v>63.783333333333339</v>
      </c>
      <c r="N12" s="134">
        <f t="shared" si="25"/>
        <v>63.783333333333339</v>
      </c>
      <c r="O12" s="134">
        <f t="shared" si="25"/>
        <v>63.783333333333339</v>
      </c>
      <c r="P12" s="134">
        <f t="shared" si="25"/>
        <v>63.783333333333339</v>
      </c>
      <c r="Q12" s="134">
        <f t="shared" si="25"/>
        <v>63.783333333333339</v>
      </c>
      <c r="R12" s="134">
        <f t="shared" si="25"/>
        <v>63.783333333333339</v>
      </c>
      <c r="S12" s="134">
        <f t="shared" si="25"/>
        <v>63.783333333333339</v>
      </c>
      <c r="T12" s="134">
        <f t="shared" si="25"/>
        <v>63.783333333333339</v>
      </c>
      <c r="U12" s="134">
        <f t="shared" si="25"/>
        <v>63.783333333333339</v>
      </c>
      <c r="V12" s="134">
        <f t="shared" si="25"/>
        <v>63.783333333333339</v>
      </c>
      <c r="W12" s="134">
        <f t="shared" si="25"/>
        <v>63.783333333333339</v>
      </c>
      <c r="X12" s="134">
        <f t="shared" si="25"/>
        <v>63.783333333333339</v>
      </c>
      <c r="Y12" s="134">
        <f t="shared" si="25"/>
        <v>63.783333333333339</v>
      </c>
      <c r="Z12" s="134">
        <f t="shared" si="25"/>
        <v>63.783333333333339</v>
      </c>
      <c r="AA12" s="134">
        <f t="shared" si="25"/>
        <v>63.783333333333339</v>
      </c>
      <c r="AB12" s="134">
        <f t="shared" si="25"/>
        <v>63.783333333333339</v>
      </c>
      <c r="AC12" s="134">
        <f t="shared" si="25"/>
        <v>63.783333333333339</v>
      </c>
      <c r="AD12" s="134">
        <f t="shared" si="25"/>
        <v>63.783333333333339</v>
      </c>
      <c r="AE12" s="134">
        <f t="shared" si="25"/>
        <v>63.783333333333339</v>
      </c>
      <c r="AF12" s="134">
        <f t="shared" si="25"/>
        <v>63.783333333333339</v>
      </c>
      <c r="AG12" s="134">
        <f t="shared" si="25"/>
        <v>63.783333333333339</v>
      </c>
      <c r="AH12" s="134">
        <f t="shared" si="25"/>
        <v>63.783333333333339</v>
      </c>
      <c r="AI12" s="134">
        <f t="shared" si="25"/>
        <v>63.783333333333339</v>
      </c>
    </row>
    <row r="13" spans="2:35" x14ac:dyDescent="0.2">
      <c r="B13" s="133" t="s">
        <v>201</v>
      </c>
      <c r="C13" s="134">
        <f>C11*E6*(6/12)</f>
        <v>0</v>
      </c>
      <c r="D13" s="134">
        <f>D11*F6*(6/12)</f>
        <v>0</v>
      </c>
      <c r="E13" s="134">
        <f t="shared" ref="E13:H13" si="26">E11*G6*(6/12)</f>
        <v>0</v>
      </c>
      <c r="F13" s="134">
        <f t="shared" si="26"/>
        <v>0</v>
      </c>
      <c r="G13" s="134">
        <f t="shared" si="26"/>
        <v>0</v>
      </c>
      <c r="H13" s="134">
        <f t="shared" si="26"/>
        <v>0</v>
      </c>
      <c r="I13" s="134">
        <f t="shared" ref="I13:L13" si="27">I11*$E$7</f>
        <v>166.18747500000001</v>
      </c>
      <c r="J13" s="134">
        <f t="shared" si="27"/>
        <v>160.03238333333334</v>
      </c>
      <c r="K13" s="134">
        <f t="shared" si="27"/>
        <v>153.87729166666668</v>
      </c>
      <c r="L13" s="134">
        <f t="shared" si="27"/>
        <v>147.72220000000002</v>
      </c>
      <c r="M13" s="134">
        <f t="shared" ref="M13:AI13" si="28">M11*$E$7</f>
        <v>141.56710833333335</v>
      </c>
      <c r="N13" s="134">
        <f t="shared" si="28"/>
        <v>135.41201666666669</v>
      </c>
      <c r="O13" s="134">
        <f t="shared" si="28"/>
        <v>129.25692500000002</v>
      </c>
      <c r="P13" s="134">
        <f t="shared" si="28"/>
        <v>123.10183333333336</v>
      </c>
      <c r="Q13" s="134">
        <f t="shared" si="28"/>
        <v>116.9467416666667</v>
      </c>
      <c r="R13" s="134">
        <f t="shared" si="28"/>
        <v>110.79165000000003</v>
      </c>
      <c r="S13" s="134">
        <f t="shared" si="28"/>
        <v>104.63655833333337</v>
      </c>
      <c r="T13" s="134">
        <f t="shared" si="28"/>
        <v>98.481466666666705</v>
      </c>
      <c r="U13" s="134">
        <f t="shared" si="28"/>
        <v>92.326375000000041</v>
      </c>
      <c r="V13" s="134">
        <f t="shared" si="28"/>
        <v>86.171283333333378</v>
      </c>
      <c r="W13" s="134">
        <f t="shared" si="28"/>
        <v>80.016191666666714</v>
      </c>
      <c r="X13" s="134">
        <f t="shared" si="28"/>
        <v>73.86110000000005</v>
      </c>
      <c r="Y13" s="134">
        <f t="shared" si="28"/>
        <v>67.706008333333386</v>
      </c>
      <c r="Z13" s="134">
        <f t="shared" si="28"/>
        <v>61.55091666666673</v>
      </c>
      <c r="AA13" s="134">
        <f t="shared" si="28"/>
        <v>55.395825000000066</v>
      </c>
      <c r="AB13" s="134">
        <f t="shared" si="28"/>
        <v>49.240733333333395</v>
      </c>
      <c r="AC13" s="134">
        <f t="shared" si="28"/>
        <v>43.085641666666724</v>
      </c>
      <c r="AD13" s="134">
        <f t="shared" si="28"/>
        <v>36.930550000000054</v>
      </c>
      <c r="AE13" s="134">
        <f t="shared" si="28"/>
        <v>30.775458333333386</v>
      </c>
      <c r="AF13" s="134">
        <f t="shared" si="28"/>
        <v>24.620366666666719</v>
      </c>
      <c r="AG13" s="134">
        <f t="shared" si="28"/>
        <v>18.465275000000052</v>
      </c>
      <c r="AH13" s="134">
        <f t="shared" si="28"/>
        <v>12.310183333333386</v>
      </c>
      <c r="AI13" s="134">
        <f t="shared" si="28"/>
        <v>6.1550916666667179</v>
      </c>
    </row>
    <row r="14" spans="2:35" x14ac:dyDescent="0.2">
      <c r="B14" s="133" t="s">
        <v>26</v>
      </c>
      <c r="C14" s="134">
        <f t="shared" ref="C14:L14" si="29">C11-C12</f>
        <v>1722.15</v>
      </c>
      <c r="D14" s="134">
        <f t="shared" si="29"/>
        <v>1722.15</v>
      </c>
      <c r="E14" s="134">
        <f t="shared" si="29"/>
        <v>1722.15</v>
      </c>
      <c r="F14" s="134">
        <f t="shared" si="29"/>
        <v>1722.15</v>
      </c>
      <c r="G14" s="134">
        <f t="shared" si="29"/>
        <v>1722.15</v>
      </c>
      <c r="H14" s="134">
        <f t="shared" si="29"/>
        <v>1722.15</v>
      </c>
      <c r="I14" s="134">
        <f t="shared" si="29"/>
        <v>1658.3666666666668</v>
      </c>
      <c r="J14" s="134">
        <f t="shared" si="29"/>
        <v>1594.5833333333335</v>
      </c>
      <c r="K14" s="134">
        <f t="shared" si="29"/>
        <v>1530.8000000000002</v>
      </c>
      <c r="L14" s="134">
        <f t="shared" si="29"/>
        <v>1467.0166666666669</v>
      </c>
      <c r="M14" s="134">
        <f t="shared" ref="M14:AI14" si="30">M11-M12</f>
        <v>1403.2333333333336</v>
      </c>
      <c r="N14" s="134">
        <f t="shared" si="30"/>
        <v>1339.4500000000003</v>
      </c>
      <c r="O14" s="134">
        <f t="shared" si="30"/>
        <v>1275.666666666667</v>
      </c>
      <c r="P14" s="134">
        <f t="shared" si="30"/>
        <v>1211.8833333333337</v>
      </c>
      <c r="Q14" s="134">
        <f t="shared" si="30"/>
        <v>1148.1000000000004</v>
      </c>
      <c r="R14" s="134">
        <f t="shared" si="30"/>
        <v>1084.3166666666671</v>
      </c>
      <c r="S14" s="134">
        <f t="shared" si="30"/>
        <v>1020.5333333333338</v>
      </c>
      <c r="T14" s="134">
        <f t="shared" si="30"/>
        <v>956.75000000000045</v>
      </c>
      <c r="U14" s="134">
        <f t="shared" si="30"/>
        <v>892.96666666666715</v>
      </c>
      <c r="V14" s="134">
        <f t="shared" si="30"/>
        <v>829.18333333333385</v>
      </c>
      <c r="W14" s="134">
        <f t="shared" si="30"/>
        <v>765.40000000000055</v>
      </c>
      <c r="X14" s="134">
        <f t="shared" si="30"/>
        <v>701.61666666666724</v>
      </c>
      <c r="Y14" s="134">
        <f t="shared" si="30"/>
        <v>637.83333333333394</v>
      </c>
      <c r="Z14" s="134">
        <f t="shared" si="30"/>
        <v>574.05000000000064</v>
      </c>
      <c r="AA14" s="134">
        <f t="shared" si="30"/>
        <v>510.26666666666728</v>
      </c>
      <c r="AB14" s="134">
        <f t="shared" si="30"/>
        <v>446.48333333333392</v>
      </c>
      <c r="AC14" s="134">
        <f t="shared" si="30"/>
        <v>382.70000000000056</v>
      </c>
      <c r="AD14" s="134">
        <f t="shared" si="30"/>
        <v>318.9166666666672</v>
      </c>
      <c r="AE14" s="134">
        <f t="shared" si="30"/>
        <v>255.13333333333387</v>
      </c>
      <c r="AF14" s="134">
        <f t="shared" si="30"/>
        <v>191.35000000000053</v>
      </c>
      <c r="AG14" s="134">
        <f t="shared" si="30"/>
        <v>127.5666666666672</v>
      </c>
      <c r="AH14" s="134">
        <f t="shared" si="30"/>
        <v>63.783333333333864</v>
      </c>
      <c r="AI14" s="134">
        <f t="shared" si="30"/>
        <v>5.2580162446247414E-13</v>
      </c>
    </row>
    <row r="15" spans="2:35" ht="25.5" x14ac:dyDescent="0.2">
      <c r="G15" s="187" t="s">
        <v>224</v>
      </c>
      <c r="H15" s="134">
        <f>SUM(E12:H12)</f>
        <v>0</v>
      </c>
      <c r="L15" s="134">
        <f>SUM(I13:L13)</f>
        <v>627.8193500000001</v>
      </c>
      <c r="P15" s="134">
        <f>SUM(M13:P13)</f>
        <v>529.33788333333348</v>
      </c>
      <c r="T15" s="134">
        <f>SUM(Q13:T13)</f>
        <v>430.85641666666686</v>
      </c>
      <c r="X15" s="134">
        <f>SUM(U13:X13)</f>
        <v>332.37495000000024</v>
      </c>
      <c r="AB15" s="134">
        <f>SUM(Y13:AB13)</f>
        <v>233.89348333333356</v>
      </c>
      <c r="AF15" s="134">
        <f>SUM(AC13:AF13)</f>
        <v>135.41201666666689</v>
      </c>
      <c r="AI15" s="134">
        <f>SUM(AG13:AI13)</f>
        <v>36.93055000000016</v>
      </c>
    </row>
    <row r="16" spans="2:35" ht="26.25" thickBot="1" x14ac:dyDescent="0.25">
      <c r="B16" t="s">
        <v>202</v>
      </c>
      <c r="C16" s="1" t="s">
        <v>226</v>
      </c>
      <c r="G16" s="187" t="s">
        <v>225</v>
      </c>
      <c r="H16" s="134">
        <f>SUM(E12:H12)</f>
        <v>0</v>
      </c>
      <c r="L16" s="134">
        <f>SUM(I12:L12)</f>
        <v>255.13333333333335</v>
      </c>
      <c r="P16" s="134">
        <f>SUM(M12:P12)</f>
        <v>255.13333333333335</v>
      </c>
      <c r="T16" s="134">
        <f>SUM(Q12:T12)</f>
        <v>255.13333333333335</v>
      </c>
      <c r="X16" s="134">
        <f>SUM(U12:X12)</f>
        <v>255.13333333333335</v>
      </c>
      <c r="AB16" s="134">
        <f>SUM(Y12:AB12)</f>
        <v>255.13333333333335</v>
      </c>
      <c r="AF16" s="134">
        <f>SUM(AC12:AF12)</f>
        <v>255.13333333333335</v>
      </c>
      <c r="AI16" s="134">
        <f>SUM(AG12:AI12)</f>
        <v>191.35000000000002</v>
      </c>
    </row>
    <row r="17" spans="1:3" ht="27.6" customHeight="1" x14ac:dyDescent="0.2">
      <c r="A17" s="451" t="s">
        <v>74</v>
      </c>
      <c r="B17" s="451" t="s">
        <v>204</v>
      </c>
      <c r="C17" s="451" t="s">
        <v>205</v>
      </c>
    </row>
    <row r="18" spans="1:3" ht="13.9" customHeight="1" thickBot="1" x14ac:dyDescent="0.25">
      <c r="A18" s="452"/>
      <c r="B18" s="452"/>
      <c r="C18" s="452"/>
    </row>
    <row r="19" spans="1:3" ht="15" thickBot="1" x14ac:dyDescent="0.25">
      <c r="A19" s="136">
        <v>1</v>
      </c>
      <c r="B19" s="137" t="s">
        <v>206</v>
      </c>
      <c r="C19" s="156">
        <v>45323</v>
      </c>
    </row>
    <row r="20" spans="1:3" ht="15" thickBot="1" x14ac:dyDescent="0.25">
      <c r="A20" s="136">
        <v>2</v>
      </c>
      <c r="B20" s="137" t="s">
        <v>207</v>
      </c>
      <c r="C20" s="157" t="s">
        <v>208</v>
      </c>
    </row>
    <row r="21" spans="1:3" ht="17.25" thickBot="1" x14ac:dyDescent="0.25">
      <c r="A21" s="136">
        <v>3</v>
      </c>
      <c r="B21" s="137" t="s">
        <v>209</v>
      </c>
      <c r="C21" s="157" t="s">
        <v>216</v>
      </c>
    </row>
    <row r="22" spans="1:3" ht="15" thickBot="1" x14ac:dyDescent="0.25">
      <c r="A22" s="136">
        <v>4</v>
      </c>
      <c r="B22" s="137" t="s">
        <v>210</v>
      </c>
      <c r="C22" s="157" t="s">
        <v>215</v>
      </c>
    </row>
    <row r="23" spans="1:3" ht="15" thickBot="1" x14ac:dyDescent="0.25">
      <c r="A23" s="136">
        <v>5</v>
      </c>
      <c r="B23" s="137" t="s">
        <v>211</v>
      </c>
      <c r="C23" s="156">
        <v>46478</v>
      </c>
    </row>
    <row r="24" spans="1:3" ht="15" thickBot="1" x14ac:dyDescent="0.25">
      <c r="A24" s="136">
        <v>6</v>
      </c>
      <c r="B24" s="137" t="s">
        <v>212</v>
      </c>
      <c r="C24" s="157" t="s">
        <v>217</v>
      </c>
    </row>
  </sheetData>
  <mergeCells count="4">
    <mergeCell ref="B17:B18"/>
    <mergeCell ref="C17:C18"/>
    <mergeCell ref="A17:A18"/>
    <mergeCell ref="B2:S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2"/>
  <sheetViews>
    <sheetView topLeftCell="A226" workbookViewId="0">
      <selection activeCell="C239" sqref="C239"/>
    </sheetView>
  </sheetViews>
  <sheetFormatPr defaultRowHeight="12.75" x14ac:dyDescent="0.2"/>
  <cols>
    <col min="1" max="1" width="47.7109375" bestFit="1" customWidth="1"/>
    <col min="2" max="2" width="14.42578125" customWidth="1"/>
    <col min="3" max="4" width="10.5703125" bestFit="1" customWidth="1"/>
    <col min="5" max="5" width="12" customWidth="1"/>
    <col min="6" max="6" width="10.5703125" bestFit="1" customWidth="1"/>
    <col min="11" max="11" width="13.28515625" customWidth="1"/>
    <col min="12" max="13" width="7.7109375" bestFit="1" customWidth="1"/>
  </cols>
  <sheetData>
    <row r="1" spans="1:11" ht="21" x14ac:dyDescent="0.35">
      <c r="A1" s="457" t="str">
        <f>[1]COP!A1</f>
        <v>M/s VAYU SUITES</v>
      </c>
      <c r="B1" s="457"/>
      <c r="C1" s="457"/>
      <c r="D1" s="457"/>
      <c r="E1" s="457"/>
      <c r="F1" s="457"/>
      <c r="G1" s="457"/>
      <c r="H1" s="457"/>
    </row>
    <row r="2" spans="1:11" ht="15" x14ac:dyDescent="0.25">
      <c r="A2" s="458" t="str">
        <f>[1]COP!A2</f>
        <v>NEW HOTEL PROJECT</v>
      </c>
      <c r="B2" s="458"/>
      <c r="C2" s="458"/>
      <c r="D2" s="458"/>
      <c r="E2" s="458"/>
      <c r="F2" s="458"/>
      <c r="G2" s="458"/>
      <c r="H2" s="458"/>
    </row>
    <row r="3" spans="1:11" ht="33.75" customHeight="1" x14ac:dyDescent="0.25">
      <c r="A3" s="459" t="str">
        <f>[1]COP!A3</f>
        <v xml:space="preserve">REG. ADDRESS : -LOBBY LEVEL, INSIDE HOTEL VISHNUPRIYA, 9, GULAB BAGH ROAD, UDAIPUR, RAJASTHAN, 313001 </v>
      </c>
      <c r="B3" s="459"/>
      <c r="C3" s="459"/>
      <c r="D3" s="459"/>
      <c r="E3" s="459"/>
      <c r="F3" s="459"/>
      <c r="G3" s="459"/>
      <c r="H3" s="459"/>
    </row>
    <row r="4" spans="1:11" ht="33.75" customHeight="1" x14ac:dyDescent="0.25">
      <c r="A4" s="459" t="str">
        <f>[1]COP!A4</f>
        <v>UNIT ADDRESS : -KHASARA NO. 579/546, REVENUE VILLAGE-SENA, TEHSIL-BALI, DISTRICT-PALI, RAJASTHAN</v>
      </c>
      <c r="B4" s="459"/>
      <c r="C4" s="459"/>
      <c r="D4" s="459"/>
      <c r="E4" s="459"/>
      <c r="F4" s="459"/>
      <c r="G4" s="459"/>
      <c r="H4" s="459"/>
    </row>
    <row r="5" spans="1:11" ht="30.75" thickBot="1" x14ac:dyDescent="0.3">
      <c r="A5" s="284"/>
      <c r="B5" s="284"/>
      <c r="C5" s="284"/>
      <c r="D5" s="284"/>
      <c r="E5" s="284" t="s">
        <v>408</v>
      </c>
      <c r="F5" s="367" t="s">
        <v>461</v>
      </c>
      <c r="G5" s="284"/>
      <c r="H5" s="284">
        <v>2000</v>
      </c>
    </row>
    <row r="6" spans="1:11" ht="15.75" thickBot="1" x14ac:dyDescent="0.3">
      <c r="A6" s="306" t="s">
        <v>227</v>
      </c>
      <c r="B6" s="307">
        <v>9.5000000000000001E-2</v>
      </c>
      <c r="C6" s="284"/>
      <c r="D6" s="284" t="s">
        <v>230</v>
      </c>
      <c r="E6" s="284">
        <v>5</v>
      </c>
      <c r="F6" s="284">
        <f>+E6*5</f>
        <v>25</v>
      </c>
      <c r="G6" s="284">
        <f>+F6/$H$5*100</f>
        <v>1.25</v>
      </c>
      <c r="H6" s="284"/>
      <c r="I6">
        <f>+H5/15</f>
        <v>133.33333333333334</v>
      </c>
      <c r="K6">
        <f>60/12</f>
        <v>5</v>
      </c>
    </row>
    <row r="7" spans="1:11" ht="15.75" thickBot="1" x14ac:dyDescent="0.3">
      <c r="A7" s="137" t="s">
        <v>40</v>
      </c>
      <c r="B7" s="303">
        <v>15</v>
      </c>
      <c r="C7" s="284"/>
      <c r="D7" s="284" t="s">
        <v>231</v>
      </c>
      <c r="E7" s="284">
        <v>12</v>
      </c>
      <c r="F7" s="284">
        <v>60</v>
      </c>
      <c r="G7" s="284">
        <f>+F7/$H$5*100</f>
        <v>3</v>
      </c>
      <c r="H7" s="284"/>
    </row>
    <row r="8" spans="1:11" ht="15.75" thickBot="1" x14ac:dyDescent="0.3">
      <c r="A8" s="137" t="s">
        <v>151</v>
      </c>
      <c r="B8" s="303" t="s">
        <v>399</v>
      </c>
      <c r="C8" s="284"/>
      <c r="D8" s="284" t="s">
        <v>232</v>
      </c>
      <c r="E8" s="284">
        <v>12</v>
      </c>
      <c r="F8" s="284">
        <v>60</v>
      </c>
      <c r="G8" s="284">
        <f t="shared" ref="G8:G18" si="0">+F8/$H$5*100</f>
        <v>3</v>
      </c>
      <c r="H8" s="284"/>
    </row>
    <row r="9" spans="1:11" ht="15.75" thickBot="1" x14ac:dyDescent="0.3">
      <c r="A9" s="137" t="s">
        <v>1</v>
      </c>
      <c r="B9" s="303">
        <v>2000</v>
      </c>
      <c r="C9" s="284"/>
      <c r="D9" s="284" t="s">
        <v>233</v>
      </c>
      <c r="E9" s="284">
        <v>12</v>
      </c>
      <c r="F9" s="284">
        <v>60</v>
      </c>
      <c r="G9" s="284">
        <f t="shared" si="0"/>
        <v>3</v>
      </c>
      <c r="H9" s="284"/>
      <c r="K9">
        <f>+F9/12</f>
        <v>5</v>
      </c>
    </row>
    <row r="10" spans="1:11" ht="15.75" thickBot="1" x14ac:dyDescent="0.3">
      <c r="A10" s="137" t="s">
        <v>401</v>
      </c>
      <c r="B10" s="304">
        <v>45595</v>
      </c>
      <c r="C10" s="284"/>
      <c r="D10" s="284" t="s">
        <v>234</v>
      </c>
      <c r="E10" s="284">
        <v>12</v>
      </c>
      <c r="F10" s="284">
        <v>120</v>
      </c>
      <c r="G10" s="284">
        <f t="shared" si="0"/>
        <v>6</v>
      </c>
      <c r="H10" s="284"/>
    </row>
    <row r="11" spans="1:11" ht="15.75" thickBot="1" x14ac:dyDescent="0.3">
      <c r="A11" s="137" t="s">
        <v>402</v>
      </c>
      <c r="B11" s="305">
        <v>45627</v>
      </c>
      <c r="C11" s="284"/>
      <c r="D11" s="284" t="s">
        <v>235</v>
      </c>
      <c r="E11" s="284">
        <v>12</v>
      </c>
      <c r="F11" s="284">
        <v>120</v>
      </c>
      <c r="G11" s="284">
        <f t="shared" si="0"/>
        <v>6</v>
      </c>
      <c r="H11" s="284"/>
    </row>
    <row r="12" spans="1:11" ht="15.75" thickBot="1" x14ac:dyDescent="0.3">
      <c r="A12" s="137" t="s">
        <v>209</v>
      </c>
      <c r="B12" s="305">
        <v>46478</v>
      </c>
      <c r="C12" s="284"/>
      <c r="D12" s="284" t="s">
        <v>236</v>
      </c>
      <c r="E12" s="284">
        <v>12</v>
      </c>
      <c r="F12" s="284">
        <v>120</v>
      </c>
      <c r="G12" s="284">
        <f t="shared" si="0"/>
        <v>6</v>
      </c>
      <c r="H12" s="284"/>
      <c r="I12">
        <f>+H5*8%</f>
        <v>160</v>
      </c>
    </row>
    <row r="13" spans="1:11" ht="30" thickBot="1" x14ac:dyDescent="0.3">
      <c r="A13" s="137" t="s">
        <v>246</v>
      </c>
      <c r="B13" s="305" t="s">
        <v>403</v>
      </c>
      <c r="C13" s="284"/>
      <c r="D13" s="284" t="s">
        <v>388</v>
      </c>
      <c r="E13" s="284">
        <v>12</v>
      </c>
      <c r="F13" s="284">
        <v>120</v>
      </c>
      <c r="G13" s="284">
        <f t="shared" si="0"/>
        <v>6</v>
      </c>
      <c r="H13" s="284"/>
      <c r="I13" s="2">
        <v>0.08</v>
      </c>
    </row>
    <row r="14" spans="1:11" ht="15.75" thickBot="1" x14ac:dyDescent="0.3">
      <c r="A14" s="137" t="s">
        <v>245</v>
      </c>
      <c r="B14" s="305" t="s">
        <v>400</v>
      </c>
      <c r="C14" s="284"/>
      <c r="D14" s="284" t="s">
        <v>389</v>
      </c>
      <c r="E14" s="284">
        <v>12</v>
      </c>
      <c r="F14" s="284">
        <v>200</v>
      </c>
      <c r="G14" s="284">
        <f t="shared" si="0"/>
        <v>10</v>
      </c>
      <c r="H14" s="284"/>
      <c r="I14">
        <f>+H5*I13</f>
        <v>160</v>
      </c>
    </row>
    <row r="15" spans="1:11" ht="15.75" thickBot="1" x14ac:dyDescent="0.3">
      <c r="A15" s="137" t="s">
        <v>404</v>
      </c>
      <c r="B15" s="305">
        <v>46692</v>
      </c>
      <c r="C15" s="284"/>
      <c r="D15" s="284" t="s">
        <v>390</v>
      </c>
      <c r="E15" s="284">
        <v>12</v>
      </c>
      <c r="F15" s="284">
        <v>250</v>
      </c>
      <c r="G15" s="284">
        <f t="shared" si="0"/>
        <v>12.5</v>
      </c>
      <c r="H15" s="284"/>
    </row>
    <row r="16" spans="1:11" ht="15.75" thickBot="1" x14ac:dyDescent="0.3">
      <c r="A16" s="137" t="s">
        <v>405</v>
      </c>
      <c r="B16" s="309">
        <v>51044</v>
      </c>
      <c r="C16" s="308"/>
      <c r="D16" s="284" t="s">
        <v>391</v>
      </c>
      <c r="E16" s="284">
        <v>12</v>
      </c>
      <c r="F16" s="284">
        <v>300</v>
      </c>
      <c r="G16" s="284">
        <f t="shared" si="0"/>
        <v>15</v>
      </c>
      <c r="H16" s="284"/>
    </row>
    <row r="17" spans="1:14" ht="15.75" thickBot="1" x14ac:dyDescent="0.3">
      <c r="A17" s="137" t="s">
        <v>407</v>
      </c>
      <c r="B17" s="303" t="s">
        <v>406</v>
      </c>
      <c r="C17" s="284"/>
      <c r="D17" s="284" t="s">
        <v>392</v>
      </c>
      <c r="E17" s="284">
        <v>12</v>
      </c>
      <c r="F17" s="284">
        <v>380</v>
      </c>
      <c r="G17" s="284">
        <f t="shared" si="0"/>
        <v>19</v>
      </c>
      <c r="H17" s="284"/>
    </row>
    <row r="18" spans="1:14" ht="15" x14ac:dyDescent="0.25">
      <c r="A18" s="284"/>
      <c r="B18" s="284"/>
      <c r="C18" s="284"/>
      <c r="D18" s="284" t="s">
        <v>393</v>
      </c>
      <c r="E18" s="284">
        <v>7</v>
      </c>
      <c r="F18" s="284">
        <f>+E18*N18</f>
        <v>185</v>
      </c>
      <c r="G18" s="284">
        <f t="shared" si="0"/>
        <v>9.25</v>
      </c>
      <c r="H18" s="284"/>
      <c r="K18" s="1">
        <f>350/12</f>
        <v>29.166666666666668</v>
      </c>
      <c r="M18">
        <f>2000-1815</f>
        <v>185</v>
      </c>
      <c r="N18">
        <f>+M18/7</f>
        <v>26.428571428571427</v>
      </c>
    </row>
    <row r="19" spans="1:14" ht="15" x14ac:dyDescent="0.25">
      <c r="A19" s="284"/>
      <c r="B19" s="284"/>
      <c r="C19" s="284"/>
      <c r="D19" s="284"/>
      <c r="E19" s="284">
        <v>2000</v>
      </c>
      <c r="F19" s="284">
        <f>SUM(F6:F18)</f>
        <v>2000</v>
      </c>
      <c r="G19" s="284">
        <f>+F19-E19</f>
        <v>0</v>
      </c>
      <c r="H19" s="284"/>
    </row>
    <row r="20" spans="1:14" ht="15" x14ac:dyDescent="0.25">
      <c r="A20" s="285" t="s">
        <v>381</v>
      </c>
      <c r="B20" s="286"/>
      <c r="C20" s="287" t="s">
        <v>382</v>
      </c>
      <c r="D20" s="288">
        <v>0.1</v>
      </c>
      <c r="E20" s="286"/>
      <c r="F20" s="286"/>
      <c r="G20" s="460" t="s">
        <v>383</v>
      </c>
      <c r="H20" s="460"/>
    </row>
    <row r="21" spans="1:14" ht="15" x14ac:dyDescent="0.2">
      <c r="A21" s="289" t="s">
        <v>240</v>
      </c>
      <c r="B21" s="289" t="s">
        <v>384</v>
      </c>
      <c r="C21" s="289" t="s">
        <v>385</v>
      </c>
      <c r="D21" s="289" t="s">
        <v>11</v>
      </c>
      <c r="E21" s="289" t="s">
        <v>386</v>
      </c>
      <c r="F21" s="289" t="s">
        <v>387</v>
      </c>
      <c r="G21" s="289" t="s">
        <v>223</v>
      </c>
      <c r="H21" s="289" t="s">
        <v>11</v>
      </c>
    </row>
    <row r="22" spans="1:14" ht="15" x14ac:dyDescent="0.2">
      <c r="A22" s="290" t="s">
        <v>238</v>
      </c>
      <c r="B22" s="289"/>
      <c r="C22" s="289"/>
      <c r="D22" s="289"/>
      <c r="E22" s="289"/>
      <c r="F22" s="289"/>
      <c r="G22" s="289"/>
      <c r="H22" s="289"/>
    </row>
    <row r="23" spans="1:14" ht="15" x14ac:dyDescent="0.2">
      <c r="A23" s="291">
        <v>45597</v>
      </c>
      <c r="B23" s="292">
        <v>0</v>
      </c>
      <c r="C23" s="292">
        <v>0</v>
      </c>
      <c r="D23" s="292">
        <f t="shared" ref="D23:D69" si="1">B23+C23</f>
        <v>0</v>
      </c>
      <c r="E23" s="292">
        <v>0</v>
      </c>
      <c r="F23" s="292">
        <f t="shared" ref="F23:F69" si="2">D23-E23</f>
        <v>0</v>
      </c>
      <c r="G23" s="292">
        <f t="shared" ref="G23:G27" si="3">F23*$D$20/12</f>
        <v>0</v>
      </c>
      <c r="H23" s="455"/>
    </row>
    <row r="24" spans="1:14" ht="15" x14ac:dyDescent="0.2">
      <c r="A24" s="291">
        <v>45627</v>
      </c>
      <c r="B24" s="292">
        <f t="shared" ref="B24:B69" si="4">F23</f>
        <v>0</v>
      </c>
      <c r="C24" s="292">
        <v>70</v>
      </c>
      <c r="D24" s="292">
        <f t="shared" si="1"/>
        <v>70</v>
      </c>
      <c r="E24" s="292">
        <v>0</v>
      </c>
      <c r="F24" s="292">
        <f t="shared" si="2"/>
        <v>70</v>
      </c>
      <c r="G24" s="292">
        <f>F24*$D$20/12</f>
        <v>0.58333333333333337</v>
      </c>
      <c r="H24" s="455"/>
    </row>
    <row r="25" spans="1:14" ht="15" x14ac:dyDescent="0.2">
      <c r="A25" s="291">
        <v>45658</v>
      </c>
      <c r="B25" s="292">
        <f t="shared" si="4"/>
        <v>70</v>
      </c>
      <c r="C25" s="292">
        <v>70</v>
      </c>
      <c r="D25" s="292">
        <f t="shared" si="1"/>
        <v>140</v>
      </c>
      <c r="E25" s="292">
        <v>0</v>
      </c>
      <c r="F25" s="292">
        <f t="shared" si="2"/>
        <v>140</v>
      </c>
      <c r="G25" s="292">
        <f t="shared" si="3"/>
        <v>1.1666666666666667</v>
      </c>
      <c r="H25" s="455"/>
    </row>
    <row r="26" spans="1:14" ht="15" x14ac:dyDescent="0.2">
      <c r="A26" s="291">
        <v>45689</v>
      </c>
      <c r="B26" s="292">
        <f t="shared" si="4"/>
        <v>140</v>
      </c>
      <c r="C26" s="292">
        <v>70</v>
      </c>
      <c r="D26" s="292">
        <f t="shared" si="1"/>
        <v>210</v>
      </c>
      <c r="E26" s="292">
        <v>0</v>
      </c>
      <c r="F26" s="292">
        <f t="shared" si="2"/>
        <v>210</v>
      </c>
      <c r="G26" s="292">
        <f t="shared" si="3"/>
        <v>1.75</v>
      </c>
      <c r="H26" s="456"/>
      <c r="K26">
        <f>F27*30%</f>
        <v>84</v>
      </c>
    </row>
    <row r="27" spans="1:14" ht="15" x14ac:dyDescent="0.2">
      <c r="A27" s="293">
        <v>45717</v>
      </c>
      <c r="B27" s="294">
        <f t="shared" si="4"/>
        <v>210</v>
      </c>
      <c r="C27" s="292">
        <v>70</v>
      </c>
      <c r="D27" s="294">
        <f t="shared" si="1"/>
        <v>280</v>
      </c>
      <c r="E27" s="292">
        <v>0</v>
      </c>
      <c r="F27" s="294">
        <f t="shared" si="2"/>
        <v>280</v>
      </c>
      <c r="G27" s="292">
        <f t="shared" si="3"/>
        <v>2.3333333333333335</v>
      </c>
      <c r="H27" s="295">
        <f>SUM(G23:G27)</f>
        <v>5.8333333333333339</v>
      </c>
    </row>
    <row r="28" spans="1:14" ht="15" x14ac:dyDescent="0.2">
      <c r="A28" s="296"/>
      <c r="B28" s="297"/>
      <c r="C28" s="297"/>
      <c r="D28" s="297"/>
      <c r="E28" s="297"/>
      <c r="F28" s="297"/>
      <c r="G28" s="298"/>
      <c r="H28" s="299"/>
    </row>
    <row r="29" spans="1:14" ht="15" x14ac:dyDescent="0.2">
      <c r="A29" s="290" t="s">
        <v>239</v>
      </c>
      <c r="B29" s="289" t="s">
        <v>384</v>
      </c>
      <c r="C29" s="289" t="s">
        <v>385</v>
      </c>
      <c r="D29" s="289" t="s">
        <v>11</v>
      </c>
      <c r="E29" s="289" t="s">
        <v>386</v>
      </c>
      <c r="F29" s="289" t="s">
        <v>387</v>
      </c>
      <c r="G29" s="289" t="s">
        <v>223</v>
      </c>
      <c r="H29" s="289" t="s">
        <v>11</v>
      </c>
    </row>
    <row r="30" spans="1:14" ht="15" x14ac:dyDescent="0.2">
      <c r="A30" s="291">
        <v>45748</v>
      </c>
      <c r="B30" s="292">
        <f>F27</f>
        <v>280</v>
      </c>
      <c r="C30" s="292">
        <v>70</v>
      </c>
      <c r="D30" s="292">
        <f t="shared" si="1"/>
        <v>350</v>
      </c>
      <c r="E30" s="292">
        <v>0</v>
      </c>
      <c r="F30" s="292">
        <f t="shared" si="2"/>
        <v>350</v>
      </c>
      <c r="G30" s="292">
        <f t="shared" ref="G30:G41" si="5">F30*$D$20/12</f>
        <v>2.9166666666666665</v>
      </c>
      <c r="H30" s="454"/>
    </row>
    <row r="31" spans="1:14" ht="15" x14ac:dyDescent="0.2">
      <c r="A31" s="291">
        <v>45778</v>
      </c>
      <c r="B31" s="292">
        <f t="shared" si="4"/>
        <v>350</v>
      </c>
      <c r="C31" s="292">
        <v>70</v>
      </c>
      <c r="D31" s="292">
        <f t="shared" si="1"/>
        <v>420</v>
      </c>
      <c r="E31" s="292">
        <v>0</v>
      </c>
      <c r="F31" s="292">
        <f t="shared" si="2"/>
        <v>420</v>
      </c>
      <c r="G31" s="292">
        <f t="shared" si="5"/>
        <v>3.5</v>
      </c>
      <c r="H31" s="455"/>
    </row>
    <row r="32" spans="1:14" ht="15" x14ac:dyDescent="0.2">
      <c r="A32" s="291">
        <v>45809</v>
      </c>
      <c r="B32" s="292">
        <f t="shared" si="4"/>
        <v>420</v>
      </c>
      <c r="C32" s="292">
        <v>70</v>
      </c>
      <c r="D32" s="292">
        <f t="shared" si="1"/>
        <v>490</v>
      </c>
      <c r="E32" s="292">
        <v>0</v>
      </c>
      <c r="F32" s="292">
        <f t="shared" si="2"/>
        <v>490</v>
      </c>
      <c r="G32" s="292">
        <f t="shared" si="5"/>
        <v>4.083333333333333</v>
      </c>
      <c r="H32" s="455"/>
    </row>
    <row r="33" spans="1:8" ht="15" x14ac:dyDescent="0.2">
      <c r="A33" s="291">
        <v>45839</v>
      </c>
      <c r="B33" s="292">
        <f t="shared" si="4"/>
        <v>490</v>
      </c>
      <c r="C33" s="292">
        <v>70</v>
      </c>
      <c r="D33" s="292">
        <f t="shared" si="1"/>
        <v>560</v>
      </c>
      <c r="E33" s="292">
        <v>0</v>
      </c>
      <c r="F33" s="292">
        <f t="shared" si="2"/>
        <v>560</v>
      </c>
      <c r="G33" s="292">
        <f t="shared" si="5"/>
        <v>4.666666666666667</v>
      </c>
      <c r="H33" s="455"/>
    </row>
    <row r="34" spans="1:8" ht="15" x14ac:dyDescent="0.2">
      <c r="A34" s="291">
        <v>45870</v>
      </c>
      <c r="B34" s="292">
        <f t="shared" si="4"/>
        <v>560</v>
      </c>
      <c r="C34" s="292">
        <v>70</v>
      </c>
      <c r="D34" s="292">
        <f t="shared" si="1"/>
        <v>630</v>
      </c>
      <c r="E34" s="292">
        <v>0</v>
      </c>
      <c r="F34" s="292">
        <f t="shared" si="2"/>
        <v>630</v>
      </c>
      <c r="G34" s="292">
        <f t="shared" si="5"/>
        <v>5.25</v>
      </c>
      <c r="H34" s="455"/>
    </row>
    <row r="35" spans="1:8" ht="15" x14ac:dyDescent="0.2">
      <c r="A35" s="291">
        <v>45901</v>
      </c>
      <c r="B35" s="292">
        <f t="shared" si="4"/>
        <v>630</v>
      </c>
      <c r="C35" s="292">
        <v>70</v>
      </c>
      <c r="D35" s="292">
        <f t="shared" si="1"/>
        <v>700</v>
      </c>
      <c r="E35" s="292">
        <v>0</v>
      </c>
      <c r="F35" s="292">
        <f t="shared" si="2"/>
        <v>700</v>
      </c>
      <c r="G35" s="292">
        <f t="shared" si="5"/>
        <v>5.833333333333333</v>
      </c>
      <c r="H35" s="455"/>
    </row>
    <row r="36" spans="1:8" ht="15" x14ac:dyDescent="0.2">
      <c r="A36" s="291">
        <v>45931</v>
      </c>
      <c r="B36" s="292">
        <f t="shared" si="4"/>
        <v>700</v>
      </c>
      <c r="C36" s="292">
        <v>70</v>
      </c>
      <c r="D36" s="292">
        <f t="shared" si="1"/>
        <v>770</v>
      </c>
      <c r="E36" s="292">
        <v>0</v>
      </c>
      <c r="F36" s="292">
        <f t="shared" si="2"/>
        <v>770</v>
      </c>
      <c r="G36" s="292">
        <f t="shared" si="5"/>
        <v>6.416666666666667</v>
      </c>
      <c r="H36" s="455"/>
    </row>
    <row r="37" spans="1:8" ht="15" x14ac:dyDescent="0.2">
      <c r="A37" s="291">
        <v>45962</v>
      </c>
      <c r="B37" s="292">
        <f t="shared" si="4"/>
        <v>770</v>
      </c>
      <c r="C37" s="292">
        <v>70</v>
      </c>
      <c r="D37" s="292">
        <f t="shared" si="1"/>
        <v>840</v>
      </c>
      <c r="E37" s="292">
        <v>0</v>
      </c>
      <c r="F37" s="292">
        <f t="shared" si="2"/>
        <v>840</v>
      </c>
      <c r="G37" s="292">
        <f t="shared" si="5"/>
        <v>7</v>
      </c>
      <c r="H37" s="455"/>
    </row>
    <row r="38" spans="1:8" ht="15" x14ac:dyDescent="0.2">
      <c r="A38" s="291">
        <v>45992</v>
      </c>
      <c r="B38" s="292">
        <f t="shared" si="4"/>
        <v>840</v>
      </c>
      <c r="C38" s="292">
        <v>70</v>
      </c>
      <c r="D38" s="292">
        <f t="shared" si="1"/>
        <v>910</v>
      </c>
      <c r="E38" s="292">
        <v>0</v>
      </c>
      <c r="F38" s="292">
        <f t="shared" si="2"/>
        <v>910</v>
      </c>
      <c r="G38" s="292">
        <f t="shared" si="5"/>
        <v>7.583333333333333</v>
      </c>
      <c r="H38" s="455"/>
    </row>
    <row r="39" spans="1:8" ht="15" x14ac:dyDescent="0.2">
      <c r="A39" s="291">
        <v>46023</v>
      </c>
      <c r="B39" s="292">
        <f t="shared" si="4"/>
        <v>910</v>
      </c>
      <c r="C39" s="292">
        <v>70</v>
      </c>
      <c r="D39" s="292">
        <f t="shared" si="1"/>
        <v>980</v>
      </c>
      <c r="E39" s="292">
        <v>0</v>
      </c>
      <c r="F39" s="292">
        <f t="shared" si="2"/>
        <v>980</v>
      </c>
      <c r="G39" s="292">
        <f t="shared" si="5"/>
        <v>8.1666666666666661</v>
      </c>
      <c r="H39" s="455"/>
    </row>
    <row r="40" spans="1:8" ht="15" x14ac:dyDescent="0.2">
      <c r="A40" s="291">
        <v>46054</v>
      </c>
      <c r="B40" s="292">
        <f t="shared" si="4"/>
        <v>980</v>
      </c>
      <c r="C40" s="292">
        <v>70</v>
      </c>
      <c r="D40" s="292">
        <f t="shared" si="1"/>
        <v>1050</v>
      </c>
      <c r="E40" s="292">
        <v>0</v>
      </c>
      <c r="F40" s="292">
        <f t="shared" si="2"/>
        <v>1050</v>
      </c>
      <c r="G40" s="292">
        <f t="shared" si="5"/>
        <v>8.75</v>
      </c>
      <c r="H40" s="456"/>
    </row>
    <row r="41" spans="1:8" ht="15" x14ac:dyDescent="0.2">
      <c r="A41" s="293">
        <v>46082</v>
      </c>
      <c r="B41" s="294">
        <f t="shared" si="4"/>
        <v>1050</v>
      </c>
      <c r="C41" s="292">
        <v>70</v>
      </c>
      <c r="D41" s="294">
        <f t="shared" si="1"/>
        <v>1120</v>
      </c>
      <c r="E41" s="292">
        <v>0</v>
      </c>
      <c r="F41" s="294">
        <f t="shared" si="2"/>
        <v>1120</v>
      </c>
      <c r="G41" s="292">
        <f t="shared" si="5"/>
        <v>9.3333333333333339</v>
      </c>
      <c r="H41" s="295">
        <f>SUM(G30:G41)</f>
        <v>73.499999999999986</v>
      </c>
    </row>
    <row r="42" spans="1:8" ht="15" x14ac:dyDescent="0.2">
      <c r="A42" s="299"/>
      <c r="B42" s="297"/>
      <c r="C42" s="297"/>
      <c r="D42" s="297"/>
      <c r="E42" s="297"/>
      <c r="F42" s="297"/>
      <c r="G42" s="298"/>
      <c r="H42" s="299"/>
    </row>
    <row r="43" spans="1:8" ht="15" x14ac:dyDescent="0.2">
      <c r="A43" s="290" t="s">
        <v>143</v>
      </c>
      <c r="B43" s="289" t="s">
        <v>384</v>
      </c>
      <c r="C43" s="289" t="s">
        <v>385</v>
      </c>
      <c r="D43" s="289" t="s">
        <v>11</v>
      </c>
      <c r="E43" s="289" t="s">
        <v>386</v>
      </c>
      <c r="F43" s="289" t="s">
        <v>387</v>
      </c>
      <c r="G43" s="289" t="s">
        <v>223</v>
      </c>
      <c r="H43" s="289" t="s">
        <v>11</v>
      </c>
    </row>
    <row r="44" spans="1:8" ht="15" x14ac:dyDescent="0.2">
      <c r="A44" s="291">
        <v>46113</v>
      </c>
      <c r="B44" s="292">
        <f>F41</f>
        <v>1120</v>
      </c>
      <c r="C44" s="292">
        <v>75</v>
      </c>
      <c r="D44" s="292">
        <f t="shared" si="1"/>
        <v>1195</v>
      </c>
      <c r="E44" s="292">
        <v>0</v>
      </c>
      <c r="F44" s="292">
        <f t="shared" si="2"/>
        <v>1195</v>
      </c>
      <c r="G44" s="292">
        <f t="shared" ref="G44:G55" si="6">F44*$D$20/12</f>
        <v>9.9583333333333339</v>
      </c>
      <c r="H44" s="454"/>
    </row>
    <row r="45" spans="1:8" ht="15" x14ac:dyDescent="0.2">
      <c r="A45" s="291">
        <v>46143</v>
      </c>
      <c r="B45" s="292">
        <f t="shared" si="4"/>
        <v>1195</v>
      </c>
      <c r="C45" s="292">
        <v>75</v>
      </c>
      <c r="D45" s="292">
        <f t="shared" si="1"/>
        <v>1270</v>
      </c>
      <c r="E45" s="292">
        <v>0</v>
      </c>
      <c r="F45" s="292">
        <f t="shared" si="2"/>
        <v>1270</v>
      </c>
      <c r="G45" s="292">
        <f t="shared" si="6"/>
        <v>10.583333333333334</v>
      </c>
      <c r="H45" s="455"/>
    </row>
    <row r="46" spans="1:8" ht="15" x14ac:dyDescent="0.2">
      <c r="A46" s="291">
        <v>46174</v>
      </c>
      <c r="B46" s="292">
        <f t="shared" si="4"/>
        <v>1270</v>
      </c>
      <c r="C46" s="292">
        <v>75</v>
      </c>
      <c r="D46" s="292">
        <f t="shared" si="1"/>
        <v>1345</v>
      </c>
      <c r="E46" s="292">
        <v>0</v>
      </c>
      <c r="F46" s="292">
        <f t="shared" si="2"/>
        <v>1345</v>
      </c>
      <c r="G46" s="292">
        <f t="shared" si="6"/>
        <v>11.208333333333334</v>
      </c>
      <c r="H46" s="455"/>
    </row>
    <row r="47" spans="1:8" ht="15" x14ac:dyDescent="0.2">
      <c r="A47" s="291">
        <v>46204</v>
      </c>
      <c r="B47" s="292">
        <f t="shared" si="4"/>
        <v>1345</v>
      </c>
      <c r="C47" s="292">
        <v>75</v>
      </c>
      <c r="D47" s="292">
        <f t="shared" si="1"/>
        <v>1420</v>
      </c>
      <c r="E47" s="292">
        <v>0</v>
      </c>
      <c r="F47" s="292">
        <f t="shared" si="2"/>
        <v>1420</v>
      </c>
      <c r="G47" s="292">
        <f t="shared" si="6"/>
        <v>11.833333333333334</v>
      </c>
      <c r="H47" s="455"/>
    </row>
    <row r="48" spans="1:8" ht="15" x14ac:dyDescent="0.2">
      <c r="A48" s="291">
        <v>46235</v>
      </c>
      <c r="B48" s="292">
        <f t="shared" si="4"/>
        <v>1420</v>
      </c>
      <c r="C48" s="292">
        <v>75</v>
      </c>
      <c r="D48" s="292">
        <f t="shared" si="1"/>
        <v>1495</v>
      </c>
      <c r="E48" s="292">
        <v>0</v>
      </c>
      <c r="F48" s="292">
        <f t="shared" si="2"/>
        <v>1495</v>
      </c>
      <c r="G48" s="292">
        <f t="shared" si="6"/>
        <v>12.458333333333334</v>
      </c>
      <c r="H48" s="455"/>
    </row>
    <row r="49" spans="1:12" ht="15" x14ac:dyDescent="0.2">
      <c r="A49" s="291">
        <v>46266</v>
      </c>
      <c r="B49" s="292">
        <f t="shared" si="4"/>
        <v>1495</v>
      </c>
      <c r="C49" s="292">
        <v>75</v>
      </c>
      <c r="D49" s="292">
        <f t="shared" si="1"/>
        <v>1570</v>
      </c>
      <c r="E49" s="292">
        <v>0</v>
      </c>
      <c r="F49" s="292">
        <f t="shared" si="2"/>
        <v>1570</v>
      </c>
      <c r="G49" s="292">
        <f t="shared" si="6"/>
        <v>13.083333333333334</v>
      </c>
      <c r="H49" s="455"/>
    </row>
    <row r="50" spans="1:12" ht="15" x14ac:dyDescent="0.2">
      <c r="A50" s="291">
        <v>46296</v>
      </c>
      <c r="B50" s="292">
        <f t="shared" si="4"/>
        <v>1570</v>
      </c>
      <c r="C50" s="292">
        <v>75</v>
      </c>
      <c r="D50" s="292">
        <f t="shared" si="1"/>
        <v>1645</v>
      </c>
      <c r="E50" s="292">
        <v>0</v>
      </c>
      <c r="F50" s="292">
        <f t="shared" si="2"/>
        <v>1645</v>
      </c>
      <c r="G50" s="292">
        <f t="shared" si="6"/>
        <v>13.708333333333334</v>
      </c>
      <c r="H50" s="455"/>
    </row>
    <row r="51" spans="1:12" ht="15" x14ac:dyDescent="0.2">
      <c r="A51" s="291">
        <v>46327</v>
      </c>
      <c r="B51" s="292">
        <f t="shared" si="4"/>
        <v>1645</v>
      </c>
      <c r="C51" s="292">
        <v>75</v>
      </c>
      <c r="D51" s="292">
        <f t="shared" si="1"/>
        <v>1720</v>
      </c>
      <c r="E51" s="292">
        <v>0</v>
      </c>
      <c r="F51" s="292">
        <f t="shared" si="2"/>
        <v>1720</v>
      </c>
      <c r="G51" s="292">
        <f t="shared" si="6"/>
        <v>14.333333333333334</v>
      </c>
      <c r="H51" s="455"/>
    </row>
    <row r="52" spans="1:12" ht="15" x14ac:dyDescent="0.2">
      <c r="A52" s="291">
        <v>46357</v>
      </c>
      <c r="B52" s="292">
        <f t="shared" si="4"/>
        <v>1720</v>
      </c>
      <c r="C52" s="292">
        <v>75</v>
      </c>
      <c r="D52" s="292">
        <f t="shared" si="1"/>
        <v>1795</v>
      </c>
      <c r="E52" s="292">
        <v>0</v>
      </c>
      <c r="F52" s="292">
        <f t="shared" si="2"/>
        <v>1795</v>
      </c>
      <c r="G52" s="292">
        <f t="shared" si="6"/>
        <v>14.958333333333334</v>
      </c>
      <c r="H52" s="455"/>
    </row>
    <row r="53" spans="1:12" ht="15" x14ac:dyDescent="0.2">
      <c r="A53" s="291">
        <v>46388</v>
      </c>
      <c r="B53" s="292">
        <f t="shared" si="4"/>
        <v>1795</v>
      </c>
      <c r="C53" s="292">
        <v>75</v>
      </c>
      <c r="D53" s="292">
        <f t="shared" si="1"/>
        <v>1870</v>
      </c>
      <c r="E53" s="292">
        <v>0</v>
      </c>
      <c r="F53" s="292">
        <f t="shared" si="2"/>
        <v>1870</v>
      </c>
      <c r="G53" s="292">
        <f t="shared" si="6"/>
        <v>15.583333333333334</v>
      </c>
      <c r="H53" s="455"/>
    </row>
    <row r="54" spans="1:12" ht="15" x14ac:dyDescent="0.2">
      <c r="A54" s="291">
        <v>46419</v>
      </c>
      <c r="B54" s="292">
        <f t="shared" si="4"/>
        <v>1870</v>
      </c>
      <c r="C54" s="292">
        <v>75</v>
      </c>
      <c r="D54" s="292">
        <f t="shared" si="1"/>
        <v>1945</v>
      </c>
      <c r="E54" s="292">
        <v>0</v>
      </c>
      <c r="F54" s="292">
        <f t="shared" si="2"/>
        <v>1945</v>
      </c>
      <c r="G54" s="292">
        <f t="shared" si="6"/>
        <v>16.208333333333332</v>
      </c>
      <c r="H54" s="456"/>
    </row>
    <row r="55" spans="1:12" ht="15" x14ac:dyDescent="0.2">
      <c r="A55" s="293">
        <v>46447</v>
      </c>
      <c r="B55" s="294">
        <f t="shared" si="4"/>
        <v>1945</v>
      </c>
      <c r="C55" s="292">
        <v>55</v>
      </c>
      <c r="D55" s="294">
        <f t="shared" si="1"/>
        <v>2000</v>
      </c>
      <c r="E55" s="292">
        <v>0</v>
      </c>
      <c r="F55" s="294">
        <f t="shared" si="2"/>
        <v>2000</v>
      </c>
      <c r="G55" s="292">
        <f t="shared" si="6"/>
        <v>16.666666666666668</v>
      </c>
      <c r="H55" s="295">
        <f>SUM(G44:G55)</f>
        <v>160.58333333333331</v>
      </c>
    </row>
    <row r="56" spans="1:12" ht="15" x14ac:dyDescent="0.2">
      <c r="A56" s="299"/>
      <c r="B56" s="297"/>
      <c r="C56" s="297"/>
      <c r="D56" s="297"/>
      <c r="E56" s="297"/>
      <c r="F56" s="297"/>
      <c r="G56" s="298"/>
      <c r="H56" s="299"/>
    </row>
    <row r="57" spans="1:12" ht="15" x14ac:dyDescent="0.2">
      <c r="A57" s="290" t="s">
        <v>230</v>
      </c>
      <c r="B57" s="289" t="s">
        <v>384</v>
      </c>
      <c r="C57" s="289" t="s">
        <v>385</v>
      </c>
      <c r="D57" s="289" t="s">
        <v>11</v>
      </c>
      <c r="E57" s="289" t="s">
        <v>386</v>
      </c>
      <c r="F57" s="289" t="s">
        <v>387</v>
      </c>
      <c r="G57" s="289" t="s">
        <v>223</v>
      </c>
      <c r="H57" s="289" t="s">
        <v>11</v>
      </c>
    </row>
    <row r="58" spans="1:12" ht="15" x14ac:dyDescent="0.2">
      <c r="A58" s="291">
        <v>46478</v>
      </c>
      <c r="B58" s="292">
        <f>F55</f>
        <v>2000</v>
      </c>
      <c r="C58" s="292">
        <v>0</v>
      </c>
      <c r="D58" s="292">
        <f t="shared" si="1"/>
        <v>2000</v>
      </c>
      <c r="E58" s="292">
        <v>0</v>
      </c>
      <c r="F58" s="292">
        <f t="shared" si="2"/>
        <v>2000</v>
      </c>
      <c r="G58" s="292">
        <f t="shared" ref="G58:G69" si="7">F58*$D$20/12</f>
        <v>16.666666666666668</v>
      </c>
      <c r="H58" s="454"/>
    </row>
    <row r="59" spans="1:12" ht="15" x14ac:dyDescent="0.2">
      <c r="A59" s="291">
        <v>46508</v>
      </c>
      <c r="B59" s="292">
        <f t="shared" si="4"/>
        <v>2000</v>
      </c>
      <c r="C59" s="292">
        <v>0</v>
      </c>
      <c r="D59" s="292">
        <f t="shared" si="1"/>
        <v>2000</v>
      </c>
      <c r="E59" s="292">
        <v>0</v>
      </c>
      <c r="F59" s="292">
        <f t="shared" si="2"/>
        <v>2000</v>
      </c>
      <c r="G59" s="292">
        <f t="shared" si="7"/>
        <v>16.666666666666668</v>
      </c>
      <c r="H59" s="455"/>
    </row>
    <row r="60" spans="1:12" ht="15" x14ac:dyDescent="0.2">
      <c r="A60" s="291">
        <v>46539</v>
      </c>
      <c r="B60" s="292">
        <f t="shared" si="4"/>
        <v>2000</v>
      </c>
      <c r="C60" s="292">
        <v>0</v>
      </c>
      <c r="D60" s="292">
        <f t="shared" si="1"/>
        <v>2000</v>
      </c>
      <c r="E60" s="292">
        <v>0</v>
      </c>
      <c r="F60" s="292">
        <f t="shared" si="2"/>
        <v>2000</v>
      </c>
      <c r="G60" s="292">
        <f t="shared" si="7"/>
        <v>16.666666666666668</v>
      </c>
      <c r="H60" s="455"/>
    </row>
    <row r="61" spans="1:12" ht="15" x14ac:dyDescent="0.2">
      <c r="A61" s="291">
        <v>46569</v>
      </c>
      <c r="B61" s="292">
        <f t="shared" si="4"/>
        <v>2000</v>
      </c>
      <c r="C61" s="292">
        <v>0</v>
      </c>
      <c r="D61" s="292">
        <f t="shared" si="1"/>
        <v>2000</v>
      </c>
      <c r="E61" s="292">
        <v>0</v>
      </c>
      <c r="F61" s="292">
        <f t="shared" si="2"/>
        <v>2000</v>
      </c>
      <c r="G61" s="292">
        <f t="shared" si="7"/>
        <v>16.666666666666668</v>
      </c>
      <c r="H61" s="455"/>
      <c r="K61" s="365"/>
      <c r="L61">
        <f>1*5</f>
        <v>5</v>
      </c>
    </row>
    <row r="62" spans="1:12" ht="15" x14ac:dyDescent="0.2">
      <c r="A62" s="291">
        <v>46600</v>
      </c>
      <c r="B62" s="292">
        <f t="shared" si="4"/>
        <v>2000</v>
      </c>
      <c r="C62" s="292">
        <v>0</v>
      </c>
      <c r="D62" s="292">
        <f t="shared" si="1"/>
        <v>2000</v>
      </c>
      <c r="E62" s="292">
        <v>0</v>
      </c>
      <c r="F62" s="292">
        <f t="shared" si="2"/>
        <v>2000</v>
      </c>
      <c r="G62" s="292">
        <f t="shared" si="7"/>
        <v>16.666666666666668</v>
      </c>
      <c r="H62" s="455"/>
    </row>
    <row r="63" spans="1:12" ht="15" x14ac:dyDescent="0.2">
      <c r="A63" s="291">
        <v>46631</v>
      </c>
      <c r="B63" s="292">
        <f t="shared" si="4"/>
        <v>2000</v>
      </c>
      <c r="C63" s="292">
        <v>0</v>
      </c>
      <c r="D63" s="292">
        <f t="shared" si="1"/>
        <v>2000</v>
      </c>
      <c r="E63" s="292">
        <v>0</v>
      </c>
      <c r="F63" s="292">
        <f t="shared" si="2"/>
        <v>2000</v>
      </c>
      <c r="G63" s="292">
        <f t="shared" si="7"/>
        <v>16.666666666666668</v>
      </c>
      <c r="H63" s="455"/>
    </row>
    <row r="64" spans="1:12" ht="15" x14ac:dyDescent="0.2">
      <c r="A64" s="291">
        <v>46661</v>
      </c>
      <c r="B64" s="292">
        <f t="shared" si="4"/>
        <v>2000</v>
      </c>
      <c r="C64" s="292">
        <v>0</v>
      </c>
      <c r="D64" s="292">
        <f t="shared" si="1"/>
        <v>2000</v>
      </c>
      <c r="E64" s="292">
        <v>0</v>
      </c>
      <c r="F64" s="292">
        <f t="shared" si="2"/>
        <v>2000</v>
      </c>
      <c r="G64" s="292">
        <f t="shared" si="7"/>
        <v>16.666666666666668</v>
      </c>
      <c r="H64" s="455"/>
      <c r="K64" s="1">
        <f>2000</f>
        <v>2000</v>
      </c>
      <c r="L64">
        <f>+K64*5%</f>
        <v>100</v>
      </c>
    </row>
    <row r="65" spans="1:12" ht="15" x14ac:dyDescent="0.2">
      <c r="A65" s="291">
        <v>46692</v>
      </c>
      <c r="B65" s="292">
        <f t="shared" si="4"/>
        <v>2000</v>
      </c>
      <c r="C65" s="292">
        <v>0</v>
      </c>
      <c r="D65" s="292">
        <f t="shared" si="1"/>
        <v>2000</v>
      </c>
      <c r="E65" s="292">
        <v>5</v>
      </c>
      <c r="F65" s="292">
        <f t="shared" si="2"/>
        <v>1995</v>
      </c>
      <c r="G65" s="292">
        <f t="shared" si="7"/>
        <v>16.625</v>
      </c>
      <c r="H65" s="455"/>
    </row>
    <row r="66" spans="1:12" ht="15" x14ac:dyDescent="0.2">
      <c r="A66" s="291">
        <v>46722</v>
      </c>
      <c r="B66" s="292">
        <f t="shared" si="4"/>
        <v>1995</v>
      </c>
      <c r="C66" s="292">
        <v>0</v>
      </c>
      <c r="D66" s="292">
        <f t="shared" si="1"/>
        <v>1995</v>
      </c>
      <c r="E66" s="292">
        <v>5</v>
      </c>
      <c r="F66" s="292">
        <f t="shared" si="2"/>
        <v>1990</v>
      </c>
      <c r="G66" s="292">
        <f t="shared" si="7"/>
        <v>16.583333333333332</v>
      </c>
      <c r="H66" s="455"/>
    </row>
    <row r="67" spans="1:12" ht="15" x14ac:dyDescent="0.2">
      <c r="A67" s="291">
        <v>46753</v>
      </c>
      <c r="B67" s="292">
        <f t="shared" si="4"/>
        <v>1990</v>
      </c>
      <c r="C67" s="292">
        <v>0</v>
      </c>
      <c r="D67" s="292">
        <f t="shared" si="1"/>
        <v>1990</v>
      </c>
      <c r="E67" s="292">
        <v>5</v>
      </c>
      <c r="F67" s="292">
        <f t="shared" si="2"/>
        <v>1985</v>
      </c>
      <c r="G67" s="292">
        <f t="shared" si="7"/>
        <v>16.541666666666668</v>
      </c>
      <c r="H67" s="455"/>
    </row>
    <row r="68" spans="1:12" ht="15" x14ac:dyDescent="0.2">
      <c r="A68" s="291">
        <v>46784</v>
      </c>
      <c r="B68" s="292">
        <f t="shared" si="4"/>
        <v>1985</v>
      </c>
      <c r="C68" s="292">
        <v>0</v>
      </c>
      <c r="D68" s="292">
        <f t="shared" si="1"/>
        <v>1985</v>
      </c>
      <c r="E68" s="292">
        <v>5</v>
      </c>
      <c r="F68" s="292">
        <f t="shared" si="2"/>
        <v>1980</v>
      </c>
      <c r="G68" s="292">
        <f t="shared" si="7"/>
        <v>16.5</v>
      </c>
      <c r="H68" s="456"/>
    </row>
    <row r="69" spans="1:12" ht="15" x14ac:dyDescent="0.2">
      <c r="A69" s="291">
        <v>46813</v>
      </c>
      <c r="B69" s="292">
        <f t="shared" si="4"/>
        <v>1980</v>
      </c>
      <c r="C69" s="292">
        <v>0</v>
      </c>
      <c r="D69" s="292">
        <f t="shared" si="1"/>
        <v>1980</v>
      </c>
      <c r="E69" s="292">
        <v>5</v>
      </c>
      <c r="F69" s="292">
        <f t="shared" si="2"/>
        <v>1975</v>
      </c>
      <c r="G69" s="292">
        <f t="shared" si="7"/>
        <v>16.458333333333332</v>
      </c>
      <c r="H69" s="239">
        <f>SUM(G58:G69)</f>
        <v>199.37500000000003</v>
      </c>
      <c r="K69" s="366">
        <v>5</v>
      </c>
      <c r="L69" s="1"/>
    </row>
    <row r="70" spans="1:12" ht="15" x14ac:dyDescent="0.2">
      <c r="A70" s="300"/>
      <c r="B70" s="301"/>
      <c r="C70" s="301"/>
      <c r="D70" s="301"/>
      <c r="E70" s="301"/>
      <c r="F70" s="301"/>
      <c r="G70" s="301"/>
      <c r="H70" s="302"/>
      <c r="L70" s="1"/>
    </row>
    <row r="71" spans="1:12" ht="15" x14ac:dyDescent="0.2">
      <c r="A71" s="290" t="s">
        <v>231</v>
      </c>
      <c r="B71" s="289" t="s">
        <v>384</v>
      </c>
      <c r="C71" s="289" t="s">
        <v>385</v>
      </c>
      <c r="D71" s="289" t="s">
        <v>11</v>
      </c>
      <c r="E71" s="289" t="s">
        <v>386</v>
      </c>
      <c r="F71" s="289" t="s">
        <v>387</v>
      </c>
      <c r="G71" s="289" t="s">
        <v>223</v>
      </c>
      <c r="H71" s="289" t="s">
        <v>11</v>
      </c>
      <c r="J71">
        <v>12</v>
      </c>
      <c r="K71">
        <v>60</v>
      </c>
      <c r="L71" s="1">
        <f>+K71/J71</f>
        <v>5</v>
      </c>
    </row>
    <row r="72" spans="1:12" ht="15" x14ac:dyDescent="0.2">
      <c r="A72" s="291">
        <v>46844</v>
      </c>
      <c r="B72" s="292">
        <f>F69</f>
        <v>1975</v>
      </c>
      <c r="C72" s="292">
        <v>0</v>
      </c>
      <c r="D72" s="292">
        <f t="shared" ref="D72:D83" si="8">B72+C72</f>
        <v>1975</v>
      </c>
      <c r="E72" s="292">
        <v>5</v>
      </c>
      <c r="F72" s="292">
        <f t="shared" ref="F72:F83" si="9">D72-E72</f>
        <v>1970</v>
      </c>
      <c r="G72" s="292">
        <f t="shared" ref="G72:G83" si="10">F72*$D$20/12</f>
        <v>16.416666666666668</v>
      </c>
      <c r="H72" s="454"/>
    </row>
    <row r="73" spans="1:12" ht="15" x14ac:dyDescent="0.2">
      <c r="A73" s="291">
        <v>46874</v>
      </c>
      <c r="B73" s="292">
        <f t="shared" ref="B73:B83" si="11">F72</f>
        <v>1970</v>
      </c>
      <c r="C73" s="292">
        <v>0</v>
      </c>
      <c r="D73" s="292">
        <f t="shared" si="8"/>
        <v>1970</v>
      </c>
      <c r="E73" s="292">
        <v>5</v>
      </c>
      <c r="F73" s="292">
        <f t="shared" si="9"/>
        <v>1965</v>
      </c>
      <c r="G73" s="292">
        <f t="shared" si="10"/>
        <v>16.375</v>
      </c>
      <c r="H73" s="455"/>
    </row>
    <row r="74" spans="1:12" ht="15" x14ac:dyDescent="0.2">
      <c r="A74" s="291">
        <v>46905</v>
      </c>
      <c r="B74" s="292">
        <f t="shared" si="11"/>
        <v>1965</v>
      </c>
      <c r="C74" s="292">
        <v>0</v>
      </c>
      <c r="D74" s="292">
        <f t="shared" si="8"/>
        <v>1965</v>
      </c>
      <c r="E74" s="292">
        <v>5</v>
      </c>
      <c r="F74" s="292">
        <f t="shared" si="9"/>
        <v>1960</v>
      </c>
      <c r="G74" s="292">
        <f t="shared" si="10"/>
        <v>16.333333333333332</v>
      </c>
      <c r="H74" s="455"/>
      <c r="K74" s="1">
        <f>100/12</f>
        <v>8.3333333333333339</v>
      </c>
    </row>
    <row r="75" spans="1:12" ht="15" x14ac:dyDescent="0.2">
      <c r="A75" s="291">
        <v>46935</v>
      </c>
      <c r="B75" s="292">
        <f t="shared" si="11"/>
        <v>1960</v>
      </c>
      <c r="C75" s="292">
        <v>0</v>
      </c>
      <c r="D75" s="292">
        <f t="shared" si="8"/>
        <v>1960</v>
      </c>
      <c r="E75" s="292">
        <v>5</v>
      </c>
      <c r="F75" s="292">
        <f t="shared" si="9"/>
        <v>1955</v>
      </c>
      <c r="G75" s="292">
        <f t="shared" si="10"/>
        <v>16.291666666666668</v>
      </c>
      <c r="H75" s="455"/>
    </row>
    <row r="76" spans="1:12" ht="15" x14ac:dyDescent="0.2">
      <c r="A76" s="291">
        <v>46966</v>
      </c>
      <c r="B76" s="292">
        <f t="shared" si="11"/>
        <v>1955</v>
      </c>
      <c r="C76" s="292">
        <v>0</v>
      </c>
      <c r="D76" s="292">
        <f t="shared" si="8"/>
        <v>1955</v>
      </c>
      <c r="E76" s="292">
        <v>5</v>
      </c>
      <c r="F76" s="292">
        <f t="shared" si="9"/>
        <v>1950</v>
      </c>
      <c r="G76" s="292">
        <f t="shared" si="10"/>
        <v>16.25</v>
      </c>
      <c r="H76" s="455"/>
    </row>
    <row r="77" spans="1:12" ht="15" x14ac:dyDescent="0.2">
      <c r="A77" s="291">
        <v>46997</v>
      </c>
      <c r="B77" s="292">
        <f t="shared" si="11"/>
        <v>1950</v>
      </c>
      <c r="C77" s="292">
        <v>0</v>
      </c>
      <c r="D77" s="292">
        <f t="shared" si="8"/>
        <v>1950</v>
      </c>
      <c r="E77" s="292">
        <v>5</v>
      </c>
      <c r="F77" s="292">
        <f t="shared" si="9"/>
        <v>1945</v>
      </c>
      <c r="G77" s="292">
        <f t="shared" si="10"/>
        <v>16.208333333333332</v>
      </c>
      <c r="H77" s="455"/>
    </row>
    <row r="78" spans="1:12" ht="15" x14ac:dyDescent="0.2">
      <c r="A78" s="291">
        <v>47027</v>
      </c>
      <c r="B78" s="292">
        <f t="shared" si="11"/>
        <v>1945</v>
      </c>
      <c r="C78" s="292">
        <v>0</v>
      </c>
      <c r="D78" s="292">
        <f t="shared" si="8"/>
        <v>1945</v>
      </c>
      <c r="E78" s="292">
        <v>5</v>
      </c>
      <c r="F78" s="292">
        <f t="shared" si="9"/>
        <v>1940</v>
      </c>
      <c r="G78" s="292">
        <f t="shared" si="10"/>
        <v>16.166666666666668</v>
      </c>
      <c r="H78" s="455"/>
    </row>
    <row r="79" spans="1:12" ht="15" x14ac:dyDescent="0.2">
      <c r="A79" s="291">
        <v>47058</v>
      </c>
      <c r="B79" s="292">
        <f t="shared" si="11"/>
        <v>1940</v>
      </c>
      <c r="C79" s="292">
        <v>0</v>
      </c>
      <c r="D79" s="292">
        <f t="shared" si="8"/>
        <v>1940</v>
      </c>
      <c r="E79" s="292">
        <v>5</v>
      </c>
      <c r="F79" s="292">
        <f t="shared" si="9"/>
        <v>1935</v>
      </c>
      <c r="G79" s="292">
        <f t="shared" si="10"/>
        <v>16.125</v>
      </c>
      <c r="H79" s="455"/>
    </row>
    <row r="80" spans="1:12" ht="15" x14ac:dyDescent="0.2">
      <c r="A80" s="291">
        <v>47088</v>
      </c>
      <c r="B80" s="292">
        <f t="shared" si="11"/>
        <v>1935</v>
      </c>
      <c r="C80" s="292">
        <v>0</v>
      </c>
      <c r="D80" s="292">
        <f t="shared" si="8"/>
        <v>1935</v>
      </c>
      <c r="E80" s="292">
        <v>5</v>
      </c>
      <c r="F80" s="292">
        <f t="shared" si="9"/>
        <v>1930</v>
      </c>
      <c r="G80" s="292">
        <f t="shared" si="10"/>
        <v>16.083333333333332</v>
      </c>
      <c r="H80" s="455"/>
    </row>
    <row r="81" spans="1:10" ht="15" x14ac:dyDescent="0.2">
      <c r="A81" s="291">
        <v>47119</v>
      </c>
      <c r="B81" s="292">
        <f t="shared" si="11"/>
        <v>1930</v>
      </c>
      <c r="C81" s="292">
        <v>0</v>
      </c>
      <c r="D81" s="292">
        <f t="shared" si="8"/>
        <v>1930</v>
      </c>
      <c r="E81" s="292">
        <v>5</v>
      </c>
      <c r="F81" s="292">
        <f t="shared" si="9"/>
        <v>1925</v>
      </c>
      <c r="G81" s="292">
        <f t="shared" si="10"/>
        <v>16.041666666666668</v>
      </c>
      <c r="H81" s="455"/>
    </row>
    <row r="82" spans="1:10" ht="15" x14ac:dyDescent="0.2">
      <c r="A82" s="291">
        <v>47150</v>
      </c>
      <c r="B82" s="292">
        <f t="shared" si="11"/>
        <v>1925</v>
      </c>
      <c r="C82" s="292">
        <v>0</v>
      </c>
      <c r="D82" s="292">
        <f t="shared" si="8"/>
        <v>1925</v>
      </c>
      <c r="E82" s="292">
        <v>5</v>
      </c>
      <c r="F82" s="292">
        <f t="shared" si="9"/>
        <v>1920</v>
      </c>
      <c r="G82" s="292">
        <f t="shared" si="10"/>
        <v>16</v>
      </c>
      <c r="H82" s="456"/>
    </row>
    <row r="83" spans="1:10" ht="15" x14ac:dyDescent="0.2">
      <c r="A83" s="291">
        <v>47178</v>
      </c>
      <c r="B83" s="292">
        <f t="shared" si="11"/>
        <v>1920</v>
      </c>
      <c r="C83" s="292">
        <v>0</v>
      </c>
      <c r="D83" s="292">
        <f t="shared" si="8"/>
        <v>1920</v>
      </c>
      <c r="E83" s="292">
        <v>5</v>
      </c>
      <c r="F83" s="292">
        <f t="shared" si="9"/>
        <v>1915</v>
      </c>
      <c r="G83" s="292">
        <f t="shared" si="10"/>
        <v>15.958333333333334</v>
      </c>
      <c r="H83" s="239">
        <f>SUM(G72:G83)</f>
        <v>194.25000000000003</v>
      </c>
    </row>
    <row r="84" spans="1:10" ht="15" x14ac:dyDescent="0.2">
      <c r="A84" s="300"/>
      <c r="B84" s="301"/>
      <c r="C84" s="301"/>
      <c r="D84" s="301"/>
      <c r="E84" s="301"/>
      <c r="F84" s="301"/>
      <c r="G84" s="301"/>
      <c r="H84" s="302"/>
    </row>
    <row r="85" spans="1:10" ht="15" x14ac:dyDescent="0.2">
      <c r="A85" s="290" t="s">
        <v>232</v>
      </c>
      <c r="B85" s="289" t="s">
        <v>384</v>
      </c>
      <c r="C85" s="289" t="s">
        <v>385</v>
      </c>
      <c r="D85" s="289" t="s">
        <v>11</v>
      </c>
      <c r="E85" s="289" t="s">
        <v>386</v>
      </c>
      <c r="F85" s="289" t="s">
        <v>387</v>
      </c>
      <c r="G85" s="289" t="s">
        <v>223</v>
      </c>
      <c r="H85" s="289" t="s">
        <v>11</v>
      </c>
      <c r="J85">
        <v>12</v>
      </c>
    </row>
    <row r="86" spans="1:10" ht="15" x14ac:dyDescent="0.2">
      <c r="A86" s="291">
        <v>47209</v>
      </c>
      <c r="B86" s="292">
        <f>F83</f>
        <v>1915</v>
      </c>
      <c r="C86" s="292">
        <v>0</v>
      </c>
      <c r="D86" s="292">
        <f t="shared" ref="D86:D97" si="12">B86+C86</f>
        <v>1915</v>
      </c>
      <c r="E86" s="292">
        <v>5</v>
      </c>
      <c r="F86" s="292">
        <f t="shared" ref="F86:F97" si="13">D86-E86</f>
        <v>1910</v>
      </c>
      <c r="G86" s="292">
        <f t="shared" ref="G86:G97" si="14">F86*$D$20/12</f>
        <v>15.916666666666666</v>
      </c>
      <c r="H86" s="454"/>
    </row>
    <row r="87" spans="1:10" ht="15" x14ac:dyDescent="0.2">
      <c r="A87" s="291">
        <v>47239</v>
      </c>
      <c r="B87" s="292">
        <f t="shared" ref="B87:B97" si="15">F86</f>
        <v>1910</v>
      </c>
      <c r="C87" s="292">
        <v>0</v>
      </c>
      <c r="D87" s="292">
        <f t="shared" si="12"/>
        <v>1910</v>
      </c>
      <c r="E87" s="292">
        <v>5</v>
      </c>
      <c r="F87" s="292">
        <f t="shared" si="13"/>
        <v>1905</v>
      </c>
      <c r="G87" s="292">
        <f t="shared" si="14"/>
        <v>15.875</v>
      </c>
      <c r="H87" s="455"/>
    </row>
    <row r="88" spans="1:10" ht="15" x14ac:dyDescent="0.2">
      <c r="A88" s="291">
        <v>47270</v>
      </c>
      <c r="B88" s="292">
        <f t="shared" si="15"/>
        <v>1905</v>
      </c>
      <c r="C88" s="292">
        <v>0</v>
      </c>
      <c r="D88" s="292">
        <f t="shared" si="12"/>
        <v>1905</v>
      </c>
      <c r="E88" s="292">
        <v>5</v>
      </c>
      <c r="F88" s="292">
        <f t="shared" si="13"/>
        <v>1900</v>
      </c>
      <c r="G88" s="292">
        <f t="shared" si="14"/>
        <v>15.833333333333334</v>
      </c>
      <c r="H88" s="455"/>
    </row>
    <row r="89" spans="1:10" ht="15" x14ac:dyDescent="0.2">
      <c r="A89" s="291">
        <v>47300</v>
      </c>
      <c r="B89" s="292">
        <f t="shared" si="15"/>
        <v>1900</v>
      </c>
      <c r="C89" s="292">
        <v>0</v>
      </c>
      <c r="D89" s="292">
        <f t="shared" si="12"/>
        <v>1900</v>
      </c>
      <c r="E89" s="292">
        <v>5</v>
      </c>
      <c r="F89" s="292">
        <f t="shared" si="13"/>
        <v>1895</v>
      </c>
      <c r="G89" s="292">
        <f t="shared" si="14"/>
        <v>15.791666666666666</v>
      </c>
      <c r="H89" s="455"/>
    </row>
    <row r="90" spans="1:10" ht="15" x14ac:dyDescent="0.2">
      <c r="A90" s="291">
        <v>47331</v>
      </c>
      <c r="B90" s="292">
        <f t="shared" si="15"/>
        <v>1895</v>
      </c>
      <c r="C90" s="292">
        <v>0</v>
      </c>
      <c r="D90" s="292">
        <f t="shared" si="12"/>
        <v>1895</v>
      </c>
      <c r="E90" s="292">
        <v>5</v>
      </c>
      <c r="F90" s="292">
        <f t="shared" si="13"/>
        <v>1890</v>
      </c>
      <c r="G90" s="292">
        <f t="shared" si="14"/>
        <v>15.75</v>
      </c>
      <c r="H90" s="455"/>
    </row>
    <row r="91" spans="1:10" ht="15" x14ac:dyDescent="0.2">
      <c r="A91" s="291">
        <v>47362</v>
      </c>
      <c r="B91" s="292">
        <f t="shared" si="15"/>
        <v>1890</v>
      </c>
      <c r="C91" s="292">
        <v>0</v>
      </c>
      <c r="D91" s="292">
        <f t="shared" si="12"/>
        <v>1890</v>
      </c>
      <c r="E91" s="292">
        <v>5</v>
      </c>
      <c r="F91" s="292">
        <f t="shared" si="13"/>
        <v>1885</v>
      </c>
      <c r="G91" s="292">
        <f t="shared" si="14"/>
        <v>15.708333333333334</v>
      </c>
      <c r="H91" s="455"/>
    </row>
    <row r="92" spans="1:10" ht="15" x14ac:dyDescent="0.2">
      <c r="A92" s="291">
        <v>47392</v>
      </c>
      <c r="B92" s="292">
        <f t="shared" si="15"/>
        <v>1885</v>
      </c>
      <c r="C92" s="292">
        <v>0</v>
      </c>
      <c r="D92" s="292">
        <f t="shared" si="12"/>
        <v>1885</v>
      </c>
      <c r="E92" s="292">
        <v>5</v>
      </c>
      <c r="F92" s="292">
        <f t="shared" si="13"/>
        <v>1880</v>
      </c>
      <c r="G92" s="292">
        <f t="shared" si="14"/>
        <v>15.666666666666666</v>
      </c>
      <c r="H92" s="455"/>
    </row>
    <row r="93" spans="1:10" ht="15" x14ac:dyDescent="0.2">
      <c r="A93" s="291">
        <v>47423</v>
      </c>
      <c r="B93" s="292">
        <f t="shared" si="15"/>
        <v>1880</v>
      </c>
      <c r="C93" s="292">
        <v>0</v>
      </c>
      <c r="D93" s="292">
        <f t="shared" si="12"/>
        <v>1880</v>
      </c>
      <c r="E93" s="292">
        <v>5</v>
      </c>
      <c r="F93" s="292">
        <f t="shared" si="13"/>
        <v>1875</v>
      </c>
      <c r="G93" s="292">
        <f t="shared" si="14"/>
        <v>15.625</v>
      </c>
      <c r="H93" s="455"/>
    </row>
    <row r="94" spans="1:10" ht="15" x14ac:dyDescent="0.2">
      <c r="A94" s="291">
        <v>47453</v>
      </c>
      <c r="B94" s="292">
        <f t="shared" si="15"/>
        <v>1875</v>
      </c>
      <c r="C94" s="292">
        <v>0</v>
      </c>
      <c r="D94" s="292">
        <f t="shared" si="12"/>
        <v>1875</v>
      </c>
      <c r="E94" s="292">
        <v>5</v>
      </c>
      <c r="F94" s="292">
        <f t="shared" si="13"/>
        <v>1870</v>
      </c>
      <c r="G94" s="292">
        <f t="shared" si="14"/>
        <v>15.583333333333334</v>
      </c>
      <c r="H94" s="455"/>
    </row>
    <row r="95" spans="1:10" ht="15" x14ac:dyDescent="0.2">
      <c r="A95" s="291">
        <v>47484</v>
      </c>
      <c r="B95" s="292">
        <f t="shared" si="15"/>
        <v>1870</v>
      </c>
      <c r="C95" s="292">
        <v>0</v>
      </c>
      <c r="D95" s="292">
        <f t="shared" si="12"/>
        <v>1870</v>
      </c>
      <c r="E95" s="292">
        <v>5</v>
      </c>
      <c r="F95" s="292">
        <f t="shared" si="13"/>
        <v>1865</v>
      </c>
      <c r="G95" s="292">
        <f t="shared" si="14"/>
        <v>15.541666666666666</v>
      </c>
      <c r="H95" s="455"/>
    </row>
    <row r="96" spans="1:10" ht="15" x14ac:dyDescent="0.2">
      <c r="A96" s="291">
        <v>47515</v>
      </c>
      <c r="B96" s="292">
        <f t="shared" si="15"/>
        <v>1865</v>
      </c>
      <c r="C96" s="292">
        <v>0</v>
      </c>
      <c r="D96" s="292">
        <f t="shared" si="12"/>
        <v>1865</v>
      </c>
      <c r="E96" s="292">
        <v>5</v>
      </c>
      <c r="F96" s="292">
        <f t="shared" si="13"/>
        <v>1860</v>
      </c>
      <c r="G96" s="292">
        <f t="shared" si="14"/>
        <v>15.5</v>
      </c>
      <c r="H96" s="456"/>
    </row>
    <row r="97" spans="1:12" ht="15" x14ac:dyDescent="0.2">
      <c r="A97" s="291">
        <v>47543</v>
      </c>
      <c r="B97" s="292">
        <f t="shared" si="15"/>
        <v>1860</v>
      </c>
      <c r="C97" s="292">
        <v>0</v>
      </c>
      <c r="D97" s="292">
        <f t="shared" si="12"/>
        <v>1860</v>
      </c>
      <c r="E97" s="292">
        <v>5</v>
      </c>
      <c r="F97" s="292">
        <f t="shared" si="13"/>
        <v>1855</v>
      </c>
      <c r="G97" s="292">
        <f t="shared" si="14"/>
        <v>15.458333333333334</v>
      </c>
      <c r="H97" s="239">
        <f>SUM(G86:G97)</f>
        <v>188.25</v>
      </c>
    </row>
    <row r="98" spans="1:12" ht="15" x14ac:dyDescent="0.2">
      <c r="A98" s="300"/>
      <c r="B98" s="301"/>
      <c r="C98" s="301"/>
      <c r="D98" s="301"/>
      <c r="E98" s="301"/>
      <c r="F98" s="301"/>
      <c r="G98" s="301"/>
      <c r="H98" s="302"/>
    </row>
    <row r="99" spans="1:12" ht="15" x14ac:dyDescent="0.2">
      <c r="A99" s="290" t="s">
        <v>233</v>
      </c>
      <c r="B99" s="289" t="s">
        <v>384</v>
      </c>
      <c r="C99" s="289" t="s">
        <v>385</v>
      </c>
      <c r="D99" s="289" t="s">
        <v>11</v>
      </c>
      <c r="E99" s="289" t="s">
        <v>386</v>
      </c>
      <c r="F99" s="289" t="s">
        <v>387</v>
      </c>
      <c r="G99" s="289" t="s">
        <v>223</v>
      </c>
      <c r="H99" s="289" t="s">
        <v>11</v>
      </c>
      <c r="J99">
        <v>12</v>
      </c>
      <c r="K99">
        <v>150</v>
      </c>
      <c r="L99">
        <f>+K99/J99</f>
        <v>12.5</v>
      </c>
    </row>
    <row r="100" spans="1:12" ht="15" x14ac:dyDescent="0.2">
      <c r="A100" s="291">
        <v>47574</v>
      </c>
      <c r="B100" s="292">
        <f>F97</f>
        <v>1855</v>
      </c>
      <c r="C100" s="292">
        <v>0</v>
      </c>
      <c r="D100" s="292">
        <f t="shared" ref="D100:D111" si="16">B100+C100</f>
        <v>1855</v>
      </c>
      <c r="E100" s="292">
        <v>5</v>
      </c>
      <c r="F100" s="292">
        <f t="shared" ref="F100:F111" si="17">D100-E100</f>
        <v>1850</v>
      </c>
      <c r="G100" s="292">
        <f t="shared" ref="G100:G111" si="18">F100*$D$20/12</f>
        <v>15.416666666666666</v>
      </c>
      <c r="H100" s="454"/>
    </row>
    <row r="101" spans="1:12" ht="15" x14ac:dyDescent="0.2">
      <c r="A101" s="291">
        <v>47604</v>
      </c>
      <c r="B101" s="292">
        <f t="shared" ref="B101:B111" si="19">F100</f>
        <v>1850</v>
      </c>
      <c r="C101" s="292">
        <v>0</v>
      </c>
      <c r="D101" s="292">
        <f t="shared" si="16"/>
        <v>1850</v>
      </c>
      <c r="E101" s="292">
        <v>5</v>
      </c>
      <c r="F101" s="292">
        <f t="shared" si="17"/>
        <v>1845</v>
      </c>
      <c r="G101" s="292">
        <f t="shared" si="18"/>
        <v>15.375</v>
      </c>
      <c r="H101" s="455"/>
    </row>
    <row r="102" spans="1:12" ht="15" x14ac:dyDescent="0.2">
      <c r="A102" s="291">
        <v>47635</v>
      </c>
      <c r="B102" s="292">
        <f t="shared" si="19"/>
        <v>1845</v>
      </c>
      <c r="C102" s="292">
        <v>0</v>
      </c>
      <c r="D102" s="292">
        <f t="shared" si="16"/>
        <v>1845</v>
      </c>
      <c r="E102" s="292">
        <v>5</v>
      </c>
      <c r="F102" s="292">
        <f t="shared" si="17"/>
        <v>1840</v>
      </c>
      <c r="G102" s="292">
        <f t="shared" si="18"/>
        <v>15.333333333333334</v>
      </c>
      <c r="H102" s="455"/>
    </row>
    <row r="103" spans="1:12" ht="15" x14ac:dyDescent="0.2">
      <c r="A103" s="291">
        <v>47665</v>
      </c>
      <c r="B103" s="292">
        <f t="shared" si="19"/>
        <v>1840</v>
      </c>
      <c r="C103" s="292">
        <v>0</v>
      </c>
      <c r="D103" s="292">
        <f t="shared" si="16"/>
        <v>1840</v>
      </c>
      <c r="E103" s="292">
        <v>5</v>
      </c>
      <c r="F103" s="292">
        <f t="shared" si="17"/>
        <v>1835</v>
      </c>
      <c r="G103" s="292">
        <f t="shared" si="18"/>
        <v>15.291666666666666</v>
      </c>
      <c r="H103" s="455"/>
    </row>
    <row r="104" spans="1:12" ht="15" x14ac:dyDescent="0.2">
      <c r="A104" s="291">
        <v>47696</v>
      </c>
      <c r="B104" s="292">
        <f t="shared" si="19"/>
        <v>1835</v>
      </c>
      <c r="C104" s="292">
        <v>0</v>
      </c>
      <c r="D104" s="292">
        <f t="shared" si="16"/>
        <v>1835</v>
      </c>
      <c r="E104" s="292">
        <v>5</v>
      </c>
      <c r="F104" s="292">
        <f t="shared" si="17"/>
        <v>1830</v>
      </c>
      <c r="G104" s="292">
        <f t="shared" si="18"/>
        <v>15.25</v>
      </c>
      <c r="H104" s="455"/>
    </row>
    <row r="105" spans="1:12" ht="15" x14ac:dyDescent="0.2">
      <c r="A105" s="291">
        <v>47727</v>
      </c>
      <c r="B105" s="292">
        <f t="shared" si="19"/>
        <v>1830</v>
      </c>
      <c r="C105" s="292">
        <v>0</v>
      </c>
      <c r="D105" s="292">
        <f t="shared" si="16"/>
        <v>1830</v>
      </c>
      <c r="E105" s="292">
        <v>5</v>
      </c>
      <c r="F105" s="292">
        <f t="shared" si="17"/>
        <v>1825</v>
      </c>
      <c r="G105" s="292">
        <f t="shared" si="18"/>
        <v>15.208333333333334</v>
      </c>
      <c r="H105" s="455"/>
    </row>
    <row r="106" spans="1:12" ht="15" x14ac:dyDescent="0.2">
      <c r="A106" s="291">
        <v>47757</v>
      </c>
      <c r="B106" s="292">
        <f t="shared" si="19"/>
        <v>1825</v>
      </c>
      <c r="C106" s="292">
        <v>0</v>
      </c>
      <c r="D106" s="292">
        <f t="shared" si="16"/>
        <v>1825</v>
      </c>
      <c r="E106" s="292">
        <v>5</v>
      </c>
      <c r="F106" s="292">
        <f t="shared" si="17"/>
        <v>1820</v>
      </c>
      <c r="G106" s="292">
        <f t="shared" si="18"/>
        <v>15.166666666666666</v>
      </c>
      <c r="H106" s="455"/>
    </row>
    <row r="107" spans="1:12" ht="15" x14ac:dyDescent="0.2">
      <c r="A107" s="291">
        <v>47788</v>
      </c>
      <c r="B107" s="292">
        <f t="shared" si="19"/>
        <v>1820</v>
      </c>
      <c r="C107" s="292">
        <v>0</v>
      </c>
      <c r="D107" s="292">
        <f t="shared" si="16"/>
        <v>1820</v>
      </c>
      <c r="E107" s="292">
        <v>5</v>
      </c>
      <c r="F107" s="292">
        <f t="shared" si="17"/>
        <v>1815</v>
      </c>
      <c r="G107" s="292">
        <f t="shared" si="18"/>
        <v>15.125</v>
      </c>
      <c r="H107" s="455"/>
    </row>
    <row r="108" spans="1:12" ht="15" x14ac:dyDescent="0.2">
      <c r="A108" s="291">
        <v>47818</v>
      </c>
      <c r="B108" s="292">
        <f t="shared" si="19"/>
        <v>1815</v>
      </c>
      <c r="C108" s="292">
        <v>0</v>
      </c>
      <c r="D108" s="292">
        <f t="shared" si="16"/>
        <v>1815</v>
      </c>
      <c r="E108" s="292">
        <v>5</v>
      </c>
      <c r="F108" s="292">
        <f t="shared" si="17"/>
        <v>1810</v>
      </c>
      <c r="G108" s="292">
        <f t="shared" si="18"/>
        <v>15.083333333333334</v>
      </c>
      <c r="H108" s="455"/>
    </row>
    <row r="109" spans="1:12" ht="15" x14ac:dyDescent="0.2">
      <c r="A109" s="291">
        <v>47849</v>
      </c>
      <c r="B109" s="292">
        <f t="shared" si="19"/>
        <v>1810</v>
      </c>
      <c r="C109" s="292">
        <v>0</v>
      </c>
      <c r="D109" s="292">
        <f t="shared" si="16"/>
        <v>1810</v>
      </c>
      <c r="E109" s="292">
        <v>5</v>
      </c>
      <c r="F109" s="292">
        <f t="shared" si="17"/>
        <v>1805</v>
      </c>
      <c r="G109" s="292">
        <f t="shared" si="18"/>
        <v>15.041666666666666</v>
      </c>
      <c r="H109" s="455"/>
    </row>
    <row r="110" spans="1:12" ht="15" x14ac:dyDescent="0.2">
      <c r="A110" s="291">
        <v>47880</v>
      </c>
      <c r="B110" s="292">
        <f t="shared" si="19"/>
        <v>1805</v>
      </c>
      <c r="C110" s="292">
        <v>0</v>
      </c>
      <c r="D110" s="292">
        <f t="shared" si="16"/>
        <v>1805</v>
      </c>
      <c r="E110" s="292">
        <v>5</v>
      </c>
      <c r="F110" s="292">
        <f t="shared" si="17"/>
        <v>1800</v>
      </c>
      <c r="G110" s="292">
        <f t="shared" si="18"/>
        <v>15</v>
      </c>
      <c r="H110" s="456"/>
    </row>
    <row r="111" spans="1:12" ht="15" x14ac:dyDescent="0.2">
      <c r="A111" s="291">
        <v>47908</v>
      </c>
      <c r="B111" s="292">
        <f t="shared" si="19"/>
        <v>1800</v>
      </c>
      <c r="C111" s="292">
        <v>0</v>
      </c>
      <c r="D111" s="292">
        <f t="shared" si="16"/>
        <v>1800</v>
      </c>
      <c r="E111" s="292">
        <v>5</v>
      </c>
      <c r="F111" s="292">
        <f t="shared" si="17"/>
        <v>1795</v>
      </c>
      <c r="G111" s="292">
        <f t="shared" si="18"/>
        <v>14.958333333333334</v>
      </c>
      <c r="H111" s="239">
        <f>SUM(G100:G111)</f>
        <v>182.25</v>
      </c>
    </row>
    <row r="112" spans="1:12" ht="15" x14ac:dyDescent="0.2">
      <c r="A112" s="300"/>
      <c r="B112" s="301"/>
      <c r="C112" s="301"/>
      <c r="D112" s="301"/>
      <c r="E112" s="301"/>
      <c r="F112" s="301"/>
      <c r="G112" s="301"/>
      <c r="H112" s="302"/>
    </row>
    <row r="113" spans="1:12" ht="15" x14ac:dyDescent="0.2">
      <c r="A113" s="290" t="s">
        <v>234</v>
      </c>
      <c r="B113" s="289" t="s">
        <v>384</v>
      </c>
      <c r="C113" s="289" t="s">
        <v>385</v>
      </c>
      <c r="D113" s="289" t="s">
        <v>11</v>
      </c>
      <c r="E113" s="289" t="s">
        <v>386</v>
      </c>
      <c r="F113" s="289" t="s">
        <v>387</v>
      </c>
      <c r="G113" s="289" t="s">
        <v>223</v>
      </c>
      <c r="H113" s="289" t="s">
        <v>11</v>
      </c>
      <c r="J113">
        <v>12</v>
      </c>
      <c r="K113">
        <v>120</v>
      </c>
      <c r="L113">
        <f>+K113/J113</f>
        <v>10</v>
      </c>
    </row>
    <row r="114" spans="1:12" ht="15" x14ac:dyDescent="0.2">
      <c r="A114" s="291">
        <v>47939</v>
      </c>
      <c r="B114" s="292">
        <f>F111</f>
        <v>1795</v>
      </c>
      <c r="C114" s="292">
        <v>0</v>
      </c>
      <c r="D114" s="292">
        <f t="shared" ref="D114:D125" si="20">B114+C114</f>
        <v>1795</v>
      </c>
      <c r="E114" s="292">
        <v>10</v>
      </c>
      <c r="F114" s="292">
        <f t="shared" ref="F114:F125" si="21">D114-E114</f>
        <v>1785</v>
      </c>
      <c r="G114" s="292">
        <f t="shared" ref="G114:G125" si="22">F114*$D$20/12</f>
        <v>14.875</v>
      </c>
      <c r="H114" s="454"/>
    </row>
    <row r="115" spans="1:12" ht="15" x14ac:dyDescent="0.2">
      <c r="A115" s="291">
        <v>47969</v>
      </c>
      <c r="B115" s="292">
        <f t="shared" ref="B115:B125" si="23">F114</f>
        <v>1785</v>
      </c>
      <c r="C115" s="292">
        <v>0</v>
      </c>
      <c r="D115" s="292">
        <f t="shared" si="20"/>
        <v>1785</v>
      </c>
      <c r="E115" s="292">
        <v>10</v>
      </c>
      <c r="F115" s="292">
        <f t="shared" si="21"/>
        <v>1775</v>
      </c>
      <c r="G115" s="292">
        <f t="shared" si="22"/>
        <v>14.791666666666666</v>
      </c>
      <c r="H115" s="455"/>
    </row>
    <row r="116" spans="1:12" ht="15" x14ac:dyDescent="0.2">
      <c r="A116" s="291">
        <v>48000</v>
      </c>
      <c r="B116" s="292">
        <f t="shared" si="23"/>
        <v>1775</v>
      </c>
      <c r="C116" s="292">
        <v>0</v>
      </c>
      <c r="D116" s="292">
        <f t="shared" si="20"/>
        <v>1775</v>
      </c>
      <c r="E116" s="292">
        <v>10</v>
      </c>
      <c r="F116" s="292">
        <f t="shared" si="21"/>
        <v>1765</v>
      </c>
      <c r="G116" s="292">
        <f t="shared" si="22"/>
        <v>14.708333333333334</v>
      </c>
      <c r="H116" s="455"/>
    </row>
    <row r="117" spans="1:12" ht="15" x14ac:dyDescent="0.2">
      <c r="A117" s="291">
        <v>48030</v>
      </c>
      <c r="B117" s="292">
        <f t="shared" si="23"/>
        <v>1765</v>
      </c>
      <c r="C117" s="292">
        <v>0</v>
      </c>
      <c r="D117" s="292">
        <f t="shared" si="20"/>
        <v>1765</v>
      </c>
      <c r="E117" s="292">
        <v>10</v>
      </c>
      <c r="F117" s="292">
        <f t="shared" si="21"/>
        <v>1755</v>
      </c>
      <c r="G117" s="292">
        <f t="shared" si="22"/>
        <v>14.625</v>
      </c>
      <c r="H117" s="455"/>
    </row>
    <row r="118" spans="1:12" ht="15" x14ac:dyDescent="0.2">
      <c r="A118" s="291">
        <v>48061</v>
      </c>
      <c r="B118" s="292">
        <f t="shared" si="23"/>
        <v>1755</v>
      </c>
      <c r="C118" s="292">
        <v>0</v>
      </c>
      <c r="D118" s="292">
        <f t="shared" si="20"/>
        <v>1755</v>
      </c>
      <c r="E118" s="292">
        <v>10</v>
      </c>
      <c r="F118" s="292">
        <f t="shared" si="21"/>
        <v>1745</v>
      </c>
      <c r="G118" s="292">
        <f t="shared" si="22"/>
        <v>14.541666666666666</v>
      </c>
      <c r="H118" s="455"/>
    </row>
    <row r="119" spans="1:12" ht="15" x14ac:dyDescent="0.2">
      <c r="A119" s="291">
        <v>48092</v>
      </c>
      <c r="B119" s="292">
        <f t="shared" si="23"/>
        <v>1745</v>
      </c>
      <c r="C119" s="292">
        <v>0</v>
      </c>
      <c r="D119" s="292">
        <f t="shared" si="20"/>
        <v>1745</v>
      </c>
      <c r="E119" s="292">
        <v>10</v>
      </c>
      <c r="F119" s="292">
        <f t="shared" si="21"/>
        <v>1735</v>
      </c>
      <c r="G119" s="292">
        <f t="shared" si="22"/>
        <v>14.458333333333334</v>
      </c>
      <c r="H119" s="455"/>
    </row>
    <row r="120" spans="1:12" ht="15" x14ac:dyDescent="0.2">
      <c r="A120" s="291">
        <v>48122</v>
      </c>
      <c r="B120" s="292">
        <f t="shared" si="23"/>
        <v>1735</v>
      </c>
      <c r="C120" s="292">
        <v>0</v>
      </c>
      <c r="D120" s="292">
        <f t="shared" si="20"/>
        <v>1735</v>
      </c>
      <c r="E120" s="292">
        <v>10</v>
      </c>
      <c r="F120" s="292">
        <f t="shared" si="21"/>
        <v>1725</v>
      </c>
      <c r="G120" s="292">
        <f t="shared" si="22"/>
        <v>14.375</v>
      </c>
      <c r="H120" s="455"/>
    </row>
    <row r="121" spans="1:12" ht="15" x14ac:dyDescent="0.2">
      <c r="A121" s="291">
        <v>48153</v>
      </c>
      <c r="B121" s="292">
        <f t="shared" si="23"/>
        <v>1725</v>
      </c>
      <c r="C121" s="292">
        <v>0</v>
      </c>
      <c r="D121" s="292">
        <f t="shared" si="20"/>
        <v>1725</v>
      </c>
      <c r="E121" s="292">
        <v>10</v>
      </c>
      <c r="F121" s="292">
        <f t="shared" si="21"/>
        <v>1715</v>
      </c>
      <c r="G121" s="292">
        <f t="shared" si="22"/>
        <v>14.291666666666666</v>
      </c>
      <c r="H121" s="455"/>
    </row>
    <row r="122" spans="1:12" ht="15" x14ac:dyDescent="0.2">
      <c r="A122" s="291">
        <v>48183</v>
      </c>
      <c r="B122" s="292">
        <f t="shared" si="23"/>
        <v>1715</v>
      </c>
      <c r="C122" s="292">
        <v>0</v>
      </c>
      <c r="D122" s="292">
        <f t="shared" si="20"/>
        <v>1715</v>
      </c>
      <c r="E122" s="292">
        <v>10</v>
      </c>
      <c r="F122" s="292">
        <f t="shared" si="21"/>
        <v>1705</v>
      </c>
      <c r="G122" s="292">
        <f t="shared" si="22"/>
        <v>14.208333333333334</v>
      </c>
      <c r="H122" s="455"/>
    </row>
    <row r="123" spans="1:12" ht="15" x14ac:dyDescent="0.2">
      <c r="A123" s="291">
        <v>48214</v>
      </c>
      <c r="B123" s="292">
        <f t="shared" si="23"/>
        <v>1705</v>
      </c>
      <c r="C123" s="292">
        <v>0</v>
      </c>
      <c r="D123" s="292">
        <f t="shared" si="20"/>
        <v>1705</v>
      </c>
      <c r="E123" s="292">
        <v>10</v>
      </c>
      <c r="F123" s="292">
        <f t="shared" si="21"/>
        <v>1695</v>
      </c>
      <c r="G123" s="292">
        <f t="shared" si="22"/>
        <v>14.125</v>
      </c>
      <c r="H123" s="455"/>
    </row>
    <row r="124" spans="1:12" ht="15" x14ac:dyDescent="0.2">
      <c r="A124" s="291">
        <v>48245</v>
      </c>
      <c r="B124" s="292">
        <f t="shared" si="23"/>
        <v>1695</v>
      </c>
      <c r="C124" s="292">
        <v>0</v>
      </c>
      <c r="D124" s="292">
        <f t="shared" si="20"/>
        <v>1695</v>
      </c>
      <c r="E124" s="292">
        <v>10</v>
      </c>
      <c r="F124" s="292">
        <f t="shared" si="21"/>
        <v>1685</v>
      </c>
      <c r="G124" s="292">
        <f t="shared" si="22"/>
        <v>14.041666666666666</v>
      </c>
      <c r="H124" s="456"/>
    </row>
    <row r="125" spans="1:12" ht="15" x14ac:dyDescent="0.2">
      <c r="A125" s="291">
        <v>48274</v>
      </c>
      <c r="B125" s="292">
        <f t="shared" si="23"/>
        <v>1685</v>
      </c>
      <c r="C125" s="292">
        <v>0</v>
      </c>
      <c r="D125" s="292">
        <f t="shared" si="20"/>
        <v>1685</v>
      </c>
      <c r="E125" s="292">
        <v>10</v>
      </c>
      <c r="F125" s="292">
        <f t="shared" si="21"/>
        <v>1675</v>
      </c>
      <c r="G125" s="292">
        <f t="shared" si="22"/>
        <v>13.958333333333334</v>
      </c>
      <c r="H125" s="239">
        <f>SUM(G114:G125)</f>
        <v>173</v>
      </c>
    </row>
    <row r="126" spans="1:12" ht="15" x14ac:dyDescent="0.2">
      <c r="A126" s="300"/>
      <c r="B126" s="301"/>
      <c r="C126" s="301"/>
      <c r="D126" s="301"/>
      <c r="E126" s="301"/>
      <c r="F126" s="301"/>
      <c r="G126" s="301"/>
      <c r="H126" s="302"/>
    </row>
    <row r="127" spans="1:12" ht="15" x14ac:dyDescent="0.2">
      <c r="A127" s="290" t="s">
        <v>235</v>
      </c>
      <c r="B127" s="289" t="s">
        <v>384</v>
      </c>
      <c r="C127" s="289" t="s">
        <v>385</v>
      </c>
      <c r="D127" s="289" t="s">
        <v>11</v>
      </c>
      <c r="E127" s="289" t="s">
        <v>386</v>
      </c>
      <c r="F127" s="289" t="s">
        <v>387</v>
      </c>
      <c r="G127" s="289" t="s">
        <v>223</v>
      </c>
      <c r="H127" s="289" t="s">
        <v>11</v>
      </c>
      <c r="J127">
        <v>12</v>
      </c>
      <c r="K127">
        <v>180</v>
      </c>
      <c r="L127">
        <f>+K127/J127</f>
        <v>15</v>
      </c>
    </row>
    <row r="128" spans="1:12" ht="15" x14ac:dyDescent="0.2">
      <c r="A128" s="291">
        <v>48305</v>
      </c>
      <c r="B128" s="292">
        <f>F125</f>
        <v>1675</v>
      </c>
      <c r="C128" s="292">
        <v>0</v>
      </c>
      <c r="D128" s="292">
        <f t="shared" ref="D128:D139" si="24">B128+C128</f>
        <v>1675</v>
      </c>
      <c r="E128" s="292">
        <v>10</v>
      </c>
      <c r="F128" s="292">
        <f t="shared" ref="F128:F139" si="25">D128-E128</f>
        <v>1665</v>
      </c>
      <c r="G128" s="292">
        <f t="shared" ref="G128:G139" si="26">F128*$D$20/12</f>
        <v>13.875</v>
      </c>
      <c r="H128" s="454"/>
    </row>
    <row r="129" spans="1:10" ht="15" x14ac:dyDescent="0.2">
      <c r="A129" s="291">
        <v>48335</v>
      </c>
      <c r="B129" s="292">
        <f t="shared" ref="B129:B139" si="27">F128</f>
        <v>1665</v>
      </c>
      <c r="C129" s="292">
        <v>0</v>
      </c>
      <c r="D129" s="292">
        <f t="shared" si="24"/>
        <v>1665</v>
      </c>
      <c r="E129" s="292">
        <v>10</v>
      </c>
      <c r="F129" s="292">
        <f t="shared" si="25"/>
        <v>1655</v>
      </c>
      <c r="G129" s="292">
        <f t="shared" si="26"/>
        <v>13.791666666666666</v>
      </c>
      <c r="H129" s="455"/>
    </row>
    <row r="130" spans="1:10" ht="15" x14ac:dyDescent="0.2">
      <c r="A130" s="291">
        <v>48366</v>
      </c>
      <c r="B130" s="292">
        <f t="shared" si="27"/>
        <v>1655</v>
      </c>
      <c r="C130" s="292">
        <v>0</v>
      </c>
      <c r="D130" s="292">
        <f t="shared" si="24"/>
        <v>1655</v>
      </c>
      <c r="E130" s="292">
        <v>10</v>
      </c>
      <c r="F130" s="292">
        <f t="shared" si="25"/>
        <v>1645</v>
      </c>
      <c r="G130" s="292">
        <f t="shared" si="26"/>
        <v>13.708333333333334</v>
      </c>
      <c r="H130" s="455"/>
    </row>
    <row r="131" spans="1:10" ht="15" x14ac:dyDescent="0.2">
      <c r="A131" s="291">
        <v>48396</v>
      </c>
      <c r="B131" s="292">
        <f t="shared" si="27"/>
        <v>1645</v>
      </c>
      <c r="C131" s="292">
        <v>0</v>
      </c>
      <c r="D131" s="292">
        <f t="shared" si="24"/>
        <v>1645</v>
      </c>
      <c r="E131" s="292">
        <v>10</v>
      </c>
      <c r="F131" s="292">
        <f t="shared" si="25"/>
        <v>1635</v>
      </c>
      <c r="G131" s="292">
        <f t="shared" si="26"/>
        <v>13.625</v>
      </c>
      <c r="H131" s="455"/>
    </row>
    <row r="132" spans="1:10" ht="15" x14ac:dyDescent="0.2">
      <c r="A132" s="291">
        <v>48427</v>
      </c>
      <c r="B132" s="292">
        <f t="shared" si="27"/>
        <v>1635</v>
      </c>
      <c r="C132" s="292">
        <v>0</v>
      </c>
      <c r="D132" s="292">
        <f t="shared" si="24"/>
        <v>1635</v>
      </c>
      <c r="E132" s="292">
        <v>10</v>
      </c>
      <c r="F132" s="292">
        <f t="shared" si="25"/>
        <v>1625</v>
      </c>
      <c r="G132" s="292">
        <f t="shared" si="26"/>
        <v>13.541666666666666</v>
      </c>
      <c r="H132" s="455"/>
    </row>
    <row r="133" spans="1:10" ht="15" x14ac:dyDescent="0.2">
      <c r="A133" s="291">
        <v>48458</v>
      </c>
      <c r="B133" s="292">
        <f t="shared" si="27"/>
        <v>1625</v>
      </c>
      <c r="C133" s="292">
        <v>0</v>
      </c>
      <c r="D133" s="292">
        <f t="shared" si="24"/>
        <v>1625</v>
      </c>
      <c r="E133" s="292">
        <v>10</v>
      </c>
      <c r="F133" s="292">
        <f t="shared" si="25"/>
        <v>1615</v>
      </c>
      <c r="G133" s="292">
        <f t="shared" si="26"/>
        <v>13.458333333333334</v>
      </c>
      <c r="H133" s="455"/>
    </row>
    <row r="134" spans="1:10" ht="15" x14ac:dyDescent="0.2">
      <c r="A134" s="291">
        <v>48488</v>
      </c>
      <c r="B134" s="292">
        <f t="shared" si="27"/>
        <v>1615</v>
      </c>
      <c r="C134" s="292">
        <v>0</v>
      </c>
      <c r="D134" s="292">
        <f t="shared" si="24"/>
        <v>1615</v>
      </c>
      <c r="E134" s="292">
        <v>10</v>
      </c>
      <c r="F134" s="292">
        <f t="shared" si="25"/>
        <v>1605</v>
      </c>
      <c r="G134" s="292">
        <f t="shared" si="26"/>
        <v>13.375</v>
      </c>
      <c r="H134" s="455"/>
    </row>
    <row r="135" spans="1:10" ht="15" x14ac:dyDescent="0.2">
      <c r="A135" s="291">
        <v>48519</v>
      </c>
      <c r="B135" s="292">
        <f t="shared" si="27"/>
        <v>1605</v>
      </c>
      <c r="C135" s="292">
        <v>0</v>
      </c>
      <c r="D135" s="292">
        <f t="shared" si="24"/>
        <v>1605</v>
      </c>
      <c r="E135" s="292">
        <v>10</v>
      </c>
      <c r="F135" s="292">
        <f t="shared" si="25"/>
        <v>1595</v>
      </c>
      <c r="G135" s="292">
        <f t="shared" si="26"/>
        <v>13.291666666666666</v>
      </c>
      <c r="H135" s="455"/>
    </row>
    <row r="136" spans="1:10" ht="15" x14ac:dyDescent="0.2">
      <c r="A136" s="291">
        <v>48549</v>
      </c>
      <c r="B136" s="292">
        <f t="shared" si="27"/>
        <v>1595</v>
      </c>
      <c r="C136" s="292">
        <v>0</v>
      </c>
      <c r="D136" s="292">
        <f t="shared" si="24"/>
        <v>1595</v>
      </c>
      <c r="E136" s="292">
        <v>10</v>
      </c>
      <c r="F136" s="292">
        <f t="shared" si="25"/>
        <v>1585</v>
      </c>
      <c r="G136" s="292">
        <f t="shared" si="26"/>
        <v>13.208333333333334</v>
      </c>
      <c r="H136" s="455"/>
    </row>
    <row r="137" spans="1:10" ht="15" x14ac:dyDescent="0.2">
      <c r="A137" s="291">
        <v>48580</v>
      </c>
      <c r="B137" s="292">
        <f t="shared" si="27"/>
        <v>1585</v>
      </c>
      <c r="C137" s="292">
        <v>0</v>
      </c>
      <c r="D137" s="292">
        <f t="shared" si="24"/>
        <v>1585</v>
      </c>
      <c r="E137" s="292">
        <v>10</v>
      </c>
      <c r="F137" s="292">
        <f t="shared" si="25"/>
        <v>1575</v>
      </c>
      <c r="G137" s="292">
        <f t="shared" si="26"/>
        <v>13.125</v>
      </c>
      <c r="H137" s="455"/>
    </row>
    <row r="138" spans="1:10" ht="15" x14ac:dyDescent="0.2">
      <c r="A138" s="291">
        <v>48611</v>
      </c>
      <c r="B138" s="292">
        <f t="shared" si="27"/>
        <v>1575</v>
      </c>
      <c r="C138" s="292">
        <v>0</v>
      </c>
      <c r="D138" s="292">
        <f t="shared" si="24"/>
        <v>1575</v>
      </c>
      <c r="E138" s="292">
        <v>10</v>
      </c>
      <c r="F138" s="292">
        <f t="shared" si="25"/>
        <v>1565</v>
      </c>
      <c r="G138" s="292">
        <f t="shared" si="26"/>
        <v>13.041666666666666</v>
      </c>
      <c r="H138" s="456"/>
    </row>
    <row r="139" spans="1:10" ht="15" x14ac:dyDescent="0.2">
      <c r="A139" s="291">
        <v>48639</v>
      </c>
      <c r="B139" s="292">
        <f t="shared" si="27"/>
        <v>1565</v>
      </c>
      <c r="C139" s="292">
        <v>0</v>
      </c>
      <c r="D139" s="292">
        <f t="shared" si="24"/>
        <v>1565</v>
      </c>
      <c r="E139" s="292">
        <v>10</v>
      </c>
      <c r="F139" s="292">
        <f t="shared" si="25"/>
        <v>1555</v>
      </c>
      <c r="G139" s="292">
        <f t="shared" si="26"/>
        <v>12.958333333333334</v>
      </c>
      <c r="H139" s="239">
        <f>SUM(G128:G139)</f>
        <v>161</v>
      </c>
    </row>
    <row r="140" spans="1:10" ht="15" x14ac:dyDescent="0.2">
      <c r="A140" s="300"/>
      <c r="B140" s="301"/>
      <c r="C140" s="301"/>
      <c r="D140" s="301"/>
      <c r="E140" s="301"/>
      <c r="F140" s="301"/>
      <c r="G140" s="301"/>
      <c r="H140" s="302"/>
    </row>
    <row r="141" spans="1:10" ht="15" x14ac:dyDescent="0.2">
      <c r="A141" s="290" t="s">
        <v>236</v>
      </c>
      <c r="B141" s="289" t="s">
        <v>384</v>
      </c>
      <c r="C141" s="289" t="s">
        <v>385</v>
      </c>
      <c r="D141" s="289" t="s">
        <v>11</v>
      </c>
      <c r="E141" s="289" t="s">
        <v>386</v>
      </c>
      <c r="F141" s="289" t="s">
        <v>387</v>
      </c>
      <c r="G141" s="289" t="s">
        <v>223</v>
      </c>
      <c r="H141" s="289" t="s">
        <v>11</v>
      </c>
      <c r="J141">
        <v>12</v>
      </c>
    </row>
    <row r="142" spans="1:10" ht="15" x14ac:dyDescent="0.2">
      <c r="A142" s="291">
        <v>48670</v>
      </c>
      <c r="B142" s="292">
        <f>F139</f>
        <v>1555</v>
      </c>
      <c r="C142" s="292">
        <v>0</v>
      </c>
      <c r="D142" s="292">
        <f t="shared" ref="D142:D153" si="28">B142+C142</f>
        <v>1555</v>
      </c>
      <c r="E142" s="292">
        <v>10</v>
      </c>
      <c r="F142" s="292">
        <f t="shared" ref="F142:F153" si="29">D142-E142</f>
        <v>1545</v>
      </c>
      <c r="G142" s="292">
        <f t="shared" ref="G142:G153" si="30">F142*$D$20/12</f>
        <v>12.875</v>
      </c>
      <c r="H142" s="454"/>
    </row>
    <row r="143" spans="1:10" ht="15" x14ac:dyDescent="0.2">
      <c r="A143" s="291">
        <v>48700</v>
      </c>
      <c r="B143" s="292">
        <f t="shared" ref="B143:B153" si="31">F142</f>
        <v>1545</v>
      </c>
      <c r="C143" s="292">
        <v>0</v>
      </c>
      <c r="D143" s="292">
        <f t="shared" si="28"/>
        <v>1545</v>
      </c>
      <c r="E143" s="292">
        <v>10</v>
      </c>
      <c r="F143" s="292">
        <f t="shared" si="29"/>
        <v>1535</v>
      </c>
      <c r="G143" s="292">
        <f t="shared" si="30"/>
        <v>12.791666666666666</v>
      </c>
      <c r="H143" s="455"/>
    </row>
    <row r="144" spans="1:10" ht="15" x14ac:dyDescent="0.2">
      <c r="A144" s="291">
        <v>48731</v>
      </c>
      <c r="B144" s="292">
        <f t="shared" si="31"/>
        <v>1535</v>
      </c>
      <c r="C144" s="292">
        <v>0</v>
      </c>
      <c r="D144" s="292">
        <f t="shared" si="28"/>
        <v>1535</v>
      </c>
      <c r="E144" s="292">
        <v>10</v>
      </c>
      <c r="F144" s="292">
        <f t="shared" si="29"/>
        <v>1525</v>
      </c>
      <c r="G144" s="292">
        <f t="shared" si="30"/>
        <v>12.708333333333334</v>
      </c>
      <c r="H144" s="455"/>
    </row>
    <row r="145" spans="1:10" ht="15" x14ac:dyDescent="0.2">
      <c r="A145" s="291">
        <v>48761</v>
      </c>
      <c r="B145" s="292">
        <f t="shared" si="31"/>
        <v>1525</v>
      </c>
      <c r="C145" s="292">
        <v>0</v>
      </c>
      <c r="D145" s="292">
        <f t="shared" si="28"/>
        <v>1525</v>
      </c>
      <c r="E145" s="292">
        <v>10</v>
      </c>
      <c r="F145" s="292">
        <f t="shared" si="29"/>
        <v>1515</v>
      </c>
      <c r="G145" s="292">
        <f t="shared" si="30"/>
        <v>12.625</v>
      </c>
      <c r="H145" s="455"/>
    </row>
    <row r="146" spans="1:10" ht="15" x14ac:dyDescent="0.2">
      <c r="A146" s="291">
        <v>48792</v>
      </c>
      <c r="B146" s="292">
        <f t="shared" si="31"/>
        <v>1515</v>
      </c>
      <c r="C146" s="292">
        <v>0</v>
      </c>
      <c r="D146" s="292">
        <f t="shared" si="28"/>
        <v>1515</v>
      </c>
      <c r="E146" s="292">
        <v>10</v>
      </c>
      <c r="F146" s="292">
        <f t="shared" si="29"/>
        <v>1505</v>
      </c>
      <c r="G146" s="292">
        <f t="shared" si="30"/>
        <v>12.541666666666666</v>
      </c>
      <c r="H146" s="455"/>
    </row>
    <row r="147" spans="1:10" ht="15" x14ac:dyDescent="0.2">
      <c r="A147" s="291">
        <v>48823</v>
      </c>
      <c r="B147" s="292">
        <f t="shared" si="31"/>
        <v>1505</v>
      </c>
      <c r="C147" s="292">
        <v>0</v>
      </c>
      <c r="D147" s="292">
        <f t="shared" si="28"/>
        <v>1505</v>
      </c>
      <c r="E147" s="292">
        <v>10</v>
      </c>
      <c r="F147" s="292">
        <f t="shared" si="29"/>
        <v>1495</v>
      </c>
      <c r="G147" s="292">
        <f t="shared" si="30"/>
        <v>12.458333333333334</v>
      </c>
      <c r="H147" s="455"/>
    </row>
    <row r="148" spans="1:10" ht="15" x14ac:dyDescent="0.2">
      <c r="A148" s="291">
        <v>48853</v>
      </c>
      <c r="B148" s="292">
        <f t="shared" si="31"/>
        <v>1495</v>
      </c>
      <c r="C148" s="292">
        <v>0</v>
      </c>
      <c r="D148" s="292">
        <f t="shared" si="28"/>
        <v>1495</v>
      </c>
      <c r="E148" s="292">
        <v>10</v>
      </c>
      <c r="F148" s="292">
        <f t="shared" si="29"/>
        <v>1485</v>
      </c>
      <c r="G148" s="292">
        <f t="shared" si="30"/>
        <v>12.375</v>
      </c>
      <c r="H148" s="455"/>
    </row>
    <row r="149" spans="1:10" ht="15" x14ac:dyDescent="0.2">
      <c r="A149" s="291">
        <v>48884</v>
      </c>
      <c r="B149" s="292">
        <f t="shared" si="31"/>
        <v>1485</v>
      </c>
      <c r="C149" s="292">
        <v>0</v>
      </c>
      <c r="D149" s="292">
        <f t="shared" si="28"/>
        <v>1485</v>
      </c>
      <c r="E149" s="292">
        <v>10</v>
      </c>
      <c r="F149" s="292">
        <f t="shared" si="29"/>
        <v>1475</v>
      </c>
      <c r="G149" s="292">
        <f t="shared" si="30"/>
        <v>12.291666666666666</v>
      </c>
      <c r="H149" s="455"/>
    </row>
    <row r="150" spans="1:10" ht="15" x14ac:dyDescent="0.2">
      <c r="A150" s="291">
        <v>48914</v>
      </c>
      <c r="B150" s="292">
        <f t="shared" si="31"/>
        <v>1475</v>
      </c>
      <c r="C150" s="292">
        <v>0</v>
      </c>
      <c r="D150" s="292">
        <f t="shared" si="28"/>
        <v>1475</v>
      </c>
      <c r="E150" s="292">
        <v>10</v>
      </c>
      <c r="F150" s="292">
        <f t="shared" si="29"/>
        <v>1465</v>
      </c>
      <c r="G150" s="292">
        <f t="shared" si="30"/>
        <v>12.208333333333334</v>
      </c>
      <c r="H150" s="455"/>
    </row>
    <row r="151" spans="1:10" ht="15" x14ac:dyDescent="0.2">
      <c r="A151" s="291">
        <v>48945</v>
      </c>
      <c r="B151" s="292">
        <f t="shared" si="31"/>
        <v>1465</v>
      </c>
      <c r="C151" s="292">
        <v>0</v>
      </c>
      <c r="D151" s="292">
        <f t="shared" si="28"/>
        <v>1465</v>
      </c>
      <c r="E151" s="292">
        <v>10</v>
      </c>
      <c r="F151" s="292">
        <f t="shared" si="29"/>
        <v>1455</v>
      </c>
      <c r="G151" s="292">
        <f t="shared" si="30"/>
        <v>12.125</v>
      </c>
      <c r="H151" s="455"/>
    </row>
    <row r="152" spans="1:10" ht="15" x14ac:dyDescent="0.2">
      <c r="A152" s="291">
        <v>48976</v>
      </c>
      <c r="B152" s="292">
        <f t="shared" si="31"/>
        <v>1455</v>
      </c>
      <c r="C152" s="292">
        <v>0</v>
      </c>
      <c r="D152" s="292">
        <f t="shared" si="28"/>
        <v>1455</v>
      </c>
      <c r="E152" s="292">
        <v>10</v>
      </c>
      <c r="F152" s="292">
        <f t="shared" si="29"/>
        <v>1445</v>
      </c>
      <c r="G152" s="292">
        <f t="shared" si="30"/>
        <v>12.041666666666666</v>
      </c>
      <c r="H152" s="456"/>
    </row>
    <row r="153" spans="1:10" ht="15" x14ac:dyDescent="0.2">
      <c r="A153" s="291">
        <v>49004</v>
      </c>
      <c r="B153" s="292">
        <f t="shared" si="31"/>
        <v>1445</v>
      </c>
      <c r="C153" s="292">
        <v>0</v>
      </c>
      <c r="D153" s="292">
        <f t="shared" si="28"/>
        <v>1445</v>
      </c>
      <c r="E153" s="292">
        <v>10</v>
      </c>
      <c r="F153" s="292">
        <f t="shared" si="29"/>
        <v>1435</v>
      </c>
      <c r="G153" s="292">
        <f t="shared" si="30"/>
        <v>11.958333333333334</v>
      </c>
      <c r="H153" s="239">
        <f>SUM(G142:G153)</f>
        <v>149</v>
      </c>
    </row>
    <row r="154" spans="1:10" ht="15" x14ac:dyDescent="0.2">
      <c r="A154" s="300"/>
      <c r="B154" s="301"/>
      <c r="C154" s="301"/>
      <c r="D154" s="301"/>
      <c r="E154" s="301"/>
      <c r="F154" s="301"/>
      <c r="G154" s="301"/>
      <c r="H154" s="255"/>
    </row>
    <row r="155" spans="1:10" ht="15" x14ac:dyDescent="0.2">
      <c r="A155" s="290" t="s">
        <v>388</v>
      </c>
      <c r="B155" s="289" t="s">
        <v>384</v>
      </c>
      <c r="C155" s="289" t="s">
        <v>385</v>
      </c>
      <c r="D155" s="289" t="s">
        <v>11</v>
      </c>
      <c r="E155" s="289" t="s">
        <v>386</v>
      </c>
      <c r="F155" s="289" t="s">
        <v>387</v>
      </c>
      <c r="G155" s="289" t="s">
        <v>223</v>
      </c>
      <c r="H155" s="289" t="s">
        <v>11</v>
      </c>
      <c r="J155">
        <v>12</v>
      </c>
    </row>
    <row r="156" spans="1:10" ht="15" x14ac:dyDescent="0.2">
      <c r="A156" s="291">
        <v>49035</v>
      </c>
      <c r="B156" s="292">
        <f>F153</f>
        <v>1435</v>
      </c>
      <c r="C156" s="292">
        <v>0</v>
      </c>
      <c r="D156" s="292">
        <f t="shared" ref="D156:D167" si="32">B156+C156</f>
        <v>1435</v>
      </c>
      <c r="E156" s="292">
        <v>10</v>
      </c>
      <c r="F156" s="292">
        <f t="shared" ref="F156:F167" si="33">D156-E156</f>
        <v>1425</v>
      </c>
      <c r="G156" s="292">
        <f t="shared" ref="G156:G167" si="34">F156*$D$20/12</f>
        <v>11.875</v>
      </c>
      <c r="H156" s="454"/>
    </row>
    <row r="157" spans="1:10" ht="15" x14ac:dyDescent="0.2">
      <c r="A157" s="291">
        <v>49065</v>
      </c>
      <c r="B157" s="292">
        <f>F156</f>
        <v>1425</v>
      </c>
      <c r="C157" s="292">
        <v>0</v>
      </c>
      <c r="D157" s="292">
        <f t="shared" si="32"/>
        <v>1425</v>
      </c>
      <c r="E157" s="292">
        <v>10</v>
      </c>
      <c r="F157" s="292">
        <f t="shared" si="33"/>
        <v>1415</v>
      </c>
      <c r="G157" s="292">
        <f t="shared" si="34"/>
        <v>11.791666666666666</v>
      </c>
      <c r="H157" s="455"/>
    </row>
    <row r="158" spans="1:10" ht="15" x14ac:dyDescent="0.2">
      <c r="A158" s="291">
        <v>49096</v>
      </c>
      <c r="B158" s="292">
        <f t="shared" ref="B158:B167" si="35">F157</f>
        <v>1415</v>
      </c>
      <c r="C158" s="292">
        <v>0</v>
      </c>
      <c r="D158" s="292">
        <f t="shared" si="32"/>
        <v>1415</v>
      </c>
      <c r="E158" s="292">
        <v>10</v>
      </c>
      <c r="F158" s="292">
        <f t="shared" si="33"/>
        <v>1405</v>
      </c>
      <c r="G158" s="292">
        <f t="shared" si="34"/>
        <v>11.708333333333334</v>
      </c>
      <c r="H158" s="455"/>
    </row>
    <row r="159" spans="1:10" ht="15" x14ac:dyDescent="0.2">
      <c r="A159" s="291">
        <v>49126</v>
      </c>
      <c r="B159" s="292">
        <f t="shared" si="35"/>
        <v>1405</v>
      </c>
      <c r="C159" s="292">
        <v>0</v>
      </c>
      <c r="D159" s="292">
        <f t="shared" si="32"/>
        <v>1405</v>
      </c>
      <c r="E159" s="292">
        <v>10</v>
      </c>
      <c r="F159" s="292">
        <f t="shared" si="33"/>
        <v>1395</v>
      </c>
      <c r="G159" s="292">
        <f t="shared" si="34"/>
        <v>11.625</v>
      </c>
      <c r="H159" s="455"/>
    </row>
    <row r="160" spans="1:10" ht="15" x14ac:dyDescent="0.2">
      <c r="A160" s="291">
        <v>49157</v>
      </c>
      <c r="B160" s="292">
        <f t="shared" si="35"/>
        <v>1395</v>
      </c>
      <c r="C160" s="292">
        <v>0</v>
      </c>
      <c r="D160" s="292">
        <f t="shared" si="32"/>
        <v>1395</v>
      </c>
      <c r="E160" s="292">
        <v>10</v>
      </c>
      <c r="F160" s="292">
        <f t="shared" si="33"/>
        <v>1385</v>
      </c>
      <c r="G160" s="292">
        <f t="shared" si="34"/>
        <v>11.541666666666666</v>
      </c>
      <c r="H160" s="455"/>
    </row>
    <row r="161" spans="1:12" ht="15" x14ac:dyDescent="0.2">
      <c r="A161" s="291">
        <v>49188</v>
      </c>
      <c r="B161" s="292">
        <f t="shared" si="35"/>
        <v>1385</v>
      </c>
      <c r="C161" s="292">
        <v>0</v>
      </c>
      <c r="D161" s="292">
        <f t="shared" si="32"/>
        <v>1385</v>
      </c>
      <c r="E161" s="292">
        <v>10</v>
      </c>
      <c r="F161" s="292">
        <f t="shared" si="33"/>
        <v>1375</v>
      </c>
      <c r="G161" s="292">
        <f t="shared" si="34"/>
        <v>11.458333333333334</v>
      </c>
      <c r="H161" s="455"/>
    </row>
    <row r="162" spans="1:12" ht="15" x14ac:dyDescent="0.2">
      <c r="A162" s="291">
        <v>49218</v>
      </c>
      <c r="B162" s="292">
        <f t="shared" si="35"/>
        <v>1375</v>
      </c>
      <c r="C162" s="292">
        <v>0</v>
      </c>
      <c r="D162" s="292">
        <f t="shared" si="32"/>
        <v>1375</v>
      </c>
      <c r="E162" s="292">
        <v>10</v>
      </c>
      <c r="F162" s="292">
        <f t="shared" si="33"/>
        <v>1365</v>
      </c>
      <c r="G162" s="292">
        <f t="shared" si="34"/>
        <v>11.375</v>
      </c>
      <c r="H162" s="455"/>
    </row>
    <row r="163" spans="1:12" ht="15" x14ac:dyDescent="0.2">
      <c r="A163" s="291">
        <v>49249</v>
      </c>
      <c r="B163" s="292">
        <f t="shared" si="35"/>
        <v>1365</v>
      </c>
      <c r="C163" s="292">
        <v>0</v>
      </c>
      <c r="D163" s="292">
        <f t="shared" si="32"/>
        <v>1365</v>
      </c>
      <c r="E163" s="292">
        <v>10</v>
      </c>
      <c r="F163" s="292">
        <f t="shared" si="33"/>
        <v>1355</v>
      </c>
      <c r="G163" s="292">
        <f t="shared" si="34"/>
        <v>11.291666666666666</v>
      </c>
      <c r="H163" s="455"/>
    </row>
    <row r="164" spans="1:12" ht="15" x14ac:dyDescent="0.2">
      <c r="A164" s="291">
        <v>49279</v>
      </c>
      <c r="B164" s="292">
        <f t="shared" si="35"/>
        <v>1355</v>
      </c>
      <c r="C164" s="292">
        <v>0</v>
      </c>
      <c r="D164" s="292">
        <f t="shared" si="32"/>
        <v>1355</v>
      </c>
      <c r="E164" s="292">
        <v>10</v>
      </c>
      <c r="F164" s="292">
        <f t="shared" si="33"/>
        <v>1345</v>
      </c>
      <c r="G164" s="292">
        <f t="shared" si="34"/>
        <v>11.208333333333334</v>
      </c>
      <c r="H164" s="455"/>
    </row>
    <row r="165" spans="1:12" ht="15" x14ac:dyDescent="0.2">
      <c r="A165" s="291">
        <v>49310</v>
      </c>
      <c r="B165" s="292">
        <f t="shared" si="35"/>
        <v>1345</v>
      </c>
      <c r="C165" s="292">
        <v>0</v>
      </c>
      <c r="D165" s="292">
        <f t="shared" si="32"/>
        <v>1345</v>
      </c>
      <c r="E165" s="292">
        <v>10</v>
      </c>
      <c r="F165" s="292">
        <f t="shared" si="33"/>
        <v>1335</v>
      </c>
      <c r="G165" s="292">
        <f t="shared" si="34"/>
        <v>11.125</v>
      </c>
      <c r="H165" s="455"/>
    </row>
    <row r="166" spans="1:12" ht="15" x14ac:dyDescent="0.2">
      <c r="A166" s="291">
        <v>49341</v>
      </c>
      <c r="B166" s="292">
        <f t="shared" si="35"/>
        <v>1335</v>
      </c>
      <c r="C166" s="292">
        <v>0</v>
      </c>
      <c r="D166" s="292">
        <f t="shared" si="32"/>
        <v>1335</v>
      </c>
      <c r="E166" s="292">
        <v>10</v>
      </c>
      <c r="F166" s="292">
        <f t="shared" si="33"/>
        <v>1325</v>
      </c>
      <c r="G166" s="292">
        <f t="shared" si="34"/>
        <v>11.041666666666666</v>
      </c>
      <c r="H166" s="456"/>
    </row>
    <row r="167" spans="1:12" ht="15" x14ac:dyDescent="0.2">
      <c r="A167" s="291">
        <v>49369</v>
      </c>
      <c r="B167" s="292">
        <f t="shared" si="35"/>
        <v>1325</v>
      </c>
      <c r="C167" s="292">
        <v>0</v>
      </c>
      <c r="D167" s="292">
        <f t="shared" si="32"/>
        <v>1325</v>
      </c>
      <c r="E167" s="292">
        <v>10</v>
      </c>
      <c r="F167" s="292">
        <f t="shared" si="33"/>
        <v>1315</v>
      </c>
      <c r="G167" s="292">
        <f t="shared" si="34"/>
        <v>10.958333333333334</v>
      </c>
      <c r="H167" s="239">
        <f>SUM(G156:G167)</f>
        <v>137</v>
      </c>
    </row>
    <row r="168" spans="1:12" ht="15" x14ac:dyDescent="0.2">
      <c r="A168" s="300"/>
      <c r="B168" s="301"/>
      <c r="C168" s="301"/>
      <c r="D168" s="301"/>
      <c r="E168" s="301"/>
      <c r="F168" s="301"/>
      <c r="G168" s="301"/>
      <c r="H168" s="255"/>
    </row>
    <row r="169" spans="1:12" ht="15" x14ac:dyDescent="0.2">
      <c r="A169" s="290" t="s">
        <v>389</v>
      </c>
      <c r="B169" s="289" t="s">
        <v>384</v>
      </c>
      <c r="C169" s="289" t="s">
        <v>385</v>
      </c>
      <c r="D169" s="289" t="s">
        <v>11</v>
      </c>
      <c r="E169" s="289" t="s">
        <v>386</v>
      </c>
      <c r="F169" s="289" t="s">
        <v>387</v>
      </c>
      <c r="G169" s="289" t="s">
        <v>223</v>
      </c>
      <c r="H169" s="289" t="s">
        <v>11</v>
      </c>
      <c r="J169">
        <v>12</v>
      </c>
      <c r="K169">
        <v>200</v>
      </c>
      <c r="L169">
        <f>+K169/J169</f>
        <v>16.666666666666668</v>
      </c>
    </row>
    <row r="170" spans="1:12" ht="15" x14ac:dyDescent="0.2">
      <c r="A170" s="291">
        <v>49400</v>
      </c>
      <c r="B170" s="292">
        <f>F167</f>
        <v>1315</v>
      </c>
      <c r="C170" s="292">
        <v>0</v>
      </c>
      <c r="D170" s="292">
        <f t="shared" ref="D170:D181" si="36">B170+C170</f>
        <v>1315</v>
      </c>
      <c r="E170" s="292">
        <v>16.666599999999999</v>
      </c>
      <c r="F170" s="292">
        <f t="shared" ref="F170:F180" si="37">D170-E170</f>
        <v>1298.3334</v>
      </c>
      <c r="G170" s="292">
        <f t="shared" ref="G170:G181" si="38">F170*$D$20/12</f>
        <v>10.819445</v>
      </c>
      <c r="H170" s="454"/>
    </row>
    <row r="171" spans="1:12" ht="15" x14ac:dyDescent="0.2">
      <c r="A171" s="291">
        <v>49430</v>
      </c>
      <c r="B171" s="292">
        <f>F170</f>
        <v>1298.3334</v>
      </c>
      <c r="C171" s="292">
        <v>0</v>
      </c>
      <c r="D171" s="292">
        <f t="shared" si="36"/>
        <v>1298.3334</v>
      </c>
      <c r="E171" s="292">
        <v>16.666599999999999</v>
      </c>
      <c r="F171" s="292">
        <f t="shared" si="37"/>
        <v>1281.6668</v>
      </c>
      <c r="G171" s="292">
        <f t="shared" si="38"/>
        <v>10.680556666666668</v>
      </c>
      <c r="H171" s="455"/>
    </row>
    <row r="172" spans="1:12" ht="15" x14ac:dyDescent="0.2">
      <c r="A172" s="291">
        <v>49461</v>
      </c>
      <c r="B172" s="292">
        <f t="shared" ref="B172:B181" si="39">F171</f>
        <v>1281.6668</v>
      </c>
      <c r="C172" s="292">
        <v>0</v>
      </c>
      <c r="D172" s="292">
        <f t="shared" si="36"/>
        <v>1281.6668</v>
      </c>
      <c r="E172" s="292">
        <v>16.666599999999999</v>
      </c>
      <c r="F172" s="292">
        <f t="shared" si="37"/>
        <v>1265.0001999999999</v>
      </c>
      <c r="G172" s="292">
        <f t="shared" si="38"/>
        <v>10.541668333333334</v>
      </c>
      <c r="H172" s="455"/>
    </row>
    <row r="173" spans="1:12" ht="15" x14ac:dyDescent="0.2">
      <c r="A173" s="291">
        <v>49491</v>
      </c>
      <c r="B173" s="292">
        <f t="shared" si="39"/>
        <v>1265.0001999999999</v>
      </c>
      <c r="C173" s="292">
        <v>0</v>
      </c>
      <c r="D173" s="292">
        <f t="shared" si="36"/>
        <v>1265.0001999999999</v>
      </c>
      <c r="E173" s="292">
        <v>16.666599999999999</v>
      </c>
      <c r="F173" s="292">
        <f t="shared" si="37"/>
        <v>1248.3335999999999</v>
      </c>
      <c r="G173" s="292">
        <f t="shared" si="38"/>
        <v>10.40278</v>
      </c>
      <c r="H173" s="455"/>
    </row>
    <row r="174" spans="1:12" ht="15" x14ac:dyDescent="0.2">
      <c r="A174" s="291">
        <v>49522</v>
      </c>
      <c r="B174" s="292">
        <f t="shared" si="39"/>
        <v>1248.3335999999999</v>
      </c>
      <c r="C174" s="292">
        <v>0</v>
      </c>
      <c r="D174" s="292">
        <f t="shared" si="36"/>
        <v>1248.3335999999999</v>
      </c>
      <c r="E174" s="292">
        <v>16.666599999999999</v>
      </c>
      <c r="F174" s="292">
        <f t="shared" si="37"/>
        <v>1231.6669999999999</v>
      </c>
      <c r="G174" s="292">
        <f t="shared" si="38"/>
        <v>10.263891666666666</v>
      </c>
      <c r="H174" s="455"/>
    </row>
    <row r="175" spans="1:12" ht="15" x14ac:dyDescent="0.2">
      <c r="A175" s="291">
        <v>49553</v>
      </c>
      <c r="B175" s="292">
        <f t="shared" si="39"/>
        <v>1231.6669999999999</v>
      </c>
      <c r="C175" s="292">
        <v>0</v>
      </c>
      <c r="D175" s="292">
        <f t="shared" si="36"/>
        <v>1231.6669999999999</v>
      </c>
      <c r="E175" s="292">
        <v>16.666599999999999</v>
      </c>
      <c r="F175" s="292">
        <f t="shared" si="37"/>
        <v>1215.0003999999999</v>
      </c>
      <c r="G175" s="292">
        <f t="shared" si="38"/>
        <v>10.125003333333334</v>
      </c>
      <c r="H175" s="455"/>
    </row>
    <row r="176" spans="1:12" ht="15" x14ac:dyDescent="0.2">
      <c r="A176" s="291">
        <v>49583</v>
      </c>
      <c r="B176" s="292">
        <f t="shared" si="39"/>
        <v>1215.0003999999999</v>
      </c>
      <c r="C176" s="292">
        <v>0</v>
      </c>
      <c r="D176" s="292">
        <f t="shared" si="36"/>
        <v>1215.0003999999999</v>
      </c>
      <c r="E176" s="292">
        <v>16.666599999999999</v>
      </c>
      <c r="F176" s="292">
        <f t="shared" si="37"/>
        <v>1198.3337999999999</v>
      </c>
      <c r="G176" s="292">
        <f t="shared" si="38"/>
        <v>9.9861149999999999</v>
      </c>
      <c r="H176" s="455"/>
    </row>
    <row r="177" spans="1:12" ht="15" x14ac:dyDescent="0.2">
      <c r="A177" s="291">
        <v>49614</v>
      </c>
      <c r="B177" s="292">
        <f t="shared" si="39"/>
        <v>1198.3337999999999</v>
      </c>
      <c r="C177" s="292">
        <v>0</v>
      </c>
      <c r="D177" s="292">
        <f t="shared" si="36"/>
        <v>1198.3337999999999</v>
      </c>
      <c r="E177" s="292">
        <v>16.666599999999999</v>
      </c>
      <c r="F177" s="292">
        <f t="shared" si="37"/>
        <v>1181.6671999999999</v>
      </c>
      <c r="G177" s="292">
        <f t="shared" si="38"/>
        <v>9.8472266666666659</v>
      </c>
      <c r="H177" s="455"/>
    </row>
    <row r="178" spans="1:12" ht="15" x14ac:dyDescent="0.2">
      <c r="A178" s="291">
        <v>49644</v>
      </c>
      <c r="B178" s="292">
        <f t="shared" si="39"/>
        <v>1181.6671999999999</v>
      </c>
      <c r="C178" s="292">
        <v>0</v>
      </c>
      <c r="D178" s="292">
        <f t="shared" si="36"/>
        <v>1181.6671999999999</v>
      </c>
      <c r="E178" s="292">
        <v>16.666599999999999</v>
      </c>
      <c r="F178" s="292">
        <f t="shared" si="37"/>
        <v>1165.0005999999998</v>
      </c>
      <c r="G178" s="292">
        <f t="shared" si="38"/>
        <v>9.708338333333332</v>
      </c>
      <c r="H178" s="455"/>
    </row>
    <row r="179" spans="1:12" ht="15" x14ac:dyDescent="0.2">
      <c r="A179" s="291">
        <v>49675</v>
      </c>
      <c r="B179" s="292">
        <f t="shared" si="39"/>
        <v>1165.0005999999998</v>
      </c>
      <c r="C179" s="292">
        <v>0</v>
      </c>
      <c r="D179" s="292">
        <f t="shared" si="36"/>
        <v>1165.0005999999998</v>
      </c>
      <c r="E179" s="292">
        <v>16.666599999999999</v>
      </c>
      <c r="F179" s="292">
        <f t="shared" si="37"/>
        <v>1148.3339999999998</v>
      </c>
      <c r="G179" s="292">
        <f t="shared" si="38"/>
        <v>9.569449999999998</v>
      </c>
      <c r="H179" s="455"/>
    </row>
    <row r="180" spans="1:12" ht="15" x14ac:dyDescent="0.2">
      <c r="A180" s="291">
        <v>49706</v>
      </c>
      <c r="B180" s="292">
        <f t="shared" si="39"/>
        <v>1148.3339999999998</v>
      </c>
      <c r="C180" s="292">
        <v>0</v>
      </c>
      <c r="D180" s="292">
        <f t="shared" si="36"/>
        <v>1148.3339999999998</v>
      </c>
      <c r="E180" s="292">
        <v>16.666599999999999</v>
      </c>
      <c r="F180" s="292">
        <f t="shared" si="37"/>
        <v>1131.6673999999998</v>
      </c>
      <c r="G180" s="292">
        <f t="shared" si="38"/>
        <v>9.4305616666666658</v>
      </c>
      <c r="H180" s="456"/>
    </row>
    <row r="181" spans="1:12" ht="15" x14ac:dyDescent="0.2">
      <c r="A181" s="291">
        <v>49735</v>
      </c>
      <c r="B181" s="292">
        <f t="shared" si="39"/>
        <v>1131.6673999999998</v>
      </c>
      <c r="C181" s="292">
        <v>0</v>
      </c>
      <c r="D181" s="292">
        <f t="shared" si="36"/>
        <v>1131.6673999999998</v>
      </c>
      <c r="E181" s="292">
        <v>16.666599999999999</v>
      </c>
      <c r="F181" s="292">
        <f>D181-E181</f>
        <v>1115.0007999999998</v>
      </c>
      <c r="G181" s="292">
        <f t="shared" si="38"/>
        <v>9.2916733333333319</v>
      </c>
      <c r="H181" s="239">
        <f>SUM(G170:G181)</f>
        <v>120.66671000000001</v>
      </c>
    </row>
    <row r="182" spans="1:12" ht="15" x14ac:dyDescent="0.2">
      <c r="A182" s="300"/>
      <c r="B182" s="301"/>
      <c r="C182" s="301"/>
      <c r="D182" s="301"/>
      <c r="E182" s="301"/>
      <c r="F182" s="301"/>
      <c r="G182" s="301"/>
      <c r="H182" s="255"/>
    </row>
    <row r="183" spans="1:12" ht="15" x14ac:dyDescent="0.2">
      <c r="A183" s="290" t="s">
        <v>390</v>
      </c>
      <c r="B183" s="289" t="s">
        <v>384</v>
      </c>
      <c r="C183" s="289" t="s">
        <v>385</v>
      </c>
      <c r="D183" s="289" t="s">
        <v>11</v>
      </c>
      <c r="E183" s="289" t="s">
        <v>386</v>
      </c>
      <c r="F183" s="289" t="s">
        <v>387</v>
      </c>
      <c r="G183" s="289" t="s">
        <v>223</v>
      </c>
      <c r="H183" s="289" t="s">
        <v>11</v>
      </c>
      <c r="J183">
        <v>12</v>
      </c>
      <c r="K183">
        <v>250</v>
      </c>
      <c r="L183">
        <f>+K183/J183</f>
        <v>20.833333333333332</v>
      </c>
    </row>
    <row r="184" spans="1:12" ht="15" x14ac:dyDescent="0.2">
      <c r="A184" s="291">
        <v>49766</v>
      </c>
      <c r="B184" s="292">
        <f>F181</f>
        <v>1115.0007999999998</v>
      </c>
      <c r="C184" s="292">
        <v>0</v>
      </c>
      <c r="D184" s="292">
        <f t="shared" ref="D184:D195" si="40">B184+C184</f>
        <v>1115.0007999999998</v>
      </c>
      <c r="E184" s="292">
        <v>20.833333333333332</v>
      </c>
      <c r="F184" s="292">
        <f>D184-E184</f>
        <v>1094.1674666666665</v>
      </c>
      <c r="G184" s="292">
        <f t="shared" ref="G184:G195" si="41">F184*$D$20/12</f>
        <v>9.1180622222222212</v>
      </c>
      <c r="H184" s="454"/>
    </row>
    <row r="185" spans="1:12" ht="15" x14ac:dyDescent="0.2">
      <c r="A185" s="291">
        <v>49796</v>
      </c>
      <c r="B185" s="292">
        <f>F184</f>
        <v>1094.1674666666665</v>
      </c>
      <c r="C185" s="292">
        <v>0</v>
      </c>
      <c r="D185" s="292">
        <f t="shared" si="40"/>
        <v>1094.1674666666665</v>
      </c>
      <c r="E185" s="292">
        <v>20.833333333333332</v>
      </c>
      <c r="F185" s="292">
        <f t="shared" ref="F185:F195" si="42">D185-E185</f>
        <v>1073.3341333333333</v>
      </c>
      <c r="G185" s="292">
        <f t="shared" si="41"/>
        <v>8.9444511111111122</v>
      </c>
      <c r="H185" s="455"/>
    </row>
    <row r="186" spans="1:12" ht="15" x14ac:dyDescent="0.2">
      <c r="A186" s="291">
        <v>49827</v>
      </c>
      <c r="B186" s="292">
        <f t="shared" ref="B186:B195" si="43">F185</f>
        <v>1073.3341333333333</v>
      </c>
      <c r="C186" s="292">
        <v>0</v>
      </c>
      <c r="D186" s="292">
        <f t="shared" si="40"/>
        <v>1073.3341333333333</v>
      </c>
      <c r="E186" s="292">
        <v>20.833333333333332</v>
      </c>
      <c r="F186" s="292">
        <f t="shared" si="42"/>
        <v>1052.5008</v>
      </c>
      <c r="G186" s="292">
        <f t="shared" si="41"/>
        <v>8.7708400000000015</v>
      </c>
      <c r="H186" s="455"/>
    </row>
    <row r="187" spans="1:12" ht="15" x14ac:dyDescent="0.2">
      <c r="A187" s="291">
        <v>49857</v>
      </c>
      <c r="B187" s="292">
        <f t="shared" si="43"/>
        <v>1052.5008</v>
      </c>
      <c r="C187" s="292">
        <v>0</v>
      </c>
      <c r="D187" s="292">
        <f t="shared" si="40"/>
        <v>1052.5008</v>
      </c>
      <c r="E187" s="292">
        <v>20.833333333333332</v>
      </c>
      <c r="F187" s="292">
        <f t="shared" si="42"/>
        <v>1031.6674666666668</v>
      </c>
      <c r="G187" s="292">
        <f t="shared" si="41"/>
        <v>8.5972288888888908</v>
      </c>
      <c r="H187" s="455"/>
    </row>
    <row r="188" spans="1:12" ht="15" x14ac:dyDescent="0.2">
      <c r="A188" s="291">
        <v>49888</v>
      </c>
      <c r="B188" s="292">
        <f t="shared" si="43"/>
        <v>1031.6674666666668</v>
      </c>
      <c r="C188" s="292">
        <v>0</v>
      </c>
      <c r="D188" s="292">
        <f t="shared" si="40"/>
        <v>1031.6674666666668</v>
      </c>
      <c r="E188" s="292">
        <v>20.833333333333332</v>
      </c>
      <c r="F188" s="292">
        <f t="shared" si="42"/>
        <v>1010.8341333333334</v>
      </c>
      <c r="G188" s="292">
        <f t="shared" si="41"/>
        <v>8.4236177777777783</v>
      </c>
      <c r="H188" s="455"/>
    </row>
    <row r="189" spans="1:12" ht="15" x14ac:dyDescent="0.2">
      <c r="A189" s="291">
        <v>49919</v>
      </c>
      <c r="B189" s="292">
        <f t="shared" si="43"/>
        <v>1010.8341333333334</v>
      </c>
      <c r="C189" s="292">
        <v>0</v>
      </c>
      <c r="D189" s="292">
        <f t="shared" si="40"/>
        <v>1010.8341333333334</v>
      </c>
      <c r="E189" s="292">
        <v>20.833333333333332</v>
      </c>
      <c r="F189" s="292">
        <f t="shared" si="42"/>
        <v>990.00080000000003</v>
      </c>
      <c r="G189" s="292">
        <f t="shared" si="41"/>
        <v>8.2500066666666676</v>
      </c>
      <c r="H189" s="455"/>
    </row>
    <row r="190" spans="1:12" ht="15" x14ac:dyDescent="0.2">
      <c r="A190" s="291">
        <v>49949</v>
      </c>
      <c r="B190" s="292">
        <f t="shared" si="43"/>
        <v>990.00080000000003</v>
      </c>
      <c r="C190" s="292">
        <v>0</v>
      </c>
      <c r="D190" s="292">
        <f t="shared" si="40"/>
        <v>990.00080000000003</v>
      </c>
      <c r="E190" s="292">
        <v>20.833333333333332</v>
      </c>
      <c r="F190" s="292">
        <f t="shared" si="42"/>
        <v>969.16746666666666</v>
      </c>
      <c r="G190" s="292">
        <f t="shared" si="41"/>
        <v>8.0763955555555551</v>
      </c>
      <c r="H190" s="455"/>
    </row>
    <row r="191" spans="1:12" ht="15" x14ac:dyDescent="0.2">
      <c r="A191" s="291">
        <v>49980</v>
      </c>
      <c r="B191" s="292">
        <f t="shared" si="43"/>
        <v>969.16746666666666</v>
      </c>
      <c r="C191" s="292">
        <v>0</v>
      </c>
      <c r="D191" s="292">
        <f t="shared" si="40"/>
        <v>969.16746666666666</v>
      </c>
      <c r="E191" s="292">
        <v>20.833333333333332</v>
      </c>
      <c r="F191" s="292">
        <f t="shared" si="42"/>
        <v>948.33413333333328</v>
      </c>
      <c r="G191" s="292">
        <f t="shared" si="41"/>
        <v>7.9027844444444453</v>
      </c>
      <c r="H191" s="455"/>
    </row>
    <row r="192" spans="1:12" ht="15" x14ac:dyDescent="0.2">
      <c r="A192" s="291">
        <v>50010</v>
      </c>
      <c r="B192" s="292">
        <f t="shared" si="43"/>
        <v>948.33413333333328</v>
      </c>
      <c r="C192" s="292">
        <v>0</v>
      </c>
      <c r="D192" s="292">
        <f t="shared" si="40"/>
        <v>948.33413333333328</v>
      </c>
      <c r="E192" s="292">
        <v>20.833333333333332</v>
      </c>
      <c r="F192" s="292">
        <f t="shared" si="42"/>
        <v>927.50079999999991</v>
      </c>
      <c r="G192" s="292">
        <f t="shared" si="41"/>
        <v>7.7291733333333328</v>
      </c>
      <c r="H192" s="455"/>
    </row>
    <row r="193" spans="1:12" ht="15" x14ac:dyDescent="0.2">
      <c r="A193" s="291">
        <v>50041</v>
      </c>
      <c r="B193" s="292">
        <f t="shared" si="43"/>
        <v>927.50079999999991</v>
      </c>
      <c r="C193" s="292">
        <v>0</v>
      </c>
      <c r="D193" s="292">
        <f t="shared" si="40"/>
        <v>927.50079999999991</v>
      </c>
      <c r="E193" s="292">
        <v>20.833333333333332</v>
      </c>
      <c r="F193" s="292">
        <f t="shared" si="42"/>
        <v>906.66746666666654</v>
      </c>
      <c r="G193" s="292">
        <f t="shared" si="41"/>
        <v>7.5555622222222212</v>
      </c>
      <c r="H193" s="455"/>
    </row>
    <row r="194" spans="1:12" ht="15" x14ac:dyDescent="0.2">
      <c r="A194" s="291">
        <v>50072</v>
      </c>
      <c r="B194" s="292">
        <f t="shared" si="43"/>
        <v>906.66746666666654</v>
      </c>
      <c r="C194" s="292">
        <v>0</v>
      </c>
      <c r="D194" s="292">
        <f t="shared" si="40"/>
        <v>906.66746666666654</v>
      </c>
      <c r="E194" s="292">
        <v>20.833333333333332</v>
      </c>
      <c r="F194" s="292">
        <f t="shared" si="42"/>
        <v>885.83413333333317</v>
      </c>
      <c r="G194" s="292">
        <f t="shared" si="41"/>
        <v>7.3819511111111105</v>
      </c>
      <c r="H194" s="456"/>
    </row>
    <row r="195" spans="1:12" ht="15" x14ac:dyDescent="0.2">
      <c r="A195" s="291">
        <v>50100</v>
      </c>
      <c r="B195" s="292">
        <f t="shared" si="43"/>
        <v>885.83413333333317</v>
      </c>
      <c r="C195" s="292">
        <v>0</v>
      </c>
      <c r="D195" s="292">
        <f t="shared" si="40"/>
        <v>885.83413333333317</v>
      </c>
      <c r="E195" s="292">
        <v>20.833333333333332</v>
      </c>
      <c r="F195" s="292">
        <f t="shared" si="42"/>
        <v>865.0007999999998</v>
      </c>
      <c r="G195" s="292">
        <f t="shared" si="41"/>
        <v>7.2083399999999989</v>
      </c>
      <c r="H195" s="239">
        <f>SUM(G184:G195)</f>
        <v>97.958413333333326</v>
      </c>
    </row>
    <row r="196" spans="1:12" ht="15" x14ac:dyDescent="0.2">
      <c r="A196" s="300"/>
      <c r="B196" s="301"/>
      <c r="C196" s="301"/>
      <c r="D196" s="301"/>
      <c r="E196" s="301"/>
      <c r="F196" s="301"/>
      <c r="G196" s="301"/>
      <c r="H196" s="255"/>
    </row>
    <row r="197" spans="1:12" ht="15" x14ac:dyDescent="0.2">
      <c r="A197" s="290" t="s">
        <v>391</v>
      </c>
      <c r="B197" s="289" t="s">
        <v>384</v>
      </c>
      <c r="C197" s="289" t="s">
        <v>385</v>
      </c>
      <c r="D197" s="289" t="s">
        <v>11</v>
      </c>
      <c r="E197" s="289" t="s">
        <v>386</v>
      </c>
      <c r="F197" s="289" t="s">
        <v>387</v>
      </c>
      <c r="G197" s="289" t="s">
        <v>223</v>
      </c>
      <c r="H197" s="289" t="s">
        <v>11</v>
      </c>
      <c r="J197">
        <v>12</v>
      </c>
      <c r="K197">
        <v>300</v>
      </c>
      <c r="L197">
        <f>+K197/J197</f>
        <v>25</v>
      </c>
    </row>
    <row r="198" spans="1:12" ht="15" x14ac:dyDescent="0.2">
      <c r="A198" s="291">
        <v>50131</v>
      </c>
      <c r="B198" s="292">
        <f>F195</f>
        <v>865.0007999999998</v>
      </c>
      <c r="C198" s="292">
        <v>0</v>
      </c>
      <c r="D198" s="292">
        <f t="shared" ref="D198:D209" si="44">B198+C198</f>
        <v>865.0007999999998</v>
      </c>
      <c r="E198" s="292">
        <v>25</v>
      </c>
      <c r="F198" s="292">
        <f t="shared" ref="F198:F209" si="45">D198-E198</f>
        <v>840.0007999999998</v>
      </c>
      <c r="G198" s="292">
        <f t="shared" ref="G198:G209" si="46">F198*$D$20/12</f>
        <v>7.0000066666666649</v>
      </c>
      <c r="H198" s="454"/>
    </row>
    <row r="199" spans="1:12" ht="15" x14ac:dyDescent="0.2">
      <c r="A199" s="291">
        <v>50161</v>
      </c>
      <c r="B199" s="292">
        <f>F198</f>
        <v>840.0007999999998</v>
      </c>
      <c r="C199" s="292">
        <v>0</v>
      </c>
      <c r="D199" s="292">
        <f t="shared" si="44"/>
        <v>840.0007999999998</v>
      </c>
      <c r="E199" s="292">
        <v>25</v>
      </c>
      <c r="F199" s="292">
        <f t="shared" si="45"/>
        <v>815.0007999999998</v>
      </c>
      <c r="G199" s="292">
        <f t="shared" si="46"/>
        <v>6.7916733333333319</v>
      </c>
      <c r="H199" s="455"/>
    </row>
    <row r="200" spans="1:12" ht="15" x14ac:dyDescent="0.2">
      <c r="A200" s="291">
        <v>50192</v>
      </c>
      <c r="B200" s="292">
        <f t="shared" ref="B200:B209" si="47">F199</f>
        <v>815.0007999999998</v>
      </c>
      <c r="C200" s="292">
        <v>0</v>
      </c>
      <c r="D200" s="292">
        <f t="shared" si="44"/>
        <v>815.0007999999998</v>
      </c>
      <c r="E200" s="292">
        <v>25</v>
      </c>
      <c r="F200" s="292">
        <f t="shared" si="45"/>
        <v>790.0007999999998</v>
      </c>
      <c r="G200" s="292">
        <f t="shared" si="46"/>
        <v>6.5833399999999989</v>
      </c>
      <c r="H200" s="455"/>
    </row>
    <row r="201" spans="1:12" ht="15" x14ac:dyDescent="0.2">
      <c r="A201" s="291">
        <v>50222</v>
      </c>
      <c r="B201" s="292">
        <f t="shared" si="47"/>
        <v>790.0007999999998</v>
      </c>
      <c r="C201" s="292">
        <v>0</v>
      </c>
      <c r="D201" s="292">
        <f t="shared" si="44"/>
        <v>790.0007999999998</v>
      </c>
      <c r="E201" s="292">
        <v>25</v>
      </c>
      <c r="F201" s="292">
        <f t="shared" si="45"/>
        <v>765.0007999999998</v>
      </c>
      <c r="G201" s="292">
        <f t="shared" si="46"/>
        <v>6.3750066666666649</v>
      </c>
      <c r="H201" s="455"/>
    </row>
    <row r="202" spans="1:12" ht="15" x14ac:dyDescent="0.2">
      <c r="A202" s="291">
        <v>50253</v>
      </c>
      <c r="B202" s="292">
        <f t="shared" si="47"/>
        <v>765.0007999999998</v>
      </c>
      <c r="C202" s="292">
        <v>0</v>
      </c>
      <c r="D202" s="292">
        <f t="shared" si="44"/>
        <v>765.0007999999998</v>
      </c>
      <c r="E202" s="292">
        <v>25</v>
      </c>
      <c r="F202" s="292">
        <f t="shared" si="45"/>
        <v>740.0007999999998</v>
      </c>
      <c r="G202" s="292">
        <f t="shared" si="46"/>
        <v>6.1666733333333319</v>
      </c>
      <c r="H202" s="455"/>
    </row>
    <row r="203" spans="1:12" ht="15" x14ac:dyDescent="0.2">
      <c r="A203" s="291">
        <v>50284</v>
      </c>
      <c r="B203" s="292">
        <f t="shared" si="47"/>
        <v>740.0007999999998</v>
      </c>
      <c r="C203" s="292">
        <v>0</v>
      </c>
      <c r="D203" s="292">
        <f t="shared" si="44"/>
        <v>740.0007999999998</v>
      </c>
      <c r="E203" s="292">
        <v>25</v>
      </c>
      <c r="F203" s="292">
        <f t="shared" si="45"/>
        <v>715.0007999999998</v>
      </c>
      <c r="G203" s="292">
        <f t="shared" si="46"/>
        <v>5.9583399999999989</v>
      </c>
      <c r="H203" s="455"/>
    </row>
    <row r="204" spans="1:12" ht="15" x14ac:dyDescent="0.2">
      <c r="A204" s="291">
        <v>50314</v>
      </c>
      <c r="B204" s="292">
        <f t="shared" si="47"/>
        <v>715.0007999999998</v>
      </c>
      <c r="C204" s="292">
        <v>0</v>
      </c>
      <c r="D204" s="292">
        <f t="shared" si="44"/>
        <v>715.0007999999998</v>
      </c>
      <c r="E204" s="292">
        <v>25</v>
      </c>
      <c r="F204" s="292">
        <f t="shared" si="45"/>
        <v>690.0007999999998</v>
      </c>
      <c r="G204" s="292">
        <f t="shared" si="46"/>
        <v>5.7500066666666649</v>
      </c>
      <c r="H204" s="455"/>
    </row>
    <row r="205" spans="1:12" ht="15" x14ac:dyDescent="0.2">
      <c r="A205" s="291">
        <v>50345</v>
      </c>
      <c r="B205" s="292">
        <f t="shared" si="47"/>
        <v>690.0007999999998</v>
      </c>
      <c r="C205" s="292">
        <v>0</v>
      </c>
      <c r="D205" s="292">
        <f t="shared" si="44"/>
        <v>690.0007999999998</v>
      </c>
      <c r="E205" s="292">
        <v>25</v>
      </c>
      <c r="F205" s="292">
        <f t="shared" si="45"/>
        <v>665.0007999999998</v>
      </c>
      <c r="G205" s="292">
        <f t="shared" si="46"/>
        <v>5.5416733333333319</v>
      </c>
      <c r="H205" s="455"/>
    </row>
    <row r="206" spans="1:12" ht="15" x14ac:dyDescent="0.2">
      <c r="A206" s="291">
        <v>50375</v>
      </c>
      <c r="B206" s="292">
        <f t="shared" si="47"/>
        <v>665.0007999999998</v>
      </c>
      <c r="C206" s="292">
        <v>0</v>
      </c>
      <c r="D206" s="292">
        <f t="shared" si="44"/>
        <v>665.0007999999998</v>
      </c>
      <c r="E206" s="292">
        <v>25</v>
      </c>
      <c r="F206" s="292">
        <f t="shared" si="45"/>
        <v>640.0007999999998</v>
      </c>
      <c r="G206" s="292">
        <f t="shared" si="46"/>
        <v>5.3333399999999989</v>
      </c>
      <c r="H206" s="455"/>
    </row>
    <row r="207" spans="1:12" ht="15" x14ac:dyDescent="0.2">
      <c r="A207" s="291">
        <v>50406</v>
      </c>
      <c r="B207" s="292">
        <f t="shared" si="47"/>
        <v>640.0007999999998</v>
      </c>
      <c r="C207" s="292">
        <v>0</v>
      </c>
      <c r="D207" s="292">
        <f t="shared" si="44"/>
        <v>640.0007999999998</v>
      </c>
      <c r="E207" s="292">
        <v>25</v>
      </c>
      <c r="F207" s="292">
        <f t="shared" si="45"/>
        <v>615.0007999999998</v>
      </c>
      <c r="G207" s="292">
        <f t="shared" si="46"/>
        <v>5.1250066666666649</v>
      </c>
      <c r="H207" s="455"/>
    </row>
    <row r="208" spans="1:12" ht="15" x14ac:dyDescent="0.2">
      <c r="A208" s="291">
        <v>50437</v>
      </c>
      <c r="B208" s="292">
        <f t="shared" si="47"/>
        <v>615.0007999999998</v>
      </c>
      <c r="C208" s="292">
        <v>0</v>
      </c>
      <c r="D208" s="292">
        <f t="shared" si="44"/>
        <v>615.0007999999998</v>
      </c>
      <c r="E208" s="292">
        <v>25</v>
      </c>
      <c r="F208" s="292">
        <f t="shared" si="45"/>
        <v>590.0007999999998</v>
      </c>
      <c r="G208" s="292">
        <f t="shared" si="46"/>
        <v>4.9166733333333319</v>
      </c>
      <c r="H208" s="456"/>
    </row>
    <row r="209" spans="1:12" ht="15" x14ac:dyDescent="0.2">
      <c r="A209" s="291">
        <v>50465</v>
      </c>
      <c r="B209" s="292">
        <f t="shared" si="47"/>
        <v>590.0007999999998</v>
      </c>
      <c r="C209" s="292">
        <v>0</v>
      </c>
      <c r="D209" s="292">
        <f t="shared" si="44"/>
        <v>590.0007999999998</v>
      </c>
      <c r="E209" s="292">
        <v>25</v>
      </c>
      <c r="F209" s="292">
        <f t="shared" si="45"/>
        <v>565.0007999999998</v>
      </c>
      <c r="G209" s="292">
        <f t="shared" si="46"/>
        <v>4.7083399999999989</v>
      </c>
      <c r="H209" s="239">
        <f>SUM(G198:G209)</f>
        <v>70.250079999999969</v>
      </c>
    </row>
    <row r="210" spans="1:12" ht="15" x14ac:dyDescent="0.2">
      <c r="A210" s="300"/>
      <c r="B210" s="301"/>
      <c r="C210" s="301"/>
      <c r="D210" s="301"/>
      <c r="E210" s="301"/>
      <c r="F210" s="301"/>
      <c r="G210" s="301"/>
      <c r="H210" s="255"/>
    </row>
    <row r="211" spans="1:12" ht="15" x14ac:dyDescent="0.2">
      <c r="A211" s="290" t="s">
        <v>392</v>
      </c>
      <c r="B211" s="289" t="s">
        <v>384</v>
      </c>
      <c r="C211" s="289" t="s">
        <v>385</v>
      </c>
      <c r="D211" s="289" t="s">
        <v>11</v>
      </c>
      <c r="E211" s="289" t="s">
        <v>386</v>
      </c>
      <c r="F211" s="289" t="s">
        <v>387</v>
      </c>
      <c r="G211" s="289" t="s">
        <v>223</v>
      </c>
      <c r="H211" s="289" t="s">
        <v>11</v>
      </c>
      <c r="J211">
        <v>12</v>
      </c>
      <c r="K211">
        <v>380</v>
      </c>
      <c r="L211">
        <f>+K211/J211</f>
        <v>31.666666666666668</v>
      </c>
    </row>
    <row r="212" spans="1:12" ht="15" x14ac:dyDescent="0.2">
      <c r="A212" s="291">
        <v>50496</v>
      </c>
      <c r="B212" s="292">
        <f>F209</f>
        <v>565.0007999999998</v>
      </c>
      <c r="C212" s="292">
        <v>0</v>
      </c>
      <c r="D212" s="292">
        <f t="shared" ref="D212:D223" si="48">B212+C212</f>
        <v>565.0007999999998</v>
      </c>
      <c r="E212" s="292">
        <v>31.67</v>
      </c>
      <c r="F212" s="292">
        <f t="shared" ref="F212:F223" si="49">D212-E212</f>
        <v>533.33079999999984</v>
      </c>
      <c r="G212" s="292">
        <f t="shared" ref="G212:G223" si="50">F212*$D$20/12</f>
        <v>4.4444233333333321</v>
      </c>
      <c r="H212" s="454"/>
      <c r="L212">
        <v>31.666666666666668</v>
      </c>
    </row>
    <row r="213" spans="1:12" ht="15" x14ac:dyDescent="0.2">
      <c r="A213" s="291">
        <v>50526</v>
      </c>
      <c r="B213" s="292">
        <f>F212</f>
        <v>533.33079999999984</v>
      </c>
      <c r="C213" s="292">
        <v>0</v>
      </c>
      <c r="D213" s="292">
        <f t="shared" si="48"/>
        <v>533.33079999999984</v>
      </c>
      <c r="E213" s="292">
        <v>31.67</v>
      </c>
      <c r="F213" s="292">
        <f t="shared" si="49"/>
        <v>501.66079999999982</v>
      </c>
      <c r="G213" s="292">
        <f t="shared" si="50"/>
        <v>4.1805066666666653</v>
      </c>
      <c r="H213" s="455"/>
    </row>
    <row r="214" spans="1:12" ht="15" x14ac:dyDescent="0.2">
      <c r="A214" s="291">
        <v>50557</v>
      </c>
      <c r="B214" s="292">
        <f t="shared" ref="B214:B223" si="51">F213</f>
        <v>501.66079999999982</v>
      </c>
      <c r="C214" s="292">
        <v>0</v>
      </c>
      <c r="D214" s="292">
        <f t="shared" si="48"/>
        <v>501.66079999999982</v>
      </c>
      <c r="E214" s="292">
        <v>31.67</v>
      </c>
      <c r="F214" s="292">
        <f t="shared" si="49"/>
        <v>469.99079999999981</v>
      </c>
      <c r="G214" s="292">
        <f t="shared" si="50"/>
        <v>3.9165899999999989</v>
      </c>
      <c r="H214" s="455"/>
    </row>
    <row r="215" spans="1:12" ht="15" x14ac:dyDescent="0.2">
      <c r="A215" s="291">
        <v>50587</v>
      </c>
      <c r="B215" s="292">
        <f t="shared" si="51"/>
        <v>469.99079999999981</v>
      </c>
      <c r="C215" s="292">
        <v>0</v>
      </c>
      <c r="D215" s="292">
        <f t="shared" si="48"/>
        <v>469.99079999999981</v>
      </c>
      <c r="E215" s="292">
        <v>31.67</v>
      </c>
      <c r="F215" s="292">
        <f t="shared" si="49"/>
        <v>438.32079999999979</v>
      </c>
      <c r="G215" s="292">
        <f t="shared" si="50"/>
        <v>3.6526733333333321</v>
      </c>
      <c r="H215" s="455"/>
    </row>
    <row r="216" spans="1:12" ht="15" x14ac:dyDescent="0.2">
      <c r="A216" s="291">
        <v>50618</v>
      </c>
      <c r="B216" s="292">
        <f t="shared" si="51"/>
        <v>438.32079999999979</v>
      </c>
      <c r="C216" s="292">
        <v>0</v>
      </c>
      <c r="D216" s="292">
        <f t="shared" si="48"/>
        <v>438.32079999999979</v>
      </c>
      <c r="E216" s="292">
        <v>31.67</v>
      </c>
      <c r="F216" s="292">
        <f t="shared" si="49"/>
        <v>406.65079999999978</v>
      </c>
      <c r="G216" s="292">
        <f t="shared" si="50"/>
        <v>3.3887566666666653</v>
      </c>
      <c r="H216" s="455"/>
    </row>
    <row r="217" spans="1:12" ht="15" x14ac:dyDescent="0.2">
      <c r="A217" s="291">
        <v>50649</v>
      </c>
      <c r="B217" s="292">
        <f t="shared" si="51"/>
        <v>406.65079999999978</v>
      </c>
      <c r="C217" s="292">
        <v>0</v>
      </c>
      <c r="D217" s="292">
        <f t="shared" si="48"/>
        <v>406.65079999999978</v>
      </c>
      <c r="E217" s="292">
        <v>31.67</v>
      </c>
      <c r="F217" s="292">
        <f t="shared" si="49"/>
        <v>374.98079999999976</v>
      </c>
      <c r="G217" s="292">
        <f t="shared" si="50"/>
        <v>3.1248399999999985</v>
      </c>
      <c r="H217" s="455"/>
    </row>
    <row r="218" spans="1:12" ht="15" x14ac:dyDescent="0.2">
      <c r="A218" s="291">
        <v>50679</v>
      </c>
      <c r="B218" s="292">
        <f t="shared" si="51"/>
        <v>374.98079999999976</v>
      </c>
      <c r="C218" s="292">
        <v>0</v>
      </c>
      <c r="D218" s="292">
        <f t="shared" si="48"/>
        <v>374.98079999999976</v>
      </c>
      <c r="E218" s="292">
        <v>31.67</v>
      </c>
      <c r="F218" s="292">
        <f t="shared" si="49"/>
        <v>343.31079999999974</v>
      </c>
      <c r="G218" s="292">
        <f t="shared" si="50"/>
        <v>2.8609233333333317</v>
      </c>
      <c r="H218" s="455"/>
    </row>
    <row r="219" spans="1:12" ht="15" x14ac:dyDescent="0.2">
      <c r="A219" s="291">
        <v>50710</v>
      </c>
      <c r="B219" s="292">
        <f t="shared" si="51"/>
        <v>343.31079999999974</v>
      </c>
      <c r="C219" s="292">
        <v>0</v>
      </c>
      <c r="D219" s="292">
        <f t="shared" si="48"/>
        <v>343.31079999999974</v>
      </c>
      <c r="E219" s="292">
        <v>31.67</v>
      </c>
      <c r="F219" s="292">
        <f t="shared" si="49"/>
        <v>311.64079999999973</v>
      </c>
      <c r="G219" s="292">
        <f t="shared" si="50"/>
        <v>2.5970066666666645</v>
      </c>
      <c r="H219" s="455"/>
    </row>
    <row r="220" spans="1:12" ht="15" x14ac:dyDescent="0.2">
      <c r="A220" s="291">
        <v>50740</v>
      </c>
      <c r="B220" s="292">
        <f t="shared" si="51"/>
        <v>311.64079999999973</v>
      </c>
      <c r="C220" s="292">
        <v>0</v>
      </c>
      <c r="D220" s="292">
        <f t="shared" si="48"/>
        <v>311.64079999999973</v>
      </c>
      <c r="E220" s="292">
        <v>31.67</v>
      </c>
      <c r="F220" s="292">
        <f t="shared" si="49"/>
        <v>279.97079999999971</v>
      </c>
      <c r="G220" s="292">
        <f t="shared" si="50"/>
        <v>2.3330899999999977</v>
      </c>
      <c r="H220" s="455"/>
    </row>
    <row r="221" spans="1:12" ht="15" x14ac:dyDescent="0.2">
      <c r="A221" s="291">
        <v>50771</v>
      </c>
      <c r="B221" s="292">
        <f t="shared" si="51"/>
        <v>279.97079999999971</v>
      </c>
      <c r="C221" s="292">
        <v>0</v>
      </c>
      <c r="D221" s="292">
        <f t="shared" si="48"/>
        <v>279.97079999999971</v>
      </c>
      <c r="E221" s="292">
        <v>31.67</v>
      </c>
      <c r="F221" s="292">
        <f t="shared" si="49"/>
        <v>248.3007999999997</v>
      </c>
      <c r="G221" s="292">
        <f t="shared" si="50"/>
        <v>2.0691733333333309</v>
      </c>
      <c r="H221" s="455"/>
    </row>
    <row r="222" spans="1:12" ht="15" x14ac:dyDescent="0.2">
      <c r="A222" s="291">
        <v>50802</v>
      </c>
      <c r="B222" s="292">
        <f t="shared" si="51"/>
        <v>248.3007999999997</v>
      </c>
      <c r="C222" s="292">
        <v>0</v>
      </c>
      <c r="D222" s="292">
        <f t="shared" si="48"/>
        <v>248.3007999999997</v>
      </c>
      <c r="E222" s="292">
        <v>31.67</v>
      </c>
      <c r="F222" s="292">
        <f t="shared" si="49"/>
        <v>216.63079999999968</v>
      </c>
      <c r="G222" s="292">
        <f t="shared" si="50"/>
        <v>1.8052566666666641</v>
      </c>
      <c r="H222" s="456"/>
    </row>
    <row r="223" spans="1:12" ht="15" x14ac:dyDescent="0.2">
      <c r="A223" s="291">
        <v>50830</v>
      </c>
      <c r="B223" s="292">
        <f t="shared" si="51"/>
        <v>216.63079999999968</v>
      </c>
      <c r="C223" s="292">
        <v>0</v>
      </c>
      <c r="D223" s="292">
        <f t="shared" si="48"/>
        <v>216.63079999999968</v>
      </c>
      <c r="E223" s="292">
        <v>31.67</v>
      </c>
      <c r="F223" s="292">
        <f t="shared" si="49"/>
        <v>184.96079999999967</v>
      </c>
      <c r="G223" s="292">
        <f t="shared" si="50"/>
        <v>1.5413399999999973</v>
      </c>
      <c r="H223" s="239">
        <f>SUM(G212:G223)</f>
        <v>35.91457999999998</v>
      </c>
    </row>
    <row r="224" spans="1:12" ht="15" x14ac:dyDescent="0.2">
      <c r="A224" s="300"/>
      <c r="B224" s="301"/>
      <c r="C224" s="301"/>
      <c r="D224" s="301"/>
      <c r="E224" s="301">
        <f>SUM(E212:E223)-0.04</f>
        <v>380.00000000000011</v>
      </c>
      <c r="F224" s="301"/>
      <c r="G224" s="301"/>
      <c r="H224" s="255"/>
    </row>
    <row r="225" spans="1:17" ht="15" x14ac:dyDescent="0.2">
      <c r="A225" s="290" t="s">
        <v>393</v>
      </c>
      <c r="B225" s="289" t="s">
        <v>384</v>
      </c>
      <c r="C225" s="289" t="s">
        <v>385</v>
      </c>
      <c r="D225" s="289" t="s">
        <v>11</v>
      </c>
      <c r="E225" s="289" t="s">
        <v>386</v>
      </c>
      <c r="F225" s="289" t="s">
        <v>387</v>
      </c>
      <c r="G225" s="289" t="s">
        <v>223</v>
      </c>
      <c r="H225" s="289" t="s">
        <v>11</v>
      </c>
    </row>
    <row r="226" spans="1:17" ht="15" x14ac:dyDescent="0.2">
      <c r="A226" s="291">
        <v>50861</v>
      </c>
      <c r="B226" s="292">
        <f>F223</f>
        <v>184.96079999999967</v>
      </c>
      <c r="C226" s="292">
        <v>0</v>
      </c>
      <c r="D226" s="292">
        <f t="shared" ref="D226:D232" si="52">B226+C226</f>
        <v>184.96079999999967</v>
      </c>
      <c r="E226" s="292">
        <v>26.43</v>
      </c>
      <c r="F226" s="292">
        <f t="shared" ref="F226:F232" si="53">D226-E226</f>
        <v>158.53079999999966</v>
      </c>
      <c r="G226" s="292">
        <f t="shared" ref="G226:G232" si="54">F226*$D$20/12</f>
        <v>1.3210899999999972</v>
      </c>
      <c r="H226" s="454"/>
      <c r="K226">
        <v>185</v>
      </c>
      <c r="L226">
        <f>+K226/7</f>
        <v>26.428571428571427</v>
      </c>
    </row>
    <row r="227" spans="1:17" ht="15" x14ac:dyDescent="0.2">
      <c r="A227" s="291">
        <v>50891</v>
      </c>
      <c r="B227" s="292">
        <f>F226</f>
        <v>158.53079999999966</v>
      </c>
      <c r="C227" s="292">
        <v>0</v>
      </c>
      <c r="D227" s="292">
        <f t="shared" si="52"/>
        <v>158.53079999999966</v>
      </c>
      <c r="E227" s="292">
        <v>26.43</v>
      </c>
      <c r="F227" s="292">
        <f t="shared" si="53"/>
        <v>132.10079999999965</v>
      </c>
      <c r="G227" s="292">
        <f t="shared" si="54"/>
        <v>1.1008399999999972</v>
      </c>
      <c r="H227" s="455"/>
    </row>
    <row r="228" spans="1:17" ht="15" x14ac:dyDescent="0.2">
      <c r="A228" s="291">
        <v>50922</v>
      </c>
      <c r="B228" s="292">
        <f t="shared" ref="B228:B232" si="55">F227</f>
        <v>132.10079999999965</v>
      </c>
      <c r="C228" s="292">
        <v>0</v>
      </c>
      <c r="D228" s="292">
        <f t="shared" si="52"/>
        <v>132.10079999999965</v>
      </c>
      <c r="E228" s="292">
        <v>26.43</v>
      </c>
      <c r="F228" s="292">
        <f t="shared" si="53"/>
        <v>105.67079999999964</v>
      </c>
      <c r="G228" s="292">
        <f t="shared" si="54"/>
        <v>0.8805899999999971</v>
      </c>
      <c r="H228" s="455"/>
    </row>
    <row r="229" spans="1:17" ht="15" x14ac:dyDescent="0.2">
      <c r="A229" s="291">
        <v>50952</v>
      </c>
      <c r="B229" s="292">
        <f t="shared" si="55"/>
        <v>105.67079999999964</v>
      </c>
      <c r="C229" s="292">
        <v>0</v>
      </c>
      <c r="D229" s="292">
        <f t="shared" si="52"/>
        <v>105.67079999999964</v>
      </c>
      <c r="E229" s="292">
        <v>26.43</v>
      </c>
      <c r="F229" s="292">
        <f t="shared" si="53"/>
        <v>79.240799999999638</v>
      </c>
      <c r="G229" s="292">
        <f t="shared" si="54"/>
        <v>0.66033999999999704</v>
      </c>
      <c r="H229" s="455"/>
    </row>
    <row r="230" spans="1:17" ht="15" x14ac:dyDescent="0.2">
      <c r="A230" s="291">
        <v>50983</v>
      </c>
      <c r="B230" s="292">
        <f t="shared" si="55"/>
        <v>79.240799999999638</v>
      </c>
      <c r="C230" s="292">
        <v>0</v>
      </c>
      <c r="D230" s="292">
        <f t="shared" si="52"/>
        <v>79.240799999999638</v>
      </c>
      <c r="E230" s="292">
        <v>26.43</v>
      </c>
      <c r="F230" s="292">
        <f t="shared" si="53"/>
        <v>52.810799999999638</v>
      </c>
      <c r="G230" s="292">
        <f t="shared" si="54"/>
        <v>0.44008999999999698</v>
      </c>
      <c r="H230" s="455"/>
    </row>
    <row r="231" spans="1:17" ht="15" x14ac:dyDescent="0.2">
      <c r="A231" s="291">
        <v>51014</v>
      </c>
      <c r="B231" s="292">
        <f t="shared" si="55"/>
        <v>52.810799999999638</v>
      </c>
      <c r="C231" s="292">
        <v>0</v>
      </c>
      <c r="D231" s="292">
        <f t="shared" si="52"/>
        <v>52.810799999999638</v>
      </c>
      <c r="E231" s="292">
        <v>26.43</v>
      </c>
      <c r="F231" s="292">
        <f t="shared" si="53"/>
        <v>26.380799999999638</v>
      </c>
      <c r="G231" s="292">
        <f t="shared" si="54"/>
        <v>0.21983999999999701</v>
      </c>
      <c r="H231" s="456"/>
    </row>
    <row r="232" spans="1:17" ht="15" x14ac:dyDescent="0.2">
      <c r="A232" s="291">
        <v>51044</v>
      </c>
      <c r="B232" s="292">
        <f t="shared" si="55"/>
        <v>26.380799999999638</v>
      </c>
      <c r="C232" s="292">
        <v>0</v>
      </c>
      <c r="D232" s="292">
        <f t="shared" si="52"/>
        <v>26.380799999999638</v>
      </c>
      <c r="E232" s="292">
        <v>26.43</v>
      </c>
      <c r="F232" s="292">
        <f t="shared" si="53"/>
        <v>-4.9200000000361399E-2</v>
      </c>
      <c r="G232" s="292">
        <f t="shared" si="54"/>
        <v>-4.1000000000301169E-4</v>
      </c>
      <c r="H232" s="239">
        <f>SUM(G226:G232)</f>
        <v>4.6223799999999793</v>
      </c>
    </row>
    <row r="233" spans="1:17" ht="15" x14ac:dyDescent="0.2">
      <c r="A233" s="300"/>
      <c r="B233" s="301"/>
      <c r="C233" s="301"/>
      <c r="D233" s="301"/>
      <c r="E233" s="301">
        <f>SUM(E226:E232)-0.01</f>
        <v>185.00000000000003</v>
      </c>
      <c r="F233" s="301"/>
      <c r="G233" s="301"/>
      <c r="H233" s="255"/>
    </row>
    <row r="234" spans="1:17" ht="15" x14ac:dyDescent="0.2">
      <c r="A234" s="300"/>
      <c r="B234" s="301"/>
      <c r="C234" s="301"/>
      <c r="D234" s="301"/>
      <c r="E234" s="301"/>
      <c r="F234" s="301"/>
      <c r="G234" s="301"/>
      <c r="H234" s="302"/>
    </row>
    <row r="235" spans="1:17" ht="15" x14ac:dyDescent="0.25">
      <c r="A235" s="38" t="s">
        <v>12</v>
      </c>
      <c r="B235" s="34" t="s">
        <v>238</v>
      </c>
      <c r="C235" s="34" t="s">
        <v>239</v>
      </c>
      <c r="D235" s="34" t="s">
        <v>143</v>
      </c>
      <c r="E235" s="34" t="s">
        <v>230</v>
      </c>
      <c r="F235" s="34" t="s">
        <v>231</v>
      </c>
      <c r="G235" s="34" t="s">
        <v>232</v>
      </c>
      <c r="H235" s="290" t="s">
        <v>233</v>
      </c>
      <c r="I235" s="290" t="s">
        <v>234</v>
      </c>
      <c r="J235" s="290" t="s">
        <v>235</v>
      </c>
      <c r="K235" s="290" t="s">
        <v>236</v>
      </c>
      <c r="L235" s="290" t="s">
        <v>388</v>
      </c>
      <c r="M235" s="290" t="s">
        <v>389</v>
      </c>
      <c r="N235" s="290" t="s">
        <v>390</v>
      </c>
      <c r="O235" s="290" t="s">
        <v>391</v>
      </c>
      <c r="P235" s="290" t="s">
        <v>392</v>
      </c>
      <c r="Q235" s="290" t="s">
        <v>393</v>
      </c>
    </row>
    <row r="236" spans="1:17" ht="15" x14ac:dyDescent="0.25">
      <c r="A236" s="32" t="s">
        <v>223</v>
      </c>
      <c r="B236" s="33">
        <f>H27</f>
        <v>5.8333333333333339</v>
      </c>
      <c r="C236" s="33">
        <f>H41</f>
        <v>73.499999999999986</v>
      </c>
      <c r="D236" s="33">
        <f>H55</f>
        <v>160.58333333333331</v>
      </c>
      <c r="E236" s="33">
        <f>H69</f>
        <v>199.37500000000003</v>
      </c>
      <c r="F236" s="33">
        <f>H83</f>
        <v>194.25000000000003</v>
      </c>
      <c r="G236" s="33">
        <f>H97</f>
        <v>188.25</v>
      </c>
      <c r="H236" s="33">
        <f>H111</f>
        <v>182.25</v>
      </c>
      <c r="I236" s="33">
        <f>H125</f>
        <v>173</v>
      </c>
      <c r="J236" s="33">
        <f>H139</f>
        <v>161</v>
      </c>
      <c r="K236" s="33">
        <f>H153</f>
        <v>149</v>
      </c>
      <c r="L236" s="33">
        <f>H167</f>
        <v>137</v>
      </c>
      <c r="M236" s="33">
        <f>H181</f>
        <v>120.66671000000001</v>
      </c>
      <c r="N236" s="33">
        <f>H195</f>
        <v>97.958413333333326</v>
      </c>
      <c r="O236" s="33">
        <f>H209</f>
        <v>70.250079999999969</v>
      </c>
      <c r="P236" s="33">
        <f>H223</f>
        <v>35.91457999999998</v>
      </c>
      <c r="Q236" s="33">
        <f>H232</f>
        <v>4.6223799999999793</v>
      </c>
    </row>
    <row r="237" spans="1:17" ht="15" x14ac:dyDescent="0.25">
      <c r="A237" s="32" t="s">
        <v>394</v>
      </c>
      <c r="B237" s="33">
        <f>SUM(C23:C27)</f>
        <v>280</v>
      </c>
      <c r="C237" s="33">
        <f>SUM(C30:C41)</f>
        <v>840</v>
      </c>
      <c r="D237" s="33">
        <f>SUM(C44:C55)</f>
        <v>880</v>
      </c>
      <c r="E237" s="33">
        <v>0</v>
      </c>
      <c r="F237" s="33">
        <v>0</v>
      </c>
      <c r="G237" s="33">
        <v>0</v>
      </c>
      <c r="H237" s="33">
        <v>0</v>
      </c>
      <c r="I237" s="33">
        <v>0</v>
      </c>
      <c r="J237" s="33">
        <v>0</v>
      </c>
      <c r="K237" s="33">
        <v>0</v>
      </c>
      <c r="L237" s="33">
        <v>0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</row>
    <row r="238" spans="1:17" ht="15" x14ac:dyDescent="0.25">
      <c r="A238" s="32" t="s">
        <v>222</v>
      </c>
      <c r="B238" s="33">
        <f>SUM(E23:E27)</f>
        <v>0</v>
      </c>
      <c r="C238" s="33">
        <f>SUM(E30:E41)</f>
        <v>0</v>
      </c>
      <c r="D238" s="33">
        <f>SUM(E44:E55)</f>
        <v>0</v>
      </c>
      <c r="E238" s="33">
        <f>SUM(E58:E69)</f>
        <v>25</v>
      </c>
      <c r="F238" s="33">
        <f>SUM(E72:E83)</f>
        <v>60</v>
      </c>
      <c r="G238" s="33">
        <f>SUM(E86:E97)</f>
        <v>60</v>
      </c>
      <c r="H238" s="33">
        <f>SUM(E100:E111)</f>
        <v>60</v>
      </c>
      <c r="I238" s="33">
        <f>SUM(E114:E125)</f>
        <v>120</v>
      </c>
      <c r="J238" s="33">
        <f>SUM(E128:E139)</f>
        <v>120</v>
      </c>
      <c r="K238" s="33">
        <f>SUM(E142:E153)</f>
        <v>120</v>
      </c>
      <c r="L238" s="33">
        <f>SUM(E156:E167)</f>
        <v>120</v>
      </c>
      <c r="M238" s="33">
        <f>SUM(E170:E181)</f>
        <v>199.99919999999995</v>
      </c>
      <c r="N238" s="33">
        <f>SUM(E184:E195)</f>
        <v>250.00000000000003</v>
      </c>
      <c r="O238" s="33">
        <f>SUM(E198:E209)</f>
        <v>300</v>
      </c>
      <c r="P238" s="33">
        <f>+E224</f>
        <v>380.00000000000011</v>
      </c>
      <c r="Q238" s="33">
        <f>+E233</f>
        <v>185.00000000000003</v>
      </c>
    </row>
    <row r="239" spans="1:17" ht="15" x14ac:dyDescent="0.25">
      <c r="A239" s="32" t="s">
        <v>395</v>
      </c>
      <c r="B239" s="33">
        <f>B237-B238</f>
        <v>280</v>
      </c>
      <c r="C239" s="33">
        <f>B239+C237-C238</f>
        <v>1120</v>
      </c>
      <c r="D239" s="33">
        <f t="shared" ref="D239:Q239" si="56">C239+D237-D238</f>
        <v>2000</v>
      </c>
      <c r="E239" s="33">
        <f t="shared" si="56"/>
        <v>1975</v>
      </c>
      <c r="F239" s="33">
        <f t="shared" si="56"/>
        <v>1915</v>
      </c>
      <c r="G239" s="33">
        <f t="shared" si="56"/>
        <v>1855</v>
      </c>
      <c r="H239" s="33">
        <f t="shared" si="56"/>
        <v>1795</v>
      </c>
      <c r="I239" s="33">
        <f t="shared" si="56"/>
        <v>1675</v>
      </c>
      <c r="J239" s="33">
        <f t="shared" si="56"/>
        <v>1555</v>
      </c>
      <c r="K239" s="33">
        <f t="shared" si="56"/>
        <v>1435</v>
      </c>
      <c r="L239" s="33">
        <f t="shared" si="56"/>
        <v>1315</v>
      </c>
      <c r="M239" s="33">
        <f t="shared" si="56"/>
        <v>1115.0008</v>
      </c>
      <c r="N239" s="33">
        <f t="shared" si="56"/>
        <v>865.00080000000003</v>
      </c>
      <c r="O239" s="33">
        <f t="shared" si="56"/>
        <v>565.00080000000003</v>
      </c>
      <c r="P239" s="33">
        <f>O239+P237-P238</f>
        <v>185.00079999999991</v>
      </c>
      <c r="Q239" s="33">
        <f t="shared" si="56"/>
        <v>7.999999998844487E-4</v>
      </c>
    </row>
    <row r="240" spans="1:17" ht="15" x14ac:dyDescent="0.25">
      <c r="A240" s="32" t="s">
        <v>396</v>
      </c>
      <c r="B240" s="33">
        <f t="shared" ref="B240:Q240" si="57">C238</f>
        <v>0</v>
      </c>
      <c r="C240" s="33">
        <f t="shared" si="57"/>
        <v>0</v>
      </c>
      <c r="D240" s="33">
        <f t="shared" si="57"/>
        <v>25</v>
      </c>
      <c r="E240" s="33">
        <f t="shared" si="57"/>
        <v>60</v>
      </c>
      <c r="F240" s="33">
        <f t="shared" si="57"/>
        <v>60</v>
      </c>
      <c r="G240" s="33">
        <f t="shared" si="57"/>
        <v>60</v>
      </c>
      <c r="H240" s="33">
        <f t="shared" si="57"/>
        <v>120</v>
      </c>
      <c r="I240" s="33">
        <f t="shared" si="57"/>
        <v>120</v>
      </c>
      <c r="J240" s="33">
        <f t="shared" si="57"/>
        <v>120</v>
      </c>
      <c r="K240" s="33">
        <f t="shared" si="57"/>
        <v>120</v>
      </c>
      <c r="L240" s="33">
        <f t="shared" si="57"/>
        <v>199.99919999999995</v>
      </c>
      <c r="M240" s="33">
        <f t="shared" si="57"/>
        <v>250.00000000000003</v>
      </c>
      <c r="N240" s="33">
        <f t="shared" si="57"/>
        <v>300</v>
      </c>
      <c r="O240" s="33">
        <f>+E224</f>
        <v>380.00000000000011</v>
      </c>
      <c r="P240" s="33">
        <f>+E233</f>
        <v>185.00000000000003</v>
      </c>
      <c r="Q240" s="33">
        <f t="shared" si="57"/>
        <v>0</v>
      </c>
    </row>
    <row r="241" spans="1:17" ht="15" x14ac:dyDescent="0.25">
      <c r="A241" s="32" t="s">
        <v>397</v>
      </c>
      <c r="B241" s="33">
        <f t="shared" ref="B241:Q241" si="58">B239-B240</f>
        <v>280</v>
      </c>
      <c r="C241" s="33">
        <f t="shared" si="58"/>
        <v>1120</v>
      </c>
      <c r="D241" s="33">
        <f t="shared" si="58"/>
        <v>1975</v>
      </c>
      <c r="E241" s="33">
        <f t="shared" si="58"/>
        <v>1915</v>
      </c>
      <c r="F241" s="33">
        <f t="shared" si="58"/>
        <v>1855</v>
      </c>
      <c r="G241" s="33">
        <f t="shared" si="58"/>
        <v>1795</v>
      </c>
      <c r="H241" s="33">
        <f t="shared" si="58"/>
        <v>1675</v>
      </c>
      <c r="I241" s="33">
        <f t="shared" si="58"/>
        <v>1555</v>
      </c>
      <c r="J241" s="33">
        <f t="shared" si="58"/>
        <v>1435</v>
      </c>
      <c r="K241" s="33">
        <f t="shared" si="58"/>
        <v>1315</v>
      </c>
      <c r="L241" s="33">
        <f t="shared" si="58"/>
        <v>1115.0008</v>
      </c>
      <c r="M241" s="33">
        <f t="shared" si="58"/>
        <v>865.00080000000003</v>
      </c>
      <c r="N241" s="33">
        <f t="shared" si="58"/>
        <v>565.00080000000003</v>
      </c>
      <c r="O241" s="33">
        <f t="shared" si="58"/>
        <v>185.00079999999991</v>
      </c>
      <c r="P241" s="33">
        <f t="shared" si="58"/>
        <v>7.999999998844487E-4</v>
      </c>
      <c r="Q241" s="33">
        <f t="shared" si="58"/>
        <v>7.999999998844487E-4</v>
      </c>
    </row>
    <row r="242" spans="1:17" ht="15" x14ac:dyDescent="0.25">
      <c r="A242" s="32" t="s">
        <v>398</v>
      </c>
      <c r="B242" s="33">
        <f>B236+B238</f>
        <v>5.8333333333333339</v>
      </c>
      <c r="C242" s="33">
        <f t="shared" ref="C242:Q242" si="59">C236+C238</f>
        <v>73.499999999999986</v>
      </c>
      <c r="D242" s="33">
        <f t="shared" si="59"/>
        <v>160.58333333333331</v>
      </c>
      <c r="E242" s="33">
        <f t="shared" si="59"/>
        <v>224.37500000000003</v>
      </c>
      <c r="F242" s="33">
        <f t="shared" si="59"/>
        <v>254.25000000000003</v>
      </c>
      <c r="G242" s="33">
        <f t="shared" si="59"/>
        <v>248.25</v>
      </c>
      <c r="H242" s="33">
        <f t="shared" si="59"/>
        <v>242.25</v>
      </c>
      <c r="I242" s="33">
        <f t="shared" si="59"/>
        <v>293</v>
      </c>
      <c r="J242" s="33">
        <f t="shared" si="59"/>
        <v>281</v>
      </c>
      <c r="K242" s="33">
        <f t="shared" si="59"/>
        <v>269</v>
      </c>
      <c r="L242" s="33">
        <f t="shared" si="59"/>
        <v>257</v>
      </c>
      <c r="M242" s="33">
        <f t="shared" si="59"/>
        <v>320.66590999999994</v>
      </c>
      <c r="N242" s="33">
        <f t="shared" si="59"/>
        <v>347.95841333333334</v>
      </c>
      <c r="O242" s="33">
        <f t="shared" si="59"/>
        <v>370.25007999999997</v>
      </c>
      <c r="P242" s="33">
        <f t="shared" si="59"/>
        <v>415.91458000000011</v>
      </c>
      <c r="Q242" s="33">
        <f t="shared" si="59"/>
        <v>189.62238000000002</v>
      </c>
    </row>
  </sheetData>
  <mergeCells count="21">
    <mergeCell ref="H198:H208"/>
    <mergeCell ref="H212:H222"/>
    <mergeCell ref="H226:H231"/>
    <mergeCell ref="H114:H124"/>
    <mergeCell ref="H128:H138"/>
    <mergeCell ref="H142:H152"/>
    <mergeCell ref="H156:H166"/>
    <mergeCell ref="H170:H180"/>
    <mergeCell ref="H184:H194"/>
    <mergeCell ref="H100:H110"/>
    <mergeCell ref="A1:H1"/>
    <mergeCell ref="A2:H2"/>
    <mergeCell ref="A3:H3"/>
    <mergeCell ref="A4:H4"/>
    <mergeCell ref="G20:H20"/>
    <mergeCell ref="H23:H26"/>
    <mergeCell ref="H30:H40"/>
    <mergeCell ref="H44:H54"/>
    <mergeCell ref="H58:H68"/>
    <mergeCell ref="H72:H82"/>
    <mergeCell ref="H86:H96"/>
  </mergeCells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Cost</vt:lpstr>
      <vt:lpstr>Cost Break Up</vt:lpstr>
      <vt:lpstr>Estimation</vt:lpstr>
      <vt:lpstr>Profitability</vt:lpstr>
      <vt:lpstr>Balance Sheet</vt:lpstr>
      <vt:lpstr>Cash Flow</vt:lpstr>
      <vt:lpstr>Depreciation</vt:lpstr>
      <vt:lpstr>Debt Schedule</vt:lpstr>
      <vt:lpstr>Debt Schedule </vt:lpstr>
      <vt:lpstr>Ratio Analysis</vt:lpstr>
      <vt:lpstr>IRR</vt:lpstr>
      <vt:lpstr>BEP, Sensitivity </vt:lpstr>
      <vt:lpstr>working </vt:lpstr>
      <vt:lpstr>Sheet2</vt:lpstr>
      <vt:lpstr>'Balance Sheet'!Print_Area</vt:lpstr>
      <vt:lpstr>'BEP, Sensitivity '!Print_Area</vt:lpstr>
      <vt:lpstr>'Cash Flow'!Print_Area</vt:lpstr>
      <vt:lpstr>Cost!Print_Area</vt:lpstr>
      <vt:lpstr>'Cost Break Up'!Print_Area</vt:lpstr>
      <vt:lpstr>Depreciation!Print_Area</vt:lpstr>
      <vt:lpstr>Estimation!Print_Area</vt:lpstr>
      <vt:lpstr>IRR!Print_Area</vt:lpstr>
      <vt:lpstr>Profitability!Print_Area</vt:lpstr>
      <vt:lpstr>'Ratio Analysis'!Print_Area</vt:lpstr>
      <vt:lpstr>'working '!Print_Area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Windows User</cp:lastModifiedBy>
  <cp:lastPrinted>2024-01-31T12:47:52Z</cp:lastPrinted>
  <dcterms:created xsi:type="dcterms:W3CDTF">2006-05-12T13:05:55Z</dcterms:created>
  <dcterms:modified xsi:type="dcterms:W3CDTF">2024-11-13T10:07:26Z</dcterms:modified>
</cp:coreProperties>
</file>