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shil\OneDrive\Desktop\"/>
    </mc:Choice>
  </mc:AlternateContent>
  <xr:revisionPtr revIDLastSave="0" documentId="8_{42F49C60-65F8-49E2-9288-01B03C1D30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in" sheetId="4" r:id="rId1"/>
    <sheet name="Sheet1" sheetId="5" r:id="rId2"/>
    <sheet name="Sheet2" sheetId="3" r:id="rId3"/>
    <sheet name="Sheet3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4" l="1"/>
  <c r="N6" i="4" l="1"/>
  <c r="K3" i="3"/>
  <c r="M3" i="3" s="1"/>
  <c r="I3" i="3"/>
  <c r="J3" i="3"/>
  <c r="G3" i="3"/>
  <c r="N23" i="4"/>
  <c r="Q23" i="4" s="1"/>
  <c r="I23" i="4"/>
  <c r="F22" i="4"/>
  <c r="N22" i="4" s="1"/>
  <c r="F23" i="4"/>
  <c r="F19" i="4"/>
  <c r="F18" i="4"/>
  <c r="F17" i="4"/>
  <c r="N17" i="4" s="1"/>
  <c r="F16" i="4"/>
  <c r="F15" i="4"/>
  <c r="F11" i="4"/>
  <c r="F9" i="4"/>
  <c r="F7" i="4"/>
  <c r="F24" i="4" s="1"/>
  <c r="F6" i="4"/>
  <c r="F20" i="4"/>
  <c r="L17" i="4"/>
  <c r="I17" i="4"/>
  <c r="F14" i="4"/>
  <c r="F13" i="4"/>
  <c r="F12" i="4"/>
  <c r="O17" i="4" l="1"/>
  <c r="Q17" i="4" s="1"/>
  <c r="W37" i="4"/>
  <c r="A11" i="6" l="1"/>
  <c r="W57" i="4"/>
  <c r="Z37" i="4"/>
  <c r="W28" i="4"/>
  <c r="W90" i="4"/>
  <c r="N21" i="4"/>
  <c r="W13" i="4"/>
  <c r="N13" i="4"/>
  <c r="I13" i="4"/>
  <c r="L13" i="4"/>
  <c r="L10" i="4"/>
  <c r="I10" i="4"/>
  <c r="L22" i="4"/>
  <c r="I22" i="4"/>
  <c r="L21" i="4"/>
  <c r="I21" i="4"/>
  <c r="L20" i="4"/>
  <c r="I20" i="4"/>
  <c r="L19" i="4"/>
  <c r="I19" i="4"/>
  <c r="L18" i="4"/>
  <c r="I18" i="4"/>
  <c r="L16" i="4"/>
  <c r="I16" i="4"/>
  <c r="L15" i="4"/>
  <c r="I15" i="4"/>
  <c r="L14" i="4"/>
  <c r="I14" i="4"/>
  <c r="L12" i="4"/>
  <c r="I12" i="4"/>
  <c r="N10" i="4"/>
  <c r="N16" i="4"/>
  <c r="N18" i="4"/>
  <c r="N19" i="4"/>
  <c r="N20" i="4"/>
  <c r="N12" i="4"/>
  <c r="N14" i="4"/>
  <c r="N15" i="4"/>
  <c r="O13" i="4" l="1"/>
  <c r="Q13" i="4" s="1"/>
  <c r="O21" i="4"/>
  <c r="Q21" i="4" s="1"/>
  <c r="O15" i="4"/>
  <c r="Q15" i="4" s="1"/>
  <c r="O20" i="4"/>
  <c r="Q20" i="4" s="1"/>
  <c r="O10" i="4"/>
  <c r="Q10" i="4" s="1"/>
  <c r="O18" i="4"/>
  <c r="Q18" i="4" s="1"/>
  <c r="O22" i="4"/>
  <c r="Q22" i="4" s="1"/>
  <c r="O16" i="4"/>
  <c r="Q16" i="4" s="1"/>
  <c r="O14" i="4"/>
  <c r="Q14" i="4" s="1"/>
  <c r="O19" i="4"/>
  <c r="Q19" i="4" s="1"/>
  <c r="O12" i="4"/>
  <c r="Q12" i="4" s="1"/>
  <c r="U6" i="4"/>
  <c r="U7" i="4" s="1"/>
  <c r="L14" i="6" l="1"/>
  <c r="W66" i="4" l="1"/>
  <c r="W65" i="4" s="1"/>
  <c r="W63" i="4"/>
  <c r="W64" i="4" s="1"/>
  <c r="W67" i="4" l="1"/>
  <c r="N11" i="4"/>
  <c r="N9" i="4"/>
  <c r="N7" i="4"/>
  <c r="N8" i="4"/>
  <c r="L7" i="4"/>
  <c r="L8" i="4"/>
  <c r="L9" i="4"/>
  <c r="L11" i="4"/>
  <c r="I7" i="4"/>
  <c r="I8" i="4"/>
  <c r="I9" i="4"/>
  <c r="I11" i="4"/>
  <c r="O8" i="4" l="1"/>
  <c r="Q8" i="4" s="1"/>
  <c r="O7" i="4"/>
  <c r="Q7" i="4" s="1"/>
  <c r="O11" i="4"/>
  <c r="Q11" i="4" s="1"/>
  <c r="O9" i="4"/>
  <c r="Q9" i="4" s="1"/>
  <c r="S7" i="4" l="1"/>
  <c r="S6" i="4"/>
  <c r="W45" i="4"/>
  <c r="L6" i="4"/>
  <c r="I6" i="4"/>
  <c r="O6" i="4" s="1"/>
  <c r="Q6" i="4" s="1"/>
  <c r="S24" i="4" l="1"/>
  <c r="D3" i="3"/>
  <c r="W51" i="4" l="1"/>
  <c r="Q24" i="4" l="1"/>
  <c r="O24" i="4"/>
  <c r="W38" i="4" l="1"/>
  <c r="W41" i="4" s="1"/>
  <c r="W47" i="4" s="1"/>
  <c r="W49" i="4" s="1"/>
  <c r="W48" i="4" l="1"/>
</calcChain>
</file>

<file path=xl/sharedStrings.xml><?xml version="1.0" encoding="utf-8"?>
<sst xmlns="http://schemas.openxmlformats.org/spreadsheetml/2006/main" count="92" uniqueCount="72">
  <si>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</si>
  <si>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</si>
  <si>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</si>
  <si>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</si>
  <si>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</si>
  <si>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</si>
  <si>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Gross Replacement Value
(INR)</t>
  </si>
  <si>
    <t xml:space="preserve">Depreciation
(INR) </t>
  </si>
  <si>
    <t>Depreciated Value
(INR)</t>
  </si>
  <si>
    <t>Depreciated Replacement Market Value
(INR)</t>
  </si>
  <si>
    <t>Remarks:</t>
  </si>
  <si>
    <t>Detoration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</si>
  <si>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</si>
  <si>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</si>
  <si>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</si>
  <si>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</si>
  <si>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</si>
  <si>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</si>
  <si>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</si>
  <si>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 xml:space="preserve">Year of Construction </t>
  </si>
  <si>
    <t>Sr. No.</t>
  </si>
  <si>
    <t>3. Age of construction taken from the information as per documents provided to us.</t>
  </si>
  <si>
    <t>building</t>
  </si>
  <si>
    <t>wall</t>
  </si>
  <si>
    <t>FMV</t>
  </si>
  <si>
    <t>round off</t>
  </si>
  <si>
    <t>ins</t>
  </si>
  <si>
    <t>RV</t>
  </si>
  <si>
    <t>DV</t>
  </si>
  <si>
    <t>Circle</t>
  </si>
  <si>
    <t>Total</t>
  </si>
  <si>
    <t>Buit-up area 
(in sq ft)</t>
  </si>
  <si>
    <t>Plinth Area  Rate 
(INR per sq feet)</t>
  </si>
  <si>
    <t>land value</t>
  </si>
  <si>
    <t>Area</t>
  </si>
  <si>
    <t>Rate</t>
  </si>
  <si>
    <t>land area</t>
  </si>
  <si>
    <t>Land value</t>
  </si>
  <si>
    <t>Circle Vaue
(INR)</t>
  </si>
  <si>
    <t>Circle Rate
(INR per sq mtr.)</t>
  </si>
  <si>
    <t>Height 
(in ft.)</t>
  </si>
  <si>
    <t>MAIN SHED-1</t>
  </si>
  <si>
    <t>MAIN SHED-2</t>
  </si>
  <si>
    <t>TOILET</t>
  </si>
  <si>
    <t>GI SHED</t>
  </si>
  <si>
    <t>Particulars</t>
  </si>
  <si>
    <t>SECURITY ROOM</t>
  </si>
  <si>
    <t xml:space="preserve"> M/S  Magpet Polymers Pvt. Ltd</t>
  </si>
  <si>
    <t>MAIN SHED-3</t>
  </si>
  <si>
    <t>VISITORS ROOM</t>
  </si>
  <si>
    <t>CHEMICAL STORE</t>
  </si>
  <si>
    <t>CYCLE SHED</t>
  </si>
  <si>
    <t xml:space="preserve">ELECTRICAL ROOM </t>
  </si>
  <si>
    <t>RCC BRICK BUILT</t>
  </si>
  <si>
    <t>COMPRESSOR ROOM</t>
  </si>
  <si>
    <t xml:space="preserve">GI SHED </t>
  </si>
  <si>
    <t>AIR BLOW COMPRESSOR ROOM</t>
  </si>
  <si>
    <t>SOFTNER SHED 1</t>
  </si>
  <si>
    <t>SOFTNER SHED 2</t>
  </si>
  <si>
    <t>PUMP ROOM 1</t>
  </si>
  <si>
    <t>PUMP ROOM 2</t>
  </si>
  <si>
    <t>GUEST ROOM</t>
  </si>
  <si>
    <t>GI SHED+ BRICK BUILT WALL</t>
  </si>
  <si>
    <t>RCC +BRICK BUILT WALLS</t>
  </si>
  <si>
    <t>1. All the details pertaing to the building area statement such as area, floor, etc has been taken from the site measurment done by our authorised engineer.</t>
  </si>
  <si>
    <t xml:space="preserve">2.The maintinence of the building was Averageas per site survey observation. </t>
  </si>
  <si>
    <t>RCC FRAMED +BRICK BUILT WALLS</t>
  </si>
  <si>
    <t>GI SHED+ GI COVERED  WALL</t>
  </si>
  <si>
    <t>CANTEEN+ LABOUR QUARTERS</t>
  </si>
  <si>
    <t xml:space="preserve">STORE SHED </t>
  </si>
  <si>
    <t>RCC COLUMN + TIN ROOF</t>
  </si>
  <si>
    <t>Plant &amp;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</si>
</sst>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_ [$₹-4009]\ * #,##0_ ;_ [$₹-4009]\ * \-#,##0_ ;_ [$₹-4009]\ * &quot;-&quot;??_ ;_ @_ "/>
    <numFmt numFmtId="168" formatCode="&quot;₹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2" fillId="0" borderId="1" xfId="6" applyNumberFormat="1" applyFont="1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/>
    </xf>
    <xf numFmtId="9" fontId="2" fillId="5" borderId="1" xfId="3" applyNumberFormat="1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7" fontId="0" fillId="0" borderId="1" xfId="5" applyNumberFormat="1" applyFont="1" applyBorder="1" applyAlignment="1">
      <alignment vertical="center"/>
    </xf>
    <xf numFmtId="167" fontId="0" fillId="0" borderId="0" xfId="0" applyNumberFormat="1"/>
    <xf numFmtId="9" fontId="0" fillId="0" borderId="1" xfId="2" applyFont="1" applyBorder="1" applyAlignment="1">
      <alignment horizontal="right" vertical="center" wrapText="1"/>
    </xf>
    <xf numFmtId="166" fontId="0" fillId="0" borderId="1" xfId="6" applyNumberFormat="1" applyFont="1" applyBorder="1" applyAlignment="1">
      <alignment horizontal="right" vertical="center" wrapText="1"/>
    </xf>
    <xf numFmtId="166" fontId="0" fillId="0" borderId="0" xfId="6" applyNumberFormat="1" applyFont="1"/>
    <xf numFmtId="0" fontId="2" fillId="0" borderId="0" xfId="0" applyFont="1"/>
    <xf numFmtId="43" fontId="2" fillId="0" borderId="0" xfId="0" applyNumberFormat="1" applyFont="1"/>
    <xf numFmtId="0" fontId="0" fillId="0" borderId="1" xfId="0" applyBorder="1"/>
    <xf numFmtId="166" fontId="0" fillId="0" borderId="1" xfId="6" applyNumberFormat="1" applyFont="1" applyBorder="1"/>
    <xf numFmtId="166" fontId="2" fillId="0" borderId="0" xfId="6" applyNumberFormat="1" applyFont="1"/>
    <xf numFmtId="165" fontId="2" fillId="0" borderId="0" xfId="0" applyNumberFormat="1" applyFont="1"/>
    <xf numFmtId="1" fontId="0" fillId="0" borderId="0" xfId="0" applyNumberFormat="1"/>
    <xf numFmtId="0" fontId="0" fillId="0" borderId="1" xfId="3" applyFont="1" applyFill="1" applyBorder="1" applyAlignment="1">
      <alignment horizontal="center" vertical="center" wrapText="1"/>
    </xf>
    <xf numFmtId="166" fontId="0" fillId="0" borderId="1" xfId="6" applyNumberFormat="1" applyFont="1" applyFill="1" applyBorder="1" applyAlignment="1">
      <alignment vertical="center" wrapText="1"/>
    </xf>
    <xf numFmtId="2" fontId="0" fillId="0" borderId="1" xfId="6" applyNumberFormat="1" applyFont="1" applyBorder="1" applyAlignment="1">
      <alignment horizontal="center" vertical="center" wrapText="1"/>
    </xf>
    <xf numFmtId="2" fontId="0" fillId="0" borderId="0" xfId="0" applyNumberFormat="1"/>
    <xf numFmtId="43" fontId="2" fillId="0" borderId="0" xfId="6" applyFont="1"/>
    <xf numFmtId="165" fontId="2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6" fontId="11" fillId="0" borderId="1" xfId="6" applyNumberFormat="1" applyFont="1" applyBorder="1" applyAlignment="1">
      <alignment horizontal="center" vertical="center" wrapText="1"/>
    </xf>
    <xf numFmtId="0" fontId="1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4" fontId="0" fillId="0" borderId="0" xfId="0" applyNumberFormat="1"/>
    <xf numFmtId="3" fontId="0" fillId="0" borderId="0" xfId="0" applyNumberFormat="1"/>
    <xf numFmtId="168" fontId="2" fillId="0" borderId="0" xfId="0" applyNumberFormat="1" applyFont="1"/>
    <xf numFmtId="44" fontId="2" fillId="0" borderId="0" xfId="0" applyNumberFormat="1" applyFo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3" fontId="0" fillId="0" borderId="0" xfId="6" applyFont="1"/>
    <xf numFmtId="165" fontId="2" fillId="0" borderId="0" xfId="6" applyNumberFormat="1" applyFont="1"/>
    <xf numFmtId="1" fontId="8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6" fontId="2" fillId="0" borderId="3" xfId="6" applyNumberFormat="1" applyFont="1" applyBorder="1" applyAlignment="1">
      <alignment horizontal="center" vertical="center" wrapText="1"/>
    </xf>
    <xf numFmtId="166" fontId="2" fillId="0" borderId="4" xfId="6" applyNumberFormat="1" applyFont="1" applyBorder="1" applyAlignment="1">
      <alignment horizontal="center" vertical="center" wrapText="1"/>
    </xf>
    <xf numFmtId="166" fontId="2" fillId="0" borderId="5" xfId="6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2" fillId="0" borderId="0" xfId="0" applyNumberFormat="1" applyFont="1"/>
    <xf numFmtId="3" fontId="10" fillId="0" borderId="0" xfId="0" applyNumberFormat="1" applyFont="1"/>
    <xf numFmtId="166" fontId="0" fillId="0" borderId="1" xfId="6" applyNumberFormat="1" applyFont="1" applyBorder="1" applyAlignment="1">
      <alignment horizontal="center" vertical="center" wrapText="1"/>
    </xf>
    <xf numFmtId="43" fontId="0" fillId="0" borderId="0" xfId="0" applyNumberFormat="1"/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Z90"/>
  <sheetViews>
    <sheetView tabSelected="1" topLeftCell="G25" zoomScale="85" zoomScaleNormal="85" workbookViewId="0">
      <selection activeCell="W51" sqref="W51"/>
    </sheetView>
  </sheetViews>
  <sheetFormatPr defaultRowHeight="14.4" x14ac:dyDescent="0.3"/>
  <cols>
    <col min="2" max="2" width="7.33203125" customWidth="1"/>
    <col min="3" max="3" width="29.44140625" customWidth="1"/>
    <col min="4" max="4" width="7.109375" customWidth="1"/>
    <col min="5" max="5" width="16.33203125" bestFit="1" customWidth="1"/>
    <col min="6" max="6" width="11.88671875" bestFit="1" customWidth="1"/>
    <col min="7" max="7" width="12.33203125" bestFit="1" customWidth="1"/>
    <col min="8" max="8" width="9.6640625" customWidth="1"/>
    <col min="9" max="9" width="10.33203125" customWidth="1"/>
    <col min="10" max="10" width="12.109375" customWidth="1"/>
    <col min="11" max="11" width="8.5546875" customWidth="1"/>
    <col min="12" max="12" width="9" customWidth="1"/>
    <col min="13" max="13" width="14.88671875" customWidth="1"/>
    <col min="14" max="14" width="20.44140625" customWidth="1"/>
    <col min="15" max="15" width="11.6640625" customWidth="1"/>
    <col min="16" max="16" width="21" customWidth="1"/>
    <col min="17" max="17" width="17.44140625" customWidth="1"/>
    <col min="18" max="18" width="11.6640625" hidden="1" customWidth="1"/>
    <col min="19" max="19" width="15.5546875" hidden="1" customWidth="1"/>
    <col min="22" max="22" width="21.109375" customWidth="1"/>
    <col min="23" max="23" width="28" customWidth="1"/>
    <col min="26" max="26" width="10.44140625" bestFit="1" customWidth="1"/>
  </cols>
  <sheetData>
    <row r="4" spans="2:23" ht="20.25" customHeight="1" x14ac:dyDescent="0.3">
      <c r="B4" s="66" t="s">
        <v>47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8"/>
    </row>
    <row r="5" spans="2:23" ht="57.6" x14ac:dyDescent="0.3">
      <c r="B5" s="13" t="s">
        <v>20</v>
      </c>
      <c r="C5" s="1" t="s">
        <v>45</v>
      </c>
      <c r="D5" s="1" t="s">
        <v>40</v>
      </c>
      <c r="E5" s="1" t="s">
        <v>0</v>
      </c>
      <c r="F5" s="1" t="s">
        <v>31</v>
      </c>
      <c r="G5" s="1" t="s">
        <v>19</v>
      </c>
      <c r="H5" s="15" t="s">
        <v>1</v>
      </c>
      <c r="I5" s="1" t="s">
        <v>2</v>
      </c>
      <c r="J5" s="1" t="s">
        <v>3</v>
      </c>
      <c r="K5" s="15" t="s">
        <v>4</v>
      </c>
      <c r="L5" s="15" t="s">
        <v>5</v>
      </c>
      <c r="M5" s="1" t="s">
        <v>32</v>
      </c>
      <c r="N5" s="1" t="s">
        <v>6</v>
      </c>
      <c r="O5" s="15" t="s">
        <v>7</v>
      </c>
      <c r="P5" s="14" t="s">
        <v>11</v>
      </c>
      <c r="Q5" s="1" t="s">
        <v>9</v>
      </c>
      <c r="R5" s="1" t="s">
        <v>39</v>
      </c>
      <c r="S5" s="1" t="s">
        <v>38</v>
      </c>
    </row>
    <row r="6" spans="2:23" ht="28.8" x14ac:dyDescent="0.3">
      <c r="B6" s="2">
        <v>1</v>
      </c>
      <c r="C6" s="2" t="s">
        <v>41</v>
      </c>
      <c r="D6" s="16">
        <v>45</v>
      </c>
      <c r="E6" s="2" t="s">
        <v>62</v>
      </c>
      <c r="F6" s="59">
        <f>58*51</f>
        <v>2958</v>
      </c>
      <c r="G6" s="16">
        <v>2012</v>
      </c>
      <c r="H6" s="2">
        <v>2024</v>
      </c>
      <c r="I6" s="2">
        <f t="shared" ref="I6:I11" si="0">H6-G6</f>
        <v>12</v>
      </c>
      <c r="J6" s="2">
        <v>45</v>
      </c>
      <c r="K6" s="3">
        <v>0.1</v>
      </c>
      <c r="L6" s="4">
        <f>(1-K6)/J6</f>
        <v>0.02</v>
      </c>
      <c r="M6" s="30">
        <v>1200</v>
      </c>
      <c r="N6" s="75">
        <f>M6*F6</f>
        <v>3549600</v>
      </c>
      <c r="O6" s="31">
        <f>N6*L6*IF(I6&gt;J6,J6,I6)</f>
        <v>851904</v>
      </c>
      <c r="P6" s="19">
        <v>0</v>
      </c>
      <c r="Q6" s="75">
        <f>N6-O6</f>
        <v>2697696</v>
      </c>
      <c r="R6" s="25"/>
      <c r="S6" s="20" t="e">
        <f>R6*#REF!</f>
        <v>#REF!</v>
      </c>
      <c r="U6">
        <f>38+18</f>
        <v>56</v>
      </c>
    </row>
    <row r="7" spans="2:23" ht="28.8" x14ac:dyDescent="0.3">
      <c r="B7" s="2">
        <v>2</v>
      </c>
      <c r="C7" s="2" t="s">
        <v>42</v>
      </c>
      <c r="D7" s="16">
        <v>45</v>
      </c>
      <c r="E7" s="2" t="s">
        <v>67</v>
      </c>
      <c r="F7" s="59">
        <f>70*51</f>
        <v>3570</v>
      </c>
      <c r="G7" s="16">
        <v>2020</v>
      </c>
      <c r="H7" s="2">
        <v>2024</v>
      </c>
      <c r="I7" s="2">
        <f t="shared" si="0"/>
        <v>4</v>
      </c>
      <c r="J7" s="2">
        <v>45</v>
      </c>
      <c r="K7" s="3">
        <v>0.1</v>
      </c>
      <c r="L7" s="4">
        <f t="shared" ref="L7:L11" si="1">(1-K7)/J7</f>
        <v>0.02</v>
      </c>
      <c r="M7" s="30">
        <v>1200</v>
      </c>
      <c r="N7" s="75">
        <f t="shared" ref="N7:N11" si="2">M7*F7</f>
        <v>4284000</v>
      </c>
      <c r="O7" s="31">
        <f t="shared" ref="O7:O11" si="3">N7*L7*IF(I7&gt;J7,J7,I7)</f>
        <v>342720</v>
      </c>
      <c r="P7" s="19">
        <v>0</v>
      </c>
      <c r="Q7" s="75">
        <f t="shared" ref="Q7:Q11" si="4">N7-O7</f>
        <v>3941280</v>
      </c>
      <c r="R7" s="25"/>
      <c r="S7" s="20" t="e">
        <f>R7*#REF!</f>
        <v>#REF!</v>
      </c>
      <c r="U7">
        <f>U6/2</f>
        <v>28</v>
      </c>
      <c r="V7" s="22" t="s">
        <v>29</v>
      </c>
    </row>
    <row r="8" spans="2:23" ht="28.8" x14ac:dyDescent="0.3">
      <c r="B8" s="2">
        <v>3</v>
      </c>
      <c r="C8" s="29" t="s">
        <v>48</v>
      </c>
      <c r="D8" s="16">
        <v>45</v>
      </c>
      <c r="E8" s="2" t="s">
        <v>62</v>
      </c>
      <c r="F8" s="59">
        <v>50000</v>
      </c>
      <c r="G8" s="16">
        <v>2023</v>
      </c>
      <c r="H8" s="2">
        <v>2024</v>
      </c>
      <c r="I8" s="2">
        <f t="shared" si="0"/>
        <v>1</v>
      </c>
      <c r="J8" s="2">
        <v>45</v>
      </c>
      <c r="K8" s="3">
        <v>0.1</v>
      </c>
      <c r="L8" s="4">
        <f t="shared" si="1"/>
        <v>0.02</v>
      </c>
      <c r="M8" s="30">
        <v>1200</v>
      </c>
      <c r="N8" s="75">
        <f t="shared" si="2"/>
        <v>60000000</v>
      </c>
      <c r="O8" s="31">
        <f t="shared" si="3"/>
        <v>1200000</v>
      </c>
      <c r="P8" s="19">
        <v>0</v>
      </c>
      <c r="Q8" s="75">
        <f t="shared" si="4"/>
        <v>58800000</v>
      </c>
      <c r="R8" s="25"/>
      <c r="S8" s="20"/>
      <c r="V8" s="22"/>
    </row>
    <row r="9" spans="2:23" ht="28.8" x14ac:dyDescent="0.3">
      <c r="B9" s="2">
        <v>4</v>
      </c>
      <c r="C9" s="2" t="s">
        <v>49</v>
      </c>
      <c r="D9" s="16">
        <v>12</v>
      </c>
      <c r="E9" s="2" t="s">
        <v>62</v>
      </c>
      <c r="F9" s="59">
        <f>20*40</f>
        <v>800</v>
      </c>
      <c r="G9" s="16">
        <v>2016</v>
      </c>
      <c r="H9" s="2">
        <v>2024</v>
      </c>
      <c r="I9" s="2">
        <f t="shared" si="0"/>
        <v>8</v>
      </c>
      <c r="J9" s="2">
        <v>45</v>
      </c>
      <c r="K9" s="3">
        <v>0.1</v>
      </c>
      <c r="L9" s="4">
        <f t="shared" si="1"/>
        <v>0.02</v>
      </c>
      <c r="M9" s="30">
        <v>900</v>
      </c>
      <c r="N9" s="75">
        <f t="shared" si="2"/>
        <v>720000</v>
      </c>
      <c r="O9" s="31">
        <f t="shared" si="3"/>
        <v>115200</v>
      </c>
      <c r="P9" s="19">
        <v>0</v>
      </c>
      <c r="Q9" s="75">
        <f t="shared" si="4"/>
        <v>604800</v>
      </c>
      <c r="R9" s="25"/>
      <c r="S9" s="20"/>
      <c r="V9" s="22"/>
    </row>
    <row r="10" spans="2:23" x14ac:dyDescent="0.3">
      <c r="B10" s="2">
        <v>5</v>
      </c>
      <c r="C10" s="2" t="s">
        <v>50</v>
      </c>
      <c r="D10" s="16">
        <v>12</v>
      </c>
      <c r="E10" s="2" t="s">
        <v>44</v>
      </c>
      <c r="F10" s="59">
        <v>774</v>
      </c>
      <c r="G10" s="16">
        <v>2016</v>
      </c>
      <c r="H10" s="2">
        <v>2024</v>
      </c>
      <c r="I10" s="2">
        <f>H10-G10</f>
        <v>8</v>
      </c>
      <c r="J10" s="2">
        <v>45</v>
      </c>
      <c r="K10" s="3">
        <v>0.1</v>
      </c>
      <c r="L10" s="4">
        <f>(1-K10)/J10</f>
        <v>0.02</v>
      </c>
      <c r="M10" s="30">
        <v>700</v>
      </c>
      <c r="N10" s="75">
        <f>M10*F10</f>
        <v>541800</v>
      </c>
      <c r="O10" s="31">
        <f>N10*L10*IF(I10&gt;J10,J10,I10)</f>
        <v>86688</v>
      </c>
      <c r="P10" s="19">
        <v>0</v>
      </c>
      <c r="Q10" s="75">
        <f>N10-O10</f>
        <v>455112</v>
      </c>
      <c r="R10" s="25"/>
      <c r="S10" s="20"/>
      <c r="V10" s="22"/>
    </row>
    <row r="11" spans="2:23" x14ac:dyDescent="0.3">
      <c r="B11" s="2">
        <v>6</v>
      </c>
      <c r="C11" s="2" t="s">
        <v>51</v>
      </c>
      <c r="D11" s="16">
        <v>10</v>
      </c>
      <c r="E11" s="2" t="s">
        <v>44</v>
      </c>
      <c r="F11" s="59">
        <f>30*10</f>
        <v>300</v>
      </c>
      <c r="G11" s="16">
        <v>2018</v>
      </c>
      <c r="H11" s="2">
        <v>2024</v>
      </c>
      <c r="I11" s="2">
        <f t="shared" si="0"/>
        <v>6</v>
      </c>
      <c r="J11" s="2">
        <v>45</v>
      </c>
      <c r="K11" s="3">
        <v>0.1</v>
      </c>
      <c r="L11" s="4">
        <f t="shared" si="1"/>
        <v>0.02</v>
      </c>
      <c r="M11" s="30">
        <v>400</v>
      </c>
      <c r="N11" s="75">
        <f t="shared" si="2"/>
        <v>120000</v>
      </c>
      <c r="O11" s="31">
        <f t="shared" si="3"/>
        <v>14400</v>
      </c>
      <c r="P11" s="19">
        <v>0</v>
      </c>
      <c r="Q11" s="75">
        <f t="shared" si="4"/>
        <v>105600</v>
      </c>
      <c r="R11" s="25"/>
      <c r="S11" s="20"/>
      <c r="V11" s="22"/>
    </row>
    <row r="12" spans="2:23" ht="28.8" x14ac:dyDescent="0.3">
      <c r="B12" s="2">
        <v>7</v>
      </c>
      <c r="C12" s="2" t="s">
        <v>52</v>
      </c>
      <c r="D12" s="16">
        <v>16</v>
      </c>
      <c r="E12" s="2" t="s">
        <v>63</v>
      </c>
      <c r="F12" s="59">
        <f>25*25</f>
        <v>625</v>
      </c>
      <c r="G12" s="16">
        <v>2015</v>
      </c>
      <c r="H12" s="2">
        <v>2024</v>
      </c>
      <c r="I12" s="2">
        <f t="shared" ref="I12:I23" si="5">H12-G12</f>
        <v>9</v>
      </c>
      <c r="J12" s="2">
        <v>60</v>
      </c>
      <c r="K12" s="3">
        <v>0.1</v>
      </c>
      <c r="L12" s="4">
        <f t="shared" ref="L12:L22" si="6">(1-K12)/J12</f>
        <v>1.5000000000000001E-2</v>
      </c>
      <c r="M12" s="30">
        <v>1500</v>
      </c>
      <c r="N12" s="75">
        <f t="shared" ref="N12:N21" si="7">M12*F12</f>
        <v>937500</v>
      </c>
      <c r="O12" s="31">
        <f t="shared" ref="O12:O22" si="8">N12*L12*IF(I12&gt;J12,J12,I12)</f>
        <v>126562.50000000001</v>
      </c>
      <c r="P12" s="19">
        <v>0</v>
      </c>
      <c r="Q12" s="75">
        <f t="shared" ref="Q12:Q23" si="9">N12-O12</f>
        <v>810937.5</v>
      </c>
      <c r="R12" s="25"/>
      <c r="S12" s="20"/>
      <c r="V12" s="22"/>
    </row>
    <row r="13" spans="2:23" ht="43.2" x14ac:dyDescent="0.3">
      <c r="B13" s="2">
        <v>8</v>
      </c>
      <c r="C13" s="2" t="s">
        <v>54</v>
      </c>
      <c r="D13" s="16">
        <v>10</v>
      </c>
      <c r="E13" s="2" t="s">
        <v>66</v>
      </c>
      <c r="F13" s="59">
        <f>24*24</f>
        <v>576</v>
      </c>
      <c r="G13" s="16">
        <v>2015</v>
      </c>
      <c r="H13" s="2">
        <v>2024</v>
      </c>
      <c r="I13" s="2">
        <f t="shared" si="5"/>
        <v>9</v>
      </c>
      <c r="J13" s="2">
        <v>60</v>
      </c>
      <c r="K13" s="3">
        <v>0.1</v>
      </c>
      <c r="L13" s="4">
        <f t="shared" si="6"/>
        <v>1.5000000000000001E-2</v>
      </c>
      <c r="M13" s="30">
        <v>1400</v>
      </c>
      <c r="N13" s="75">
        <f t="shared" si="7"/>
        <v>806400</v>
      </c>
      <c r="O13" s="31">
        <f t="shared" si="8"/>
        <v>108864.00000000001</v>
      </c>
      <c r="P13" s="19">
        <v>0</v>
      </c>
      <c r="Q13" s="75">
        <f t="shared" si="9"/>
        <v>697536</v>
      </c>
      <c r="R13" s="25"/>
      <c r="S13" s="20"/>
      <c r="V13" s="22"/>
      <c r="W13">
        <f>450*7</f>
        <v>3150</v>
      </c>
    </row>
    <row r="14" spans="2:23" ht="28.8" x14ac:dyDescent="0.3">
      <c r="B14" s="2">
        <v>9</v>
      </c>
      <c r="C14" s="2" t="s">
        <v>46</v>
      </c>
      <c r="D14" s="16">
        <v>10</v>
      </c>
      <c r="E14" s="2" t="s">
        <v>63</v>
      </c>
      <c r="F14" s="59">
        <f>24*6</f>
        <v>144</v>
      </c>
      <c r="G14" s="16">
        <v>2014</v>
      </c>
      <c r="H14" s="2">
        <v>2024</v>
      </c>
      <c r="I14" s="2">
        <f t="shared" si="5"/>
        <v>10</v>
      </c>
      <c r="J14" s="2">
        <v>60</v>
      </c>
      <c r="K14" s="3">
        <v>0.1</v>
      </c>
      <c r="L14" s="4">
        <f t="shared" si="6"/>
        <v>1.5000000000000001E-2</v>
      </c>
      <c r="M14" s="30">
        <v>1000</v>
      </c>
      <c r="N14" s="75">
        <f t="shared" si="7"/>
        <v>144000</v>
      </c>
      <c r="O14" s="31">
        <f t="shared" si="8"/>
        <v>21600</v>
      </c>
      <c r="P14" s="19">
        <v>0</v>
      </c>
      <c r="Q14" s="75">
        <f t="shared" si="9"/>
        <v>122400</v>
      </c>
      <c r="R14" s="25"/>
      <c r="S14" s="20"/>
      <c r="V14" s="22"/>
    </row>
    <row r="15" spans="2:23" ht="28.8" x14ac:dyDescent="0.3">
      <c r="B15" s="2">
        <v>10</v>
      </c>
      <c r="C15" s="2" t="s">
        <v>56</v>
      </c>
      <c r="D15" s="16">
        <v>17</v>
      </c>
      <c r="E15" s="2" t="s">
        <v>63</v>
      </c>
      <c r="F15" s="59">
        <f>34*18</f>
        <v>612</v>
      </c>
      <c r="G15" s="16">
        <v>2020</v>
      </c>
      <c r="H15" s="2">
        <v>2024</v>
      </c>
      <c r="I15" s="2">
        <f t="shared" si="5"/>
        <v>4</v>
      </c>
      <c r="J15" s="2">
        <v>60</v>
      </c>
      <c r="K15" s="3">
        <v>0.1</v>
      </c>
      <c r="L15" s="4">
        <f t="shared" si="6"/>
        <v>1.5000000000000001E-2</v>
      </c>
      <c r="M15" s="30">
        <v>1400</v>
      </c>
      <c r="N15" s="75">
        <f t="shared" si="7"/>
        <v>856800</v>
      </c>
      <c r="O15" s="31">
        <f t="shared" si="8"/>
        <v>51408.000000000007</v>
      </c>
      <c r="P15" s="19">
        <v>0</v>
      </c>
      <c r="Q15" s="75">
        <f t="shared" si="9"/>
        <v>805392</v>
      </c>
      <c r="R15" s="25"/>
      <c r="S15" s="20"/>
      <c r="V15" s="22"/>
    </row>
    <row r="16" spans="2:23" x14ac:dyDescent="0.3">
      <c r="B16" s="2">
        <v>11</v>
      </c>
      <c r="C16" s="2" t="s">
        <v>59</v>
      </c>
      <c r="D16" s="16">
        <v>13</v>
      </c>
      <c r="E16" s="51" t="s">
        <v>44</v>
      </c>
      <c r="F16" s="59">
        <f>12.2*5</f>
        <v>61</v>
      </c>
      <c r="G16" s="16">
        <v>2023</v>
      </c>
      <c r="H16" s="2">
        <v>2024</v>
      </c>
      <c r="I16" s="2">
        <f t="shared" si="5"/>
        <v>1</v>
      </c>
      <c r="J16" s="2">
        <v>45</v>
      </c>
      <c r="K16" s="3">
        <v>0.1</v>
      </c>
      <c r="L16" s="4">
        <f t="shared" si="6"/>
        <v>0.02</v>
      </c>
      <c r="M16" s="30">
        <v>600</v>
      </c>
      <c r="N16" s="75">
        <f t="shared" si="7"/>
        <v>36600</v>
      </c>
      <c r="O16" s="31">
        <f t="shared" si="8"/>
        <v>732</v>
      </c>
      <c r="P16" s="19">
        <v>0</v>
      </c>
      <c r="Q16" s="75">
        <f t="shared" si="9"/>
        <v>35868</v>
      </c>
      <c r="R16" s="25"/>
      <c r="S16" s="20"/>
      <c r="V16" s="22"/>
    </row>
    <row r="17" spans="2:23" ht="28.8" x14ac:dyDescent="0.3">
      <c r="B17" s="2">
        <v>12</v>
      </c>
      <c r="C17" s="2" t="s">
        <v>60</v>
      </c>
      <c r="D17" s="16">
        <v>13</v>
      </c>
      <c r="E17" s="2" t="s">
        <v>63</v>
      </c>
      <c r="F17" s="59">
        <f>15*12</f>
        <v>180</v>
      </c>
      <c r="G17" s="16">
        <v>2022</v>
      </c>
      <c r="H17" s="2">
        <v>2024</v>
      </c>
      <c r="I17" s="2">
        <f t="shared" si="5"/>
        <v>2</v>
      </c>
      <c r="J17" s="2">
        <v>60</v>
      </c>
      <c r="K17" s="3">
        <v>0.1</v>
      </c>
      <c r="L17" s="4">
        <f t="shared" si="6"/>
        <v>1.5000000000000001E-2</v>
      </c>
      <c r="M17" s="30">
        <v>900</v>
      </c>
      <c r="N17" s="75">
        <f t="shared" si="7"/>
        <v>162000</v>
      </c>
      <c r="O17" s="31">
        <f>N17*L17*IF(I17&gt;J17,J17,I17)</f>
        <v>4860</v>
      </c>
      <c r="P17" s="19">
        <v>0</v>
      </c>
      <c r="Q17" s="75">
        <f t="shared" si="9"/>
        <v>157140</v>
      </c>
      <c r="R17" s="25"/>
      <c r="S17" s="20"/>
      <c r="V17" s="22"/>
    </row>
    <row r="18" spans="2:23" x14ac:dyDescent="0.3">
      <c r="B18" s="2">
        <v>13</v>
      </c>
      <c r="C18" s="2" t="s">
        <v>43</v>
      </c>
      <c r="D18" s="16">
        <v>10</v>
      </c>
      <c r="E18" s="2" t="s">
        <v>53</v>
      </c>
      <c r="F18" s="59">
        <f>22*15</f>
        <v>330</v>
      </c>
      <c r="G18" s="16">
        <v>2016</v>
      </c>
      <c r="H18" s="2">
        <v>2024</v>
      </c>
      <c r="I18" s="2">
        <f t="shared" si="5"/>
        <v>8</v>
      </c>
      <c r="J18" s="2">
        <v>60</v>
      </c>
      <c r="K18" s="3">
        <v>0.1</v>
      </c>
      <c r="L18" s="4">
        <f t="shared" si="6"/>
        <v>1.5000000000000001E-2</v>
      </c>
      <c r="M18" s="30">
        <v>1000</v>
      </c>
      <c r="N18" s="75">
        <f t="shared" si="7"/>
        <v>330000</v>
      </c>
      <c r="O18" s="31">
        <f t="shared" si="8"/>
        <v>39600</v>
      </c>
      <c r="P18" s="19">
        <v>0</v>
      </c>
      <c r="Q18" s="75">
        <f t="shared" si="9"/>
        <v>290400</v>
      </c>
      <c r="R18" s="25"/>
      <c r="S18" s="20"/>
      <c r="V18" s="22"/>
    </row>
    <row r="19" spans="2:23" x14ac:dyDescent="0.3">
      <c r="B19" s="2">
        <v>14</v>
      </c>
      <c r="C19" s="2" t="s">
        <v>57</v>
      </c>
      <c r="D19" s="16">
        <v>13</v>
      </c>
      <c r="E19" s="51" t="s">
        <v>55</v>
      </c>
      <c r="F19" s="59">
        <f>16.3*96</f>
        <v>1564.8000000000002</v>
      </c>
      <c r="G19" s="16">
        <v>2020</v>
      </c>
      <c r="H19" s="2">
        <v>2024</v>
      </c>
      <c r="I19" s="2">
        <f t="shared" si="5"/>
        <v>4</v>
      </c>
      <c r="J19" s="2">
        <v>45</v>
      </c>
      <c r="K19" s="3">
        <v>0.1</v>
      </c>
      <c r="L19" s="4">
        <f t="shared" si="6"/>
        <v>0.02</v>
      </c>
      <c r="M19" s="30">
        <v>800</v>
      </c>
      <c r="N19" s="75">
        <f>M19*F19</f>
        <v>1251840.0000000002</v>
      </c>
      <c r="O19" s="31">
        <f t="shared" si="8"/>
        <v>100147.20000000003</v>
      </c>
      <c r="P19" s="19">
        <v>0</v>
      </c>
      <c r="Q19" s="75">
        <f t="shared" si="9"/>
        <v>1151692.8000000003</v>
      </c>
      <c r="R19" s="25"/>
      <c r="S19" s="20"/>
      <c r="V19" s="22"/>
    </row>
    <row r="20" spans="2:23" x14ac:dyDescent="0.3">
      <c r="B20" s="2">
        <v>15</v>
      </c>
      <c r="C20" s="2" t="s">
        <v>58</v>
      </c>
      <c r="D20" s="16">
        <v>13</v>
      </c>
      <c r="E20" s="51" t="s">
        <v>55</v>
      </c>
      <c r="F20" s="59">
        <f>70*10</f>
        <v>700</v>
      </c>
      <c r="G20" s="16">
        <v>2023</v>
      </c>
      <c r="H20" s="2">
        <v>2024</v>
      </c>
      <c r="I20" s="2">
        <f t="shared" si="5"/>
        <v>1</v>
      </c>
      <c r="J20" s="2">
        <v>45</v>
      </c>
      <c r="K20" s="3">
        <v>0.1</v>
      </c>
      <c r="L20" s="4">
        <f t="shared" si="6"/>
        <v>0.02</v>
      </c>
      <c r="M20" s="30">
        <v>800</v>
      </c>
      <c r="N20" s="75">
        <f t="shared" si="7"/>
        <v>560000</v>
      </c>
      <c r="O20" s="31">
        <f t="shared" si="8"/>
        <v>11200</v>
      </c>
      <c r="P20" s="19">
        <v>0</v>
      </c>
      <c r="Q20" s="75">
        <f t="shared" si="9"/>
        <v>548800</v>
      </c>
      <c r="R20" s="25"/>
      <c r="S20" s="20"/>
      <c r="V20" s="22"/>
    </row>
    <row r="21" spans="2:23" x14ac:dyDescent="0.3">
      <c r="B21" s="2">
        <v>16</v>
      </c>
      <c r="C21" s="2" t="s">
        <v>68</v>
      </c>
      <c r="D21" s="16">
        <v>10</v>
      </c>
      <c r="E21" s="2" t="s">
        <v>53</v>
      </c>
      <c r="F21" s="59">
        <v>9730</v>
      </c>
      <c r="G21" s="16">
        <v>2020</v>
      </c>
      <c r="H21" s="2">
        <v>2024</v>
      </c>
      <c r="I21" s="2">
        <f t="shared" si="5"/>
        <v>4</v>
      </c>
      <c r="J21" s="2">
        <v>60</v>
      </c>
      <c r="K21" s="3">
        <v>0.1</v>
      </c>
      <c r="L21" s="4">
        <f t="shared" si="6"/>
        <v>1.5000000000000001E-2</v>
      </c>
      <c r="M21" s="30">
        <v>1600</v>
      </c>
      <c r="N21" s="75">
        <f t="shared" si="7"/>
        <v>15568000</v>
      </c>
      <c r="O21" s="31">
        <f t="shared" si="8"/>
        <v>934080.00000000012</v>
      </c>
      <c r="P21" s="19">
        <v>0</v>
      </c>
      <c r="Q21" s="75">
        <f t="shared" si="9"/>
        <v>14633920</v>
      </c>
      <c r="R21" s="25"/>
      <c r="S21" s="20"/>
      <c r="V21" s="22"/>
    </row>
    <row r="22" spans="2:23" ht="28.8" x14ac:dyDescent="0.3">
      <c r="B22" s="2">
        <v>17</v>
      </c>
      <c r="C22" s="2" t="s">
        <v>69</v>
      </c>
      <c r="D22" s="16">
        <v>10</v>
      </c>
      <c r="E22" s="2" t="s">
        <v>70</v>
      </c>
      <c r="F22" s="59">
        <f>85*15</f>
        <v>1275</v>
      </c>
      <c r="G22" s="16">
        <v>2015</v>
      </c>
      <c r="H22" s="2">
        <v>2024</v>
      </c>
      <c r="I22" s="2">
        <f t="shared" si="5"/>
        <v>9</v>
      </c>
      <c r="J22" s="2">
        <v>45</v>
      </c>
      <c r="K22" s="3">
        <v>0.1</v>
      </c>
      <c r="L22" s="4">
        <f t="shared" si="6"/>
        <v>0.02</v>
      </c>
      <c r="M22" s="30">
        <v>900</v>
      </c>
      <c r="N22" s="75">
        <f>M22*F22</f>
        <v>1147500</v>
      </c>
      <c r="O22" s="31">
        <f t="shared" si="8"/>
        <v>206550</v>
      </c>
      <c r="P22" s="19">
        <v>0</v>
      </c>
      <c r="Q22" s="75">
        <f t="shared" si="9"/>
        <v>940950</v>
      </c>
      <c r="R22" s="25"/>
      <c r="S22" s="20"/>
      <c r="V22" s="22"/>
    </row>
    <row r="23" spans="2:23" ht="28.8" x14ac:dyDescent="0.3">
      <c r="B23" s="2">
        <v>18</v>
      </c>
      <c r="C23" s="50" t="s">
        <v>61</v>
      </c>
      <c r="D23" s="16">
        <v>10</v>
      </c>
      <c r="E23" s="51" t="s">
        <v>63</v>
      </c>
      <c r="F23" s="59">
        <f>22*15*2</f>
        <v>660</v>
      </c>
      <c r="G23" s="16">
        <v>2016</v>
      </c>
      <c r="H23" s="2">
        <v>2024</v>
      </c>
      <c r="I23" s="2">
        <f t="shared" si="5"/>
        <v>8</v>
      </c>
      <c r="J23" s="2">
        <v>60</v>
      </c>
      <c r="K23" s="3"/>
      <c r="L23" s="4"/>
      <c r="M23" s="30">
        <v>1600</v>
      </c>
      <c r="N23" s="75">
        <f>M23*F23</f>
        <v>1056000</v>
      </c>
      <c r="O23" s="31"/>
      <c r="P23" s="19"/>
      <c r="Q23" s="75">
        <f t="shared" si="9"/>
        <v>1056000</v>
      </c>
      <c r="R23" s="25"/>
      <c r="S23" s="20"/>
      <c r="V23" s="22"/>
    </row>
    <row r="24" spans="2:23" ht="40.5" customHeight="1" x14ac:dyDescent="0.3">
      <c r="B24" s="38" t="s">
        <v>30</v>
      </c>
      <c r="C24" s="50"/>
      <c r="D24" s="39"/>
      <c r="E24" s="40"/>
      <c r="F24" s="41">
        <f>SUM(F6:F22)</f>
        <v>74199.8</v>
      </c>
      <c r="G24" s="69"/>
      <c r="H24" s="70"/>
      <c r="I24" s="70"/>
      <c r="J24" s="70"/>
      <c r="K24" s="70"/>
      <c r="L24" s="70"/>
      <c r="M24" s="71"/>
      <c r="N24" s="41">
        <f>SUM(N6:N22)</f>
        <v>91016040</v>
      </c>
      <c r="O24" s="12">
        <f>SUM(O6:O11)</f>
        <v>2610912</v>
      </c>
      <c r="P24" s="12">
        <v>0</v>
      </c>
      <c r="Q24" s="41">
        <f>SUM(Q6:Q22)</f>
        <v>86799524.299999997</v>
      </c>
      <c r="R24" s="24"/>
      <c r="S24" s="12" t="e">
        <f>SUM(S6:S11)</f>
        <v>#REF!</v>
      </c>
      <c r="V24" s="22" t="s">
        <v>29</v>
      </c>
      <c r="W24" s="21"/>
    </row>
    <row r="25" spans="2:23" x14ac:dyDescent="0.3">
      <c r="B25" s="43" t="s">
        <v>10</v>
      </c>
      <c r="C25" s="50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/>
      <c r="R25" s="36"/>
      <c r="S25" s="36"/>
      <c r="V25" t="s">
        <v>36</v>
      </c>
      <c r="W25" s="47">
        <v>13</v>
      </c>
    </row>
    <row r="26" spans="2:23" ht="15" customHeight="1" x14ac:dyDescent="0.3">
      <c r="B26" s="63" t="s">
        <v>64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5"/>
      <c r="R26" s="37"/>
      <c r="S26" s="37"/>
      <c r="V26" t="s">
        <v>37</v>
      </c>
      <c r="W26" s="21">
        <v>16200000</v>
      </c>
    </row>
    <row r="27" spans="2:23" ht="15" customHeight="1" x14ac:dyDescent="0.3">
      <c r="B27" s="63" t="s">
        <v>65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5"/>
      <c r="R27" s="37"/>
      <c r="S27" s="37"/>
      <c r="V27" t="s">
        <v>22</v>
      </c>
      <c r="W27" s="12">
        <v>0</v>
      </c>
    </row>
    <row r="28" spans="2:23" ht="15" customHeight="1" x14ac:dyDescent="0.3">
      <c r="B28" s="60" t="s">
        <v>21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2"/>
      <c r="R28" s="35"/>
      <c r="S28" s="35"/>
      <c r="V28" t="s">
        <v>37</v>
      </c>
      <c r="W28" s="48">
        <f>W25*W26</f>
        <v>210600000</v>
      </c>
    </row>
    <row r="29" spans="2:23" ht="15.75" customHeight="1" x14ac:dyDescent="0.3">
      <c r="C29" s="52"/>
    </row>
    <row r="30" spans="2:23" ht="18" x14ac:dyDescent="0.3">
      <c r="C30" s="53"/>
    </row>
    <row r="31" spans="2:23" x14ac:dyDescent="0.3">
      <c r="C31" s="54"/>
      <c r="J31" s="46"/>
      <c r="M31" s="42"/>
    </row>
    <row r="32" spans="2:23" x14ac:dyDescent="0.3">
      <c r="C32" s="55"/>
      <c r="M32" s="21"/>
    </row>
    <row r="33" spans="3:26" x14ac:dyDescent="0.3">
      <c r="C33" s="55"/>
    </row>
    <row r="34" spans="3:26" ht="14.25" customHeight="1" x14ac:dyDescent="0.3">
      <c r="C34" s="56"/>
      <c r="V34" s="22" t="s">
        <v>24</v>
      </c>
    </row>
    <row r="35" spans="3:26" ht="15" customHeight="1" x14ac:dyDescent="0.3">
      <c r="V35" s="22" t="s">
        <v>35</v>
      </c>
      <c r="W35" s="74">
        <v>15150000</v>
      </c>
    </row>
    <row r="36" spans="3:26" ht="15" customHeight="1" x14ac:dyDescent="0.3">
      <c r="V36" s="23" t="s">
        <v>34</v>
      </c>
      <c r="W36" s="73">
        <v>5.86</v>
      </c>
      <c r="Y36">
        <v>40000000</v>
      </c>
      <c r="Z36">
        <v>13</v>
      </c>
    </row>
    <row r="37" spans="3:26" x14ac:dyDescent="0.3">
      <c r="V37" s="26" t="s">
        <v>33</v>
      </c>
      <c r="W37" s="58">
        <f>W36*W35</f>
        <v>88779000</v>
      </c>
      <c r="Z37">
        <f>Z36*Y36</f>
        <v>520000000</v>
      </c>
    </row>
    <row r="38" spans="3:26" x14ac:dyDescent="0.3">
      <c r="I38" s="28"/>
      <c r="M38" s="28"/>
      <c r="V38" s="23" t="s">
        <v>22</v>
      </c>
      <c r="W38" s="27">
        <f>$Q$24</f>
        <v>86799524.299999997</v>
      </c>
    </row>
    <row r="39" spans="3:26" x14ac:dyDescent="0.3">
      <c r="Q39" s="22"/>
      <c r="V39" s="22" t="s">
        <v>23</v>
      </c>
      <c r="W39" s="34">
        <v>2325600</v>
      </c>
    </row>
    <row r="40" spans="3:26" x14ac:dyDescent="0.3">
      <c r="Q40" s="33"/>
      <c r="V40" s="22" t="s">
        <v>71</v>
      </c>
      <c r="W40" s="34">
        <v>579246138</v>
      </c>
    </row>
    <row r="41" spans="3:26" x14ac:dyDescent="0.3">
      <c r="V41" s="23" t="s">
        <v>24</v>
      </c>
      <c r="W41" s="27">
        <f>W40+W39+W38+W37</f>
        <v>757150262.29999995</v>
      </c>
    </row>
    <row r="43" spans="3:26" x14ac:dyDescent="0.3">
      <c r="W43" s="17"/>
    </row>
    <row r="44" spans="3:26" x14ac:dyDescent="0.3">
      <c r="O44" s="76"/>
    </row>
    <row r="45" spans="3:26" x14ac:dyDescent="0.3">
      <c r="F45" s="32"/>
      <c r="W45" s="18">
        <f>W44+W43</f>
        <v>0</v>
      </c>
    </row>
    <row r="47" spans="3:26" x14ac:dyDescent="0.3">
      <c r="V47" s="22" t="s">
        <v>25</v>
      </c>
      <c r="W47" s="27">
        <f>ROUND(W41,-7)</f>
        <v>760000000</v>
      </c>
    </row>
    <row r="48" spans="3:26" x14ac:dyDescent="0.3">
      <c r="V48" s="22" t="s">
        <v>27</v>
      </c>
      <c r="W48" s="27">
        <f>0.85*W47</f>
        <v>646000000</v>
      </c>
    </row>
    <row r="49" spans="22:23" x14ac:dyDescent="0.3">
      <c r="V49" s="22" t="s">
        <v>28</v>
      </c>
      <c r="W49" s="27">
        <f>W47*0.75</f>
        <v>570000000</v>
      </c>
    </row>
    <row r="50" spans="22:23" x14ac:dyDescent="0.3">
      <c r="V50" s="22"/>
    </row>
    <row r="51" spans="22:23" x14ac:dyDescent="0.3">
      <c r="V51" s="22" t="s">
        <v>26</v>
      </c>
      <c r="W51" s="49">
        <f>0.8*N24</f>
        <v>72812832</v>
      </c>
    </row>
    <row r="53" spans="22:23" x14ac:dyDescent="0.3">
      <c r="V53" s="28"/>
    </row>
    <row r="55" spans="22:23" x14ac:dyDescent="0.3">
      <c r="W55">
        <v>35000000</v>
      </c>
    </row>
    <row r="56" spans="22:23" x14ac:dyDescent="0.3">
      <c r="W56">
        <v>43560</v>
      </c>
    </row>
    <row r="57" spans="22:23" x14ac:dyDescent="0.3">
      <c r="W57">
        <f>W55/W56</f>
        <v>803.48943985307619</v>
      </c>
    </row>
    <row r="61" spans="22:23" x14ac:dyDescent="0.3">
      <c r="W61" s="22">
        <v>81143.59</v>
      </c>
    </row>
    <row r="62" spans="22:23" x14ac:dyDescent="0.3">
      <c r="W62">
        <v>4580</v>
      </c>
    </row>
    <row r="63" spans="22:23" x14ac:dyDescent="0.3">
      <c r="W63">
        <f>0.05*W62</f>
        <v>229</v>
      </c>
    </row>
    <row r="64" spans="22:23" x14ac:dyDescent="0.3">
      <c r="W64" s="22">
        <f>W63*50000</f>
        <v>11450000</v>
      </c>
    </row>
    <row r="65" spans="23:23" x14ac:dyDescent="0.3">
      <c r="W65" s="22">
        <f>W66*15</f>
        <v>467153.85</v>
      </c>
    </row>
    <row r="66" spans="23:23" x14ac:dyDescent="0.3">
      <c r="W66">
        <f>W61-50000</f>
        <v>31143.589999999997</v>
      </c>
    </row>
    <row r="67" spans="23:23" x14ac:dyDescent="0.3">
      <c r="W67" s="33">
        <f>W64+W65</f>
        <v>11917153.85</v>
      </c>
    </row>
    <row r="71" spans="23:23" x14ac:dyDescent="0.3">
      <c r="W71" s="57">
        <v>1075212335.85991</v>
      </c>
    </row>
    <row r="88" spans="23:23" x14ac:dyDescent="0.3">
      <c r="W88">
        <v>43560</v>
      </c>
    </row>
    <row r="89" spans="23:23" x14ac:dyDescent="0.3">
      <c r="W89">
        <v>900</v>
      </c>
    </row>
    <row r="90" spans="23:23" x14ac:dyDescent="0.3">
      <c r="W90" s="57">
        <f>W89*W88</f>
        <v>39204000</v>
      </c>
    </row>
  </sheetData>
  <mergeCells count="5">
    <mergeCell ref="B28:Q28"/>
    <mergeCell ref="B26:Q26"/>
    <mergeCell ref="B27:Q27"/>
    <mergeCell ref="B4:S4"/>
    <mergeCell ref="G24:M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1" sqref="D21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M3" sqref="M3"/>
    </sheetView>
  </sheetViews>
  <sheetFormatPr defaultRowHeight="14.4" x14ac:dyDescent="0.3"/>
  <cols>
    <col min="1" max="1" width="8.6640625" bestFit="1" customWidth="1"/>
    <col min="2" max="2" width="13.6640625" customWidth="1"/>
    <col min="3" max="3" width="12.88671875" customWidth="1"/>
    <col min="4" max="4" width="10.6640625" customWidth="1"/>
    <col min="5" max="5" width="16" customWidth="1"/>
    <col min="6" max="6" width="21.33203125" customWidth="1"/>
    <col min="7" max="7" width="21" customWidth="1"/>
    <col min="8" max="8" width="9.5546875" customWidth="1"/>
    <col min="9" max="9" width="13" customWidth="1"/>
    <col min="10" max="10" width="12.6640625" customWidth="1"/>
    <col min="11" max="11" width="11.5546875" customWidth="1"/>
    <col min="12" max="12" width="11.88671875" customWidth="1"/>
    <col min="13" max="13" width="13" customWidth="1"/>
  </cols>
  <sheetData>
    <row r="1" spans="1:13" ht="15.6" x14ac:dyDescent="0.3">
      <c r="A1" s="72" t="s">
        <v>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11" x14ac:dyDescent="0.3">
      <c r="A2" s="5" t="s">
        <v>17</v>
      </c>
      <c r="B2" s="5" t="s">
        <v>13</v>
      </c>
      <c r="C2" s="5" t="s">
        <v>1</v>
      </c>
      <c r="D2" s="5" t="s">
        <v>14</v>
      </c>
      <c r="E2" s="5" t="s">
        <v>15</v>
      </c>
      <c r="F2" s="5" t="s">
        <v>4</v>
      </c>
      <c r="G2" s="5" t="s">
        <v>5</v>
      </c>
      <c r="H2" s="5" t="s">
        <v>18</v>
      </c>
      <c r="I2" s="5" t="s">
        <v>6</v>
      </c>
      <c r="J2" s="5" t="s">
        <v>7</v>
      </c>
      <c r="K2" s="5" t="s">
        <v>8</v>
      </c>
      <c r="L2" s="5" t="s">
        <v>16</v>
      </c>
      <c r="M2" s="5" t="s">
        <v>9</v>
      </c>
    </row>
    <row r="3" spans="1:13" x14ac:dyDescent="0.3">
      <c r="A3" s="6">
        <v>680</v>
      </c>
      <c r="B3" s="7">
        <v>2012</v>
      </c>
      <c r="C3" s="7">
        <v>2024</v>
      </c>
      <c r="D3" s="7">
        <f>C3-B3</f>
        <v>12</v>
      </c>
      <c r="E3" s="7">
        <v>45</v>
      </c>
      <c r="F3" s="8">
        <v>0.1</v>
      </c>
      <c r="G3" s="9">
        <f>(1-F3)/E3</f>
        <v>0.02</v>
      </c>
      <c r="H3" s="10">
        <v>4500</v>
      </c>
      <c r="I3" s="10">
        <f>H3*A3</f>
        <v>3060000</v>
      </c>
      <c r="J3" s="10">
        <f>I3*G3*D3</f>
        <v>734400</v>
      </c>
      <c r="K3" s="10">
        <f>MAX(I3-J3,0)</f>
        <v>2325600</v>
      </c>
      <c r="L3" s="11">
        <v>0</v>
      </c>
      <c r="M3" s="10">
        <f>IF(K3&gt;F3*I3,K3*(1-L3),I3*F3)</f>
        <v>2325600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workbookViewId="0">
      <selection activeCell="E18" sqref="E18"/>
    </sheetView>
  </sheetViews>
  <sheetFormatPr defaultRowHeight="14.4" x14ac:dyDescent="0.3"/>
  <cols>
    <col min="12" max="12" width="12" bestFit="1" customWidth="1"/>
  </cols>
  <sheetData>
    <row r="1" spans="1:12" x14ac:dyDescent="0.3">
      <c r="A1">
        <v>6966.1</v>
      </c>
    </row>
    <row r="2" spans="1:12" x14ac:dyDescent="0.3">
      <c r="A2">
        <v>7456.9</v>
      </c>
    </row>
    <row r="3" spans="1:12" x14ac:dyDescent="0.3">
      <c r="A3">
        <v>2276.9</v>
      </c>
    </row>
    <row r="4" spans="1:12" x14ac:dyDescent="0.3">
      <c r="A4">
        <v>12536.5</v>
      </c>
    </row>
    <row r="5" spans="1:12" x14ac:dyDescent="0.3">
      <c r="A5">
        <v>0</v>
      </c>
    </row>
    <row r="6" spans="1:12" x14ac:dyDescent="0.3">
      <c r="A6">
        <v>0</v>
      </c>
    </row>
    <row r="7" spans="1:12" x14ac:dyDescent="0.3">
      <c r="A7">
        <v>0</v>
      </c>
    </row>
    <row r="8" spans="1:12" x14ac:dyDescent="0.3">
      <c r="A8">
        <v>0</v>
      </c>
    </row>
    <row r="9" spans="1:12" x14ac:dyDescent="0.3">
      <c r="A9">
        <v>0</v>
      </c>
    </row>
    <row r="10" spans="1:12" x14ac:dyDescent="0.3">
      <c r="A10">
        <v>0</v>
      </c>
    </row>
    <row r="11" spans="1:12" x14ac:dyDescent="0.3">
      <c r="A11">
        <f>SUM(A1:A10)</f>
        <v>29236.400000000001</v>
      </c>
    </row>
    <row r="14" spans="1:12" x14ac:dyDescent="0.3">
      <c r="J14">
        <v>4580</v>
      </c>
      <c r="K14">
        <v>81143.59</v>
      </c>
      <c r="L14">
        <f>J14*K14</f>
        <v>371637642.19999999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ASHIL BABY</cp:lastModifiedBy>
  <dcterms:created xsi:type="dcterms:W3CDTF">2022-07-28T09:17:09Z</dcterms:created>
  <dcterms:modified xsi:type="dcterms:W3CDTF">2024-10-14T21:51:37Z</dcterms:modified>
</cp:coreProperties>
</file>